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ivotTables/pivotTable1.xml" ContentType="application/vnd.openxmlformats-officedocument.spreadsheetml.pivotTable+xml"/>
  <Override PartName="/xl/drawings/drawing2.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pivotTables/pivotTable2.xml" ContentType="application/vnd.openxmlformats-officedocument.spreadsheetml.pivotTable+xml"/>
  <Override PartName="/xl/drawings/drawing3.xml" ContentType="application/vnd.openxmlformats-officedocument.drawing+xml"/>
  <Override PartName="/xl/comments3.xml" ContentType="application/vnd.openxmlformats-officedocument.spreadsheetml.comments+xml"/>
  <Override PartName="/xl/threadedComments/threadedComment3.xml" ContentType="application/vnd.ms-excel.threadedcomments+xml"/>
  <Override PartName="/xl/drawings/drawing4.xml" ContentType="application/vnd.openxmlformats-officedocument.drawing+xml"/>
  <Override PartName="/xl/comments4.xml" ContentType="application/vnd.openxmlformats-officedocument.spreadsheetml.comments+xml"/>
  <Override PartName="/xl/threadedComments/threadedComment4.xml" ContentType="application/vnd.ms-excel.threadedcomments+xml"/>
  <Override PartName="/xl/drawings/drawing5.xml" ContentType="application/vnd.openxmlformats-officedocument.drawing+xml"/>
  <Override PartName="/xl/comments5.xml" ContentType="application/vnd.openxmlformats-officedocument.spreadsheetml.comments+xml"/>
  <Override PartName="/xl/threadedComments/threadedComment5.xml" ContentType="application/vnd.ms-excel.threadedcomments+xml"/>
  <Override PartName="/xl/drawings/drawing6.xml" ContentType="application/vnd.openxmlformats-officedocument.drawing+xml"/>
  <Override PartName="/xl/comments6.xml" ContentType="application/vnd.openxmlformats-officedocument.spreadsheetml.comments+xml"/>
  <Override PartName="/xl/threadedComments/threadedComment6.xml" ContentType="application/vnd.ms-excel.threadedcomments+xml"/>
  <Override PartName="/xl/drawings/drawing7.xml" ContentType="application/vnd.openxmlformats-officedocument.drawing+xml"/>
  <Override PartName="/xl/comments7.xml" ContentType="application/vnd.openxmlformats-officedocument.spreadsheetml.comments+xml"/>
  <Override PartName="/xl/threadedComments/threadedComment7.xml" ContentType="application/vnd.ms-excel.threadedcomments+xml"/>
  <Override PartName="/xl/drawings/drawing8.xml" ContentType="application/vnd.openxmlformats-officedocument.drawing+xml"/>
  <Override PartName="/xl/comments8.xml" ContentType="application/vnd.openxmlformats-officedocument.spreadsheetml.comments+xml"/>
  <Override PartName="/xl/threadedComments/threadedComment8.xml" ContentType="application/vnd.ms-excel.threadedcomments+xml"/>
  <Override PartName="/xl/drawings/drawing9.xml" ContentType="application/vnd.openxmlformats-officedocument.drawing+xml"/>
  <Override PartName="/xl/comments9.xml" ContentType="application/vnd.openxmlformats-officedocument.spreadsheetml.comments+xml"/>
  <Override PartName="/xl/threadedComments/threadedComment9.xml" ContentType="application/vnd.ms-excel.threadedcomments+xml"/>
  <Override PartName="/xl/drawings/drawing10.xml" ContentType="application/vnd.openxmlformats-officedocument.drawing+xml"/>
  <Override PartName="/xl/comments10.xml" ContentType="application/vnd.openxmlformats-officedocument.spreadsheetml.comments+xml"/>
  <Override PartName="/xl/threadedComments/threadedComment10.xml" ContentType="application/vnd.ms-excel.threadedcomments+xml"/>
  <Override PartName="/xl/drawings/drawing11.xml" ContentType="application/vnd.openxmlformats-officedocument.drawing+xml"/>
  <Override PartName="/xl/comments11.xml" ContentType="application/vnd.openxmlformats-officedocument.spreadsheetml.comments+xml"/>
  <Override PartName="/xl/threadedComments/threadedComment11.xml" ContentType="application/vnd.ms-excel.threadedcomments+xml"/>
  <Override PartName="/xl/drawings/drawing12.xml" ContentType="application/vnd.openxmlformats-officedocument.drawing+xml"/>
  <Override PartName="/xl/drawings/drawing13.xml" ContentType="application/vnd.openxmlformats-officedocument.drawing+xml"/>
  <Override PartName="/xl/tables/table1.xml" ContentType="application/vnd.openxmlformats-officedocument.spreadsheetml.table+xml"/>
  <Override PartName="/xl/comments12.xml" ContentType="application/vnd.openxmlformats-officedocument.spreadsheetml.comments+xml"/>
  <Override PartName="/xl/threadedComments/threadedComment12.xml" ContentType="application/vnd.ms-excel.threadedcomments+xml"/>
  <Override PartName="/xl/drawings/drawing14.xml" ContentType="application/vnd.openxmlformats-officedocument.drawing+xml"/>
  <Override PartName="/xl/comments13.xml" ContentType="application/vnd.openxmlformats-officedocument.spreadsheetml.comments+xml"/>
  <Override PartName="/xl/threadedComments/threadedComment13.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hidePivotFieldList="1" defaultThemeVersion="166925"/>
  <mc:AlternateContent xmlns:mc="http://schemas.openxmlformats.org/markup-compatibility/2006">
    <mc:Choice Requires="x15">
      <x15ac:absPath xmlns:x15ac="http://schemas.microsoft.com/office/spreadsheetml/2010/11/ac" url="C:\Users\lstojanovic\Downloads\fim\data\"/>
    </mc:Choice>
  </mc:AlternateContent>
  <xr:revisionPtr revIDLastSave="0" documentId="13_ncr:1_{810C1279-7950-4267-9464-20CD1D3017A2}" xr6:coauthVersionLast="47" xr6:coauthVersionMax="47" xr10:uidLastSave="{00000000-0000-0000-0000-000000000000}"/>
  <bookViews>
    <workbookView xWindow="-110" yWindow="-110" windowWidth="19420" windowHeight="10300" firstSheet="4" activeTab="4" xr2:uid="{00000000-000D-0000-FFFF-FFFF00000000}"/>
  </bookViews>
  <sheets>
    <sheet name="Guide to the FIM Spreadsheet" sheetId="54" r:id="rId1"/>
    <sheet name="Checklist (New Quarter Release)" sheetId="53" r:id="rId2"/>
    <sheet name="Checklist (Monthly Revision)" sheetId="51" r:id="rId3"/>
    <sheet name="Checklist (CBO Budget Release)" sheetId="19" r:id="rId4"/>
    <sheet name="Haver Pivoted" sheetId="24" r:id="rId5"/>
    <sheet name="Revisions" sheetId="46" r:id="rId6"/>
    <sheet name="forecast comparison" sheetId="55" r:id="rId7"/>
    <sheet name="forecast" sheetId="35" r:id="rId8"/>
    <sheet name="March - MPI" sheetId="73" r:id="rId9"/>
    <sheet name="March MPI - PCE" sheetId="72" r:id="rId10"/>
    <sheet name="historical overrides" sheetId="50" r:id="rId11"/>
    <sheet name="deflators_override" sheetId="71" r:id="rId12"/>
    <sheet name="mpc" sheetId="56" r:id="rId13"/>
    <sheet name="Unemployment Insurance" sheetId="25" r:id="rId14"/>
    <sheet name="Unemployment Insurance - lorae" sheetId="74" state="hidden" r:id="rId15"/>
    <sheet name="Grants" sheetId="26" r:id="rId16"/>
    <sheet name="Federal and State Purchases" sheetId="20" r:id="rId17"/>
    <sheet name="Subsidies" sheetId="30" r:id="rId18"/>
    <sheet name="Medicaid" sheetId="49" r:id="rId19"/>
    <sheet name="Medicare" sheetId="33" r:id="rId20"/>
    <sheet name="Student loans" sheetId="67" r:id="rId21"/>
    <sheet name="Social Benefits" sheetId="59" r:id="rId22"/>
    <sheet name="Deflators" sheetId="70" r:id="rId23"/>
    <sheet name="Taxes" sheetId="48" r:id="rId24"/>
    <sheet name="PPP (expired)" sheetId="38" r:id="rId25"/>
    <sheet name="Provider Relief (expired)" sheetId="40" r:id="rId26"/>
    <sheet name="Rebate Checks (expired)" sheetId="29" r:id="rId27"/>
    <sheet name="Cares Act Scores" sheetId="36" r:id="rId28"/>
    <sheet name="IRA and CHIPS" sheetId="65" r:id="rId29"/>
    <sheet name="Response and Relief Act Score" sheetId="27" r:id="rId30"/>
    <sheet name="ARP Score" sheetId="5" r:id="rId31"/>
    <sheet name="ARP Timing" sheetId="6" r:id="rId32"/>
    <sheet name="ARP Quarterly" sheetId="21" r:id="rId33"/>
    <sheet name="Deflators_original" sheetId="63" state="hidden" r:id="rId34"/>
  </sheets>
  <externalReferences>
    <externalReference r:id="rId35"/>
  </externalReferences>
  <calcPr calcId="191029"/>
  <pivotCaches>
    <pivotCache cacheId="0" r:id="rId36"/>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Y23" i="25" l="1"/>
  <c r="Z23" i="25"/>
  <c r="AA23" i="25"/>
  <c r="AB23" i="25"/>
  <c r="AC23" i="25"/>
  <c r="X23" i="25"/>
  <c r="W20" i="25"/>
  <c r="V20" i="25"/>
  <c r="V13" i="48"/>
  <c r="W13" i="48" s="1"/>
  <c r="X13" i="48" s="1"/>
  <c r="Y13" i="48" s="1"/>
  <c r="Z13" i="48" s="1"/>
  <c r="AA13" i="48" s="1"/>
  <c r="AB13" i="48" s="1"/>
  <c r="AC13" i="48" s="1"/>
  <c r="W122" i="48"/>
  <c r="V25" i="48"/>
  <c r="U28" i="49"/>
  <c r="U10" i="26"/>
  <c r="U11" i="26" s="1"/>
  <c r="U13" i="26"/>
  <c r="V12" i="20"/>
  <c r="W12" i="20" s="1"/>
  <c r="X12" i="20" s="1"/>
  <c r="Y12" i="20" s="1"/>
  <c r="Z12" i="20" s="1"/>
  <c r="AA12" i="20" s="1"/>
  <c r="AB12" i="20" s="1"/>
  <c r="AC12" i="20" s="1"/>
  <c r="X11" i="20"/>
  <c r="Y11" i="20"/>
  <c r="Z11" i="20"/>
  <c r="AA11" i="20"/>
  <c r="AB11" i="20"/>
  <c r="AC11" i="20"/>
  <c r="AC12" i="33"/>
  <c r="AB12" i="33"/>
  <c r="V13" i="26" l="1"/>
  <c r="W13" i="26"/>
  <c r="X13" i="26"/>
  <c r="Y13" i="26"/>
  <c r="Z13" i="26"/>
  <c r="AA13" i="26"/>
  <c r="AB13" i="26"/>
  <c r="AC13" i="26"/>
  <c r="AB51" i="72" l="1"/>
  <c r="AB46" i="72"/>
  <c r="AA46" i="72"/>
  <c r="Z31" i="72"/>
  <c r="AA31" i="72"/>
  <c r="AB31" i="72"/>
  <c r="AC31" i="72"/>
  <c r="Z32" i="72"/>
  <c r="AA32" i="72"/>
  <c r="AB32" i="72"/>
  <c r="AC32" i="72"/>
  <c r="Z33" i="72"/>
  <c r="AA33" i="72"/>
  <c r="AB33" i="72"/>
  <c r="AC33" i="72"/>
  <c r="Z34" i="72"/>
  <c r="AA34" i="72"/>
  <c r="AB34" i="72"/>
  <c r="AC34" i="72"/>
  <c r="Z36" i="72"/>
  <c r="AA36" i="72"/>
  <c r="AB36" i="72"/>
  <c r="AC36" i="72"/>
  <c r="Z37" i="72"/>
  <c r="AA37" i="72"/>
  <c r="AB37" i="72"/>
  <c r="AC37" i="72"/>
  <c r="Z38" i="72"/>
  <c r="AA38" i="72"/>
  <c r="AB38" i="72"/>
  <c r="AC38" i="72"/>
  <c r="Z39" i="72"/>
  <c r="AA39" i="72"/>
  <c r="AB39" i="72"/>
  <c r="AC39" i="72"/>
  <c r="Z40" i="72"/>
  <c r="AA40" i="72"/>
  <c r="AB40" i="72"/>
  <c r="AC40" i="72"/>
  <c r="AA30" i="72"/>
  <c r="AB30" i="72"/>
  <c r="AC30" i="72"/>
  <c r="L38" i="73"/>
  <c r="L37" i="73"/>
  <c r="L31" i="73"/>
  <c r="L30" i="73"/>
  <c r="U86" i="59"/>
  <c r="U87" i="59"/>
  <c r="U85" i="59" s="1"/>
  <c r="U84" i="59" s="1"/>
  <c r="AD32" i="48"/>
  <c r="AD33" i="48"/>
  <c r="AD34" i="48"/>
  <c r="AD35" i="48"/>
  <c r="AD36" i="48"/>
  <c r="AD37" i="48"/>
  <c r="AD38" i="48"/>
  <c r="AD39" i="48"/>
  <c r="AD40" i="48"/>
  <c r="AD41" i="48"/>
  <c r="AD42" i="48"/>
  <c r="AD43" i="48"/>
  <c r="AD44" i="48"/>
  <c r="AD45" i="48"/>
  <c r="AD46" i="48"/>
  <c r="AD47" i="48"/>
  <c r="AD48" i="48"/>
  <c r="AD49" i="48"/>
  <c r="AD50" i="48"/>
  <c r="AD31" i="48"/>
  <c r="U27" i="48" l="1"/>
  <c r="U26" i="48"/>
  <c r="U25" i="48"/>
  <c r="U16" i="48"/>
  <c r="U10" i="48"/>
  <c r="U11" i="48" s="1"/>
  <c r="AD103" i="59" l="1"/>
  <c r="AD104" i="59"/>
  <c r="AD58" i="59"/>
  <c r="AD57" i="59"/>
  <c r="AD54" i="59"/>
  <c r="AD53" i="59"/>
  <c r="AD38" i="59"/>
  <c r="AD65" i="30"/>
  <c r="AD66" i="30"/>
  <c r="AD67" i="30"/>
  <c r="AD68" i="30"/>
  <c r="AD69" i="30"/>
  <c r="AD70" i="30"/>
  <c r="AD71" i="30"/>
  <c r="AD72" i="30"/>
  <c r="AD73" i="30"/>
  <c r="AD74" i="30"/>
  <c r="AD75" i="30"/>
  <c r="AD76" i="30"/>
  <c r="AD77" i="30"/>
  <c r="AD78" i="30"/>
  <c r="AD79" i="30"/>
  <c r="AD80" i="30"/>
  <c r="AD81" i="30"/>
  <c r="AD82" i="30"/>
  <c r="AD83" i="30"/>
  <c r="AD49" i="30"/>
  <c r="AD50" i="30"/>
  <c r="AD51" i="30"/>
  <c r="AD52" i="30"/>
  <c r="AD53" i="30"/>
  <c r="AD54" i="30"/>
  <c r="AD55" i="30"/>
  <c r="AD56" i="30"/>
  <c r="AD57" i="30"/>
  <c r="AD58" i="30"/>
  <c r="AD59" i="30"/>
  <c r="AD60" i="30"/>
  <c r="AD61" i="30"/>
  <c r="AD62" i="30"/>
  <c r="AD63" i="30"/>
  <c r="AD64" i="30"/>
  <c r="AD48" i="30"/>
  <c r="U9" i="26"/>
  <c r="AD22" i="26"/>
  <c r="AD122" i="26"/>
  <c r="AD123" i="26"/>
  <c r="AD124" i="26"/>
  <c r="AD125" i="26"/>
  <c r="AD127" i="26"/>
  <c r="AD128" i="26"/>
  <c r="AD130" i="26"/>
  <c r="AD131" i="26"/>
  <c r="AD132" i="26"/>
  <c r="AE23" i="26"/>
  <c r="AD23" i="26"/>
  <c r="U38" i="26"/>
  <c r="V38" i="26"/>
  <c r="W38" i="26"/>
  <c r="X38" i="26"/>
  <c r="Y38" i="26"/>
  <c r="Z38" i="26"/>
  <c r="AA38" i="26"/>
  <c r="AB38" i="26"/>
  <c r="AC38" i="26"/>
  <c r="U44" i="26"/>
  <c r="V44" i="26"/>
  <c r="W44" i="26"/>
  <c r="X44" i="26"/>
  <c r="Y44" i="26"/>
  <c r="Z44" i="26"/>
  <c r="AA44" i="26"/>
  <c r="AB44" i="26"/>
  <c r="AC44" i="26"/>
  <c r="T38" i="26"/>
  <c r="T44" i="26"/>
  <c r="M23" i="25"/>
  <c r="AD24" i="26" l="1"/>
  <c r="AE22" i="26"/>
  <c r="G3" i="46" l="1"/>
  <c r="U18" i="25"/>
  <c r="T18" i="25"/>
  <c r="S18" i="25"/>
  <c r="R18" i="25"/>
  <c r="Q18" i="25"/>
  <c r="P18" i="25"/>
  <c r="O18" i="25"/>
  <c r="N18" i="25"/>
  <c r="M18" i="25"/>
  <c r="L18" i="25"/>
  <c r="K18" i="25"/>
  <c r="J18" i="25"/>
  <c r="I18" i="25"/>
  <c r="H18" i="25"/>
  <c r="G18" i="25"/>
  <c r="F18" i="25"/>
  <c r="E18" i="25"/>
  <c r="D18" i="25"/>
  <c r="U17" i="25"/>
  <c r="T17" i="25"/>
  <c r="S17" i="25"/>
  <c r="R17" i="25"/>
  <c r="Q17" i="25"/>
  <c r="P17" i="25"/>
  <c r="O17" i="25"/>
  <c r="N17" i="25"/>
  <c r="M17" i="25"/>
  <c r="L17" i="25"/>
  <c r="K17" i="25"/>
  <c r="J17" i="25"/>
  <c r="I17" i="25"/>
  <c r="H17" i="25"/>
  <c r="G17" i="25"/>
  <c r="F17" i="25"/>
  <c r="E17" i="25"/>
  <c r="D17" i="25"/>
  <c r="U16" i="25"/>
  <c r="T16" i="25"/>
  <c r="S16" i="25"/>
  <c r="R16" i="25"/>
  <c r="Q16" i="25"/>
  <c r="P16" i="25"/>
  <c r="O16" i="25"/>
  <c r="N16" i="25"/>
  <c r="M16" i="25"/>
  <c r="L16" i="25"/>
  <c r="K16" i="25"/>
  <c r="J16" i="25"/>
  <c r="I16" i="25"/>
  <c r="H16" i="25"/>
  <c r="G16" i="25"/>
  <c r="F16" i="25"/>
  <c r="E16" i="25"/>
  <c r="D16" i="25"/>
  <c r="U15" i="25"/>
  <c r="T15" i="25"/>
  <c r="S15" i="25"/>
  <c r="R15" i="25"/>
  <c r="Q15" i="25"/>
  <c r="P15" i="25"/>
  <c r="O15" i="25"/>
  <c r="N15" i="25"/>
  <c r="M15" i="25"/>
  <c r="L15" i="25"/>
  <c r="K15" i="25"/>
  <c r="J15" i="25"/>
  <c r="I15" i="25"/>
  <c r="H15" i="25"/>
  <c r="G15" i="25"/>
  <c r="F15" i="25"/>
  <c r="E15" i="25"/>
  <c r="D15" i="25"/>
  <c r="U14" i="25"/>
  <c r="T14" i="25"/>
  <c r="S14" i="25"/>
  <c r="R14" i="25"/>
  <c r="Q14" i="25"/>
  <c r="P14" i="25"/>
  <c r="O14" i="25"/>
  <c r="N14" i="25"/>
  <c r="M14" i="25"/>
  <c r="M13" i="25" s="1"/>
  <c r="L14" i="25"/>
  <c r="K14" i="25"/>
  <c r="K13" i="25" s="1"/>
  <c r="J14" i="25"/>
  <c r="J13" i="25" s="1"/>
  <c r="I14" i="25"/>
  <c r="H14" i="25"/>
  <c r="G14" i="25"/>
  <c r="F14" i="25"/>
  <c r="E14" i="25"/>
  <c r="D14" i="25"/>
  <c r="S13" i="25"/>
  <c r="R13" i="25"/>
  <c r="U12" i="25"/>
  <c r="T12" i="25"/>
  <c r="S12" i="25"/>
  <c r="R12" i="25"/>
  <c r="Q12" i="25"/>
  <c r="P12" i="25"/>
  <c r="O12" i="25"/>
  <c r="N12" i="25"/>
  <c r="M12" i="25"/>
  <c r="L12" i="25"/>
  <c r="K12" i="25"/>
  <c r="J12" i="25"/>
  <c r="I12" i="25"/>
  <c r="H12" i="25"/>
  <c r="G12" i="25"/>
  <c r="F12" i="25"/>
  <c r="E12" i="25"/>
  <c r="D12" i="25"/>
  <c r="U11" i="25"/>
  <c r="T11" i="25"/>
  <c r="S11" i="25"/>
  <c r="R11" i="25"/>
  <c r="R20" i="25" s="1"/>
  <c r="Q11" i="25"/>
  <c r="P11" i="25"/>
  <c r="O11" i="25"/>
  <c r="N11" i="25"/>
  <c r="M11" i="25"/>
  <c r="L11" i="25"/>
  <c r="K11" i="25"/>
  <c r="J11" i="25"/>
  <c r="I11" i="25"/>
  <c r="I20" i="25" s="1"/>
  <c r="H11" i="25"/>
  <c r="H20" i="25" s="1"/>
  <c r="G11" i="25"/>
  <c r="F11" i="25"/>
  <c r="E11" i="25"/>
  <c r="E20" i="25" s="1"/>
  <c r="D11" i="25"/>
  <c r="D20" i="25" s="1"/>
  <c r="G78" i="21"/>
  <c r="F78" i="21"/>
  <c r="E78" i="21"/>
  <c r="V53" i="21"/>
  <c r="U53" i="21"/>
  <c r="T53" i="21"/>
  <c r="S53" i="21"/>
  <c r="R53" i="21"/>
  <c r="Q53" i="21"/>
  <c r="P53" i="21"/>
  <c r="O53" i="21"/>
  <c r="N53" i="21"/>
  <c r="M53" i="21"/>
  <c r="L53" i="21"/>
  <c r="K53" i="21"/>
  <c r="J53" i="21"/>
  <c r="I53" i="21"/>
  <c r="S51" i="21"/>
  <c r="R51" i="21"/>
  <c r="Q51" i="21"/>
  <c r="P51" i="21"/>
  <c r="O51" i="21"/>
  <c r="N51" i="21"/>
  <c r="M51" i="21"/>
  <c r="L51" i="21"/>
  <c r="K51" i="21"/>
  <c r="J51" i="21"/>
  <c r="I51" i="21"/>
  <c r="H51" i="21"/>
  <c r="G51" i="21"/>
  <c r="S50" i="21"/>
  <c r="R50" i="21"/>
  <c r="Q50" i="21"/>
  <c r="P50" i="21"/>
  <c r="O50" i="21"/>
  <c r="N50" i="21"/>
  <c r="M50" i="21"/>
  <c r="L50" i="21"/>
  <c r="K50" i="21"/>
  <c r="J50" i="21"/>
  <c r="I50" i="21"/>
  <c r="H50" i="21"/>
  <c r="G50" i="21"/>
  <c r="F50" i="21"/>
  <c r="P49" i="21"/>
  <c r="O49" i="21"/>
  <c r="N49" i="21"/>
  <c r="M49" i="21"/>
  <c r="L49" i="21"/>
  <c r="K49" i="21"/>
  <c r="J49" i="21"/>
  <c r="I49" i="21"/>
  <c r="H49" i="21"/>
  <c r="G49" i="21"/>
  <c r="F49" i="21"/>
  <c r="E49" i="21"/>
  <c r="V11" i="21"/>
  <c r="U11" i="21"/>
  <c r="T11" i="21"/>
  <c r="S11" i="21"/>
  <c r="R11" i="21"/>
  <c r="G81" i="21" s="1"/>
  <c r="Q11" i="21"/>
  <c r="P11" i="21"/>
  <c r="O11" i="21"/>
  <c r="N11" i="21"/>
  <c r="F81" i="21" s="1"/>
  <c r="M11" i="21"/>
  <c r="L11" i="21"/>
  <c r="K11" i="21"/>
  <c r="J11" i="21"/>
  <c r="E81" i="21" s="1"/>
  <c r="I11" i="21"/>
  <c r="H11" i="21"/>
  <c r="G11" i="21"/>
  <c r="F11" i="21"/>
  <c r="D81" i="21" s="1"/>
  <c r="G9" i="21"/>
  <c r="M6" i="21"/>
  <c r="R5" i="21"/>
  <c r="P3" i="21"/>
  <c r="N3" i="21"/>
  <c r="G3" i="21"/>
  <c r="F3" i="21"/>
  <c r="D1" i="21"/>
  <c r="C19" i="6"/>
  <c r="B19" i="6"/>
  <c r="T17" i="6"/>
  <c r="S17" i="6"/>
  <c r="U16" i="6"/>
  <c r="T16" i="6"/>
  <c r="S16" i="6"/>
  <c r="V49" i="21" s="1"/>
  <c r="R16" i="6"/>
  <c r="Q16" i="6"/>
  <c r="P16" i="6"/>
  <c r="S49" i="21" s="1"/>
  <c r="O16" i="6"/>
  <c r="R49" i="21" s="1"/>
  <c r="N16" i="6"/>
  <c r="Q49" i="21" s="1"/>
  <c r="C9" i="6"/>
  <c r="U6" i="6"/>
  <c r="V3" i="21" s="1"/>
  <c r="T6" i="6"/>
  <c r="S6" i="6"/>
  <c r="R6" i="6"/>
  <c r="Q6" i="6"/>
  <c r="P6" i="6"/>
  <c r="O6" i="6"/>
  <c r="N6" i="6"/>
  <c r="O3" i="21" s="1"/>
  <c r="M6" i="6"/>
  <c r="L6" i="6"/>
  <c r="K6" i="6"/>
  <c r="J6" i="6"/>
  <c r="I6" i="6"/>
  <c r="H6" i="6"/>
  <c r="G6" i="6"/>
  <c r="H3" i="21" s="1"/>
  <c r="F6" i="6"/>
  <c r="E6" i="6"/>
  <c r="D6" i="6"/>
  <c r="C6" i="6"/>
  <c r="D3" i="21" s="1"/>
  <c r="B6" i="6"/>
  <c r="C3" i="21" s="1"/>
  <c r="BJ16" i="5"/>
  <c r="BI16" i="5"/>
  <c r="BH16" i="5"/>
  <c r="BG16" i="5"/>
  <c r="BF16" i="5"/>
  <c r="BE16" i="5"/>
  <c r="BD16" i="5"/>
  <c r="BC16" i="5"/>
  <c r="BB16" i="5"/>
  <c r="AZ16" i="5"/>
  <c r="AY16" i="5"/>
  <c r="AX16" i="5"/>
  <c r="AW16" i="5"/>
  <c r="AV16" i="5"/>
  <c r="AU16" i="5"/>
  <c r="AT16" i="5"/>
  <c r="AS16" i="5"/>
  <c r="AR16" i="5"/>
  <c r="AQ16" i="5"/>
  <c r="AP16" i="5"/>
  <c r="AO16" i="5"/>
  <c r="AN16" i="5"/>
  <c r="AM16" i="5"/>
  <c r="AL16" i="5"/>
  <c r="AK16" i="5"/>
  <c r="AJ16" i="5"/>
  <c r="AI16" i="5"/>
  <c r="AH16" i="5"/>
  <c r="AG16" i="5"/>
  <c r="AF16" i="5"/>
  <c r="AE16" i="5"/>
  <c r="AD16" i="5"/>
  <c r="AC16" i="5"/>
  <c r="AB16" i="5"/>
  <c r="AA16" i="5"/>
  <c r="Z16" i="5"/>
  <c r="Y16" i="5"/>
  <c r="X16" i="5"/>
  <c r="W16" i="5"/>
  <c r="V16" i="5"/>
  <c r="U16" i="5"/>
  <c r="T16" i="5"/>
  <c r="S16" i="5"/>
  <c r="R16" i="5"/>
  <c r="Q16" i="5"/>
  <c r="P16" i="5"/>
  <c r="O16" i="5"/>
  <c r="N16" i="5"/>
  <c r="H16" i="5"/>
  <c r="G16" i="5"/>
  <c r="N15" i="5"/>
  <c r="M15" i="5"/>
  <c r="K15" i="5"/>
  <c r="J15" i="5"/>
  <c r="I15" i="5"/>
  <c r="H15" i="5"/>
  <c r="G15" i="5"/>
  <c r="E15" i="5"/>
  <c r="D15" i="5"/>
  <c r="C15" i="5"/>
  <c r="F15" i="5" s="1"/>
  <c r="B15" i="5"/>
  <c r="N14" i="5"/>
  <c r="M14" i="5"/>
  <c r="K14" i="5"/>
  <c r="J14" i="5"/>
  <c r="I14" i="5"/>
  <c r="H14" i="5"/>
  <c r="G14" i="5"/>
  <c r="D14" i="5"/>
  <c r="C14" i="5"/>
  <c r="F14" i="5" s="1"/>
  <c r="B14" i="5"/>
  <c r="E14" i="5" s="1"/>
  <c r="N13" i="5"/>
  <c r="M13" i="5"/>
  <c r="K13" i="5"/>
  <c r="J13" i="5"/>
  <c r="I13" i="5"/>
  <c r="H13" i="5"/>
  <c r="G13" i="5"/>
  <c r="F13" i="5"/>
  <c r="E13" i="5"/>
  <c r="D13" i="5"/>
  <c r="C13" i="5"/>
  <c r="B13" i="5"/>
  <c r="N12" i="5"/>
  <c r="M12" i="5"/>
  <c r="K12" i="5"/>
  <c r="J12" i="5"/>
  <c r="J16" i="5" s="1"/>
  <c r="I12" i="5"/>
  <c r="I16" i="5" s="1"/>
  <c r="H12" i="5"/>
  <c r="G12" i="5"/>
  <c r="D12" i="5"/>
  <c r="C12" i="5"/>
  <c r="F12" i="5" s="1"/>
  <c r="B12" i="5"/>
  <c r="E12" i="5" s="1"/>
  <c r="N11" i="5"/>
  <c r="M11" i="5"/>
  <c r="K11" i="5"/>
  <c r="J11" i="5"/>
  <c r="I11" i="5"/>
  <c r="H11" i="5"/>
  <c r="G11" i="5"/>
  <c r="E11" i="5"/>
  <c r="D11" i="5"/>
  <c r="C11" i="5"/>
  <c r="F11" i="5" s="1"/>
  <c r="B11" i="5"/>
  <c r="N10" i="5"/>
  <c r="M10" i="5"/>
  <c r="V12" i="21" s="1"/>
  <c r="K10" i="5"/>
  <c r="V10" i="21" s="1"/>
  <c r="J10" i="5"/>
  <c r="V9" i="21" s="1"/>
  <c r="I10" i="5"/>
  <c r="H10" i="5"/>
  <c r="V7" i="21" s="1"/>
  <c r="G10" i="5"/>
  <c r="V6" i="21" s="1"/>
  <c r="D10" i="5"/>
  <c r="C10" i="5"/>
  <c r="F10" i="5" s="1"/>
  <c r="V5" i="21" s="1"/>
  <c r="B10" i="5"/>
  <c r="E10" i="5" s="1"/>
  <c r="V4" i="21" s="1"/>
  <c r="N9" i="5"/>
  <c r="M9" i="5"/>
  <c r="K9" i="5"/>
  <c r="J9" i="5"/>
  <c r="I9" i="5"/>
  <c r="H9" i="5"/>
  <c r="G9" i="5"/>
  <c r="E9" i="5"/>
  <c r="D9" i="5"/>
  <c r="C9" i="5"/>
  <c r="F9" i="5" s="1"/>
  <c r="B9" i="5"/>
  <c r="N8" i="5"/>
  <c r="M8" i="5"/>
  <c r="K8" i="5"/>
  <c r="J8" i="5"/>
  <c r="O9" i="21" s="1"/>
  <c r="I8" i="5"/>
  <c r="H8" i="5"/>
  <c r="G8" i="5"/>
  <c r="D8" i="5"/>
  <c r="C8" i="5"/>
  <c r="F8" i="5" s="1"/>
  <c r="B8" i="5"/>
  <c r="N7" i="5"/>
  <c r="M7" i="5"/>
  <c r="K7" i="5"/>
  <c r="J7" i="5"/>
  <c r="I7" i="5"/>
  <c r="H7" i="5"/>
  <c r="G7" i="5"/>
  <c r="E7" i="5"/>
  <c r="D7" i="5"/>
  <c r="C7" i="5"/>
  <c r="F7" i="5" s="1"/>
  <c r="B7" i="5"/>
  <c r="N6" i="5"/>
  <c r="M6" i="5"/>
  <c r="K6" i="5"/>
  <c r="J6" i="5"/>
  <c r="I6" i="5"/>
  <c r="H6" i="5"/>
  <c r="G6" i="5"/>
  <c r="D6" i="5"/>
  <c r="C6" i="5"/>
  <c r="F6" i="5" s="1"/>
  <c r="B6" i="5"/>
  <c r="N5" i="5"/>
  <c r="M5" i="5"/>
  <c r="C12" i="21" s="1"/>
  <c r="L5" i="5"/>
  <c r="K5" i="5"/>
  <c r="C10" i="21" s="1"/>
  <c r="J5" i="5"/>
  <c r="C9" i="21" s="1"/>
  <c r="I5" i="5"/>
  <c r="C8" i="21" s="1"/>
  <c r="H5" i="5"/>
  <c r="C7" i="21" s="1"/>
  <c r="G5" i="5"/>
  <c r="F5" i="5"/>
  <c r="E5" i="5"/>
  <c r="D5" i="5"/>
  <c r="C5" i="5"/>
  <c r="B5" i="5"/>
  <c r="F17" i="27"/>
  <c r="F16" i="27"/>
  <c r="F15" i="27"/>
  <c r="F14" i="27"/>
  <c r="F13" i="27"/>
  <c r="F12" i="27"/>
  <c r="F11" i="27"/>
  <c r="F9" i="27"/>
  <c r="F8" i="27"/>
  <c r="F7" i="27"/>
  <c r="F6" i="27"/>
  <c r="F5" i="27"/>
  <c r="B3" i="27"/>
  <c r="N193" i="65"/>
  <c r="O193" i="65" s="1"/>
  <c r="D193" i="65"/>
  <c r="E193" i="65" s="1"/>
  <c r="I192" i="65"/>
  <c r="K191" i="65"/>
  <c r="L191" i="65" s="1"/>
  <c r="F191" i="65"/>
  <c r="G191" i="65" s="1"/>
  <c r="H191" i="65" s="1"/>
  <c r="I191" i="65" s="1"/>
  <c r="J190" i="65"/>
  <c r="K190" i="65" s="1"/>
  <c r="L190" i="65" s="1"/>
  <c r="M190" i="65" s="1"/>
  <c r="G190" i="65"/>
  <c r="H190" i="65" s="1"/>
  <c r="I190" i="65" s="1"/>
  <c r="N189" i="65"/>
  <c r="O189" i="65" s="1"/>
  <c r="M189" i="65"/>
  <c r="D189" i="65"/>
  <c r="E189" i="65" s="1"/>
  <c r="O188" i="65"/>
  <c r="N188" i="65"/>
  <c r="J188" i="65"/>
  <c r="K188" i="65" s="1"/>
  <c r="L188" i="65" s="1"/>
  <c r="M188" i="65" s="1"/>
  <c r="G188" i="65"/>
  <c r="H188" i="65" s="1"/>
  <c r="I188" i="65" s="1"/>
  <c r="F188" i="65"/>
  <c r="D188" i="65"/>
  <c r="E188" i="65" s="1"/>
  <c r="N187" i="65"/>
  <c r="O187" i="65" s="1"/>
  <c r="J186" i="65"/>
  <c r="K186" i="65" s="1"/>
  <c r="L186" i="65" s="1"/>
  <c r="M186" i="65" s="1"/>
  <c r="K185" i="65"/>
  <c r="L185" i="65" s="1"/>
  <c r="M185" i="65" s="1"/>
  <c r="F185" i="65"/>
  <c r="G185" i="65" s="1"/>
  <c r="H185" i="65" s="1"/>
  <c r="I185" i="65" s="1"/>
  <c r="E185" i="65"/>
  <c r="S141" i="26" s="1"/>
  <c r="D185" i="65"/>
  <c r="J184" i="65"/>
  <c r="K184" i="65" s="1"/>
  <c r="L184" i="65" s="1"/>
  <c r="M184" i="65" s="1"/>
  <c r="G184" i="65"/>
  <c r="H184" i="65" s="1"/>
  <c r="I184" i="65" s="1"/>
  <c r="N179" i="65"/>
  <c r="M179" i="65"/>
  <c r="L179" i="65"/>
  <c r="O178" i="65"/>
  <c r="J178" i="65"/>
  <c r="I178" i="65"/>
  <c r="H178" i="65"/>
  <c r="G178" i="65"/>
  <c r="N177" i="65"/>
  <c r="M177" i="65"/>
  <c r="L177" i="65"/>
  <c r="K177" i="65"/>
  <c r="F177" i="65"/>
  <c r="J192" i="65" s="1"/>
  <c r="K192" i="65" s="1"/>
  <c r="L192" i="65" s="1"/>
  <c r="M192" i="65" s="1"/>
  <c r="E177" i="65"/>
  <c r="F192" i="65" s="1"/>
  <c r="G192" i="65" s="1"/>
  <c r="H192" i="65" s="1"/>
  <c r="D177" i="65"/>
  <c r="D192" i="65" s="1"/>
  <c r="E192" i="65" s="1"/>
  <c r="O176" i="65"/>
  <c r="J176" i="65"/>
  <c r="I176" i="65"/>
  <c r="H176" i="65"/>
  <c r="G176" i="65"/>
  <c r="N191" i="65" s="1"/>
  <c r="O191" i="65" s="1"/>
  <c r="N175" i="65"/>
  <c r="M175" i="65"/>
  <c r="L175" i="65"/>
  <c r="K175" i="65"/>
  <c r="F175" i="65"/>
  <c r="E175" i="65"/>
  <c r="F190" i="65" s="1"/>
  <c r="D175" i="65"/>
  <c r="D190" i="65" s="1"/>
  <c r="E190" i="65" s="1"/>
  <c r="O174" i="65"/>
  <c r="J174" i="65"/>
  <c r="I174" i="65"/>
  <c r="H174" i="65"/>
  <c r="G174" i="65"/>
  <c r="N172" i="65"/>
  <c r="M172" i="65"/>
  <c r="L172" i="65"/>
  <c r="K172" i="65"/>
  <c r="F172" i="65"/>
  <c r="J187" i="65" s="1"/>
  <c r="K187" i="65" s="1"/>
  <c r="E172" i="65"/>
  <c r="F187" i="65" s="1"/>
  <c r="G187" i="65" s="1"/>
  <c r="H187" i="65" s="1"/>
  <c r="I187" i="65" s="1"/>
  <c r="D172" i="65"/>
  <c r="D187" i="65" s="1"/>
  <c r="E187" i="65" s="1"/>
  <c r="O171" i="65"/>
  <c r="J171" i="65"/>
  <c r="I171" i="65"/>
  <c r="H171" i="65"/>
  <c r="G171" i="65"/>
  <c r="N186" i="65" s="1"/>
  <c r="O186" i="65" s="1"/>
  <c r="N170" i="65"/>
  <c r="M170" i="65"/>
  <c r="L170" i="65"/>
  <c r="K170" i="65"/>
  <c r="F170" i="65"/>
  <c r="J185" i="65" s="1"/>
  <c r="E170" i="65"/>
  <c r="D170" i="65"/>
  <c r="O169" i="65"/>
  <c r="N169" i="65"/>
  <c r="M169" i="65"/>
  <c r="L169" i="65"/>
  <c r="K169" i="65"/>
  <c r="J169" i="65"/>
  <c r="I169" i="65"/>
  <c r="H169" i="65"/>
  <c r="G169" i="65"/>
  <c r="N184" i="65" s="1"/>
  <c r="O184" i="65" s="1"/>
  <c r="F169" i="65"/>
  <c r="E169" i="65"/>
  <c r="F184" i="65" s="1"/>
  <c r="D169" i="65"/>
  <c r="D184" i="65" s="1"/>
  <c r="E184" i="65" s="1"/>
  <c r="O85" i="65"/>
  <c r="N85" i="65"/>
  <c r="N178" i="65" s="1"/>
  <c r="M85" i="65"/>
  <c r="M178" i="65" s="1"/>
  <c r="L85" i="65"/>
  <c r="L178" i="65" s="1"/>
  <c r="K85" i="65"/>
  <c r="K178" i="65" s="1"/>
  <c r="J85" i="65"/>
  <c r="I85" i="65"/>
  <c r="H85" i="65"/>
  <c r="G85" i="65"/>
  <c r="F85" i="65"/>
  <c r="F178" i="65" s="1"/>
  <c r="J193" i="65" s="1"/>
  <c r="K193" i="65" s="1"/>
  <c r="L193" i="65" s="1"/>
  <c r="M193" i="65" s="1"/>
  <c r="E85" i="65"/>
  <c r="E178" i="65" s="1"/>
  <c r="F193" i="65" s="1"/>
  <c r="G193" i="65" s="1"/>
  <c r="H193" i="65" s="1"/>
  <c r="I193" i="65" s="1"/>
  <c r="D85" i="65"/>
  <c r="D178" i="65" s="1"/>
  <c r="O84" i="65"/>
  <c r="O177" i="65" s="1"/>
  <c r="N84" i="65"/>
  <c r="M84" i="65"/>
  <c r="L84" i="65"/>
  <c r="K84" i="65"/>
  <c r="J84" i="65"/>
  <c r="J177" i="65" s="1"/>
  <c r="I84" i="65"/>
  <c r="I177" i="65" s="1"/>
  <c r="H84" i="65"/>
  <c r="H177" i="65" s="1"/>
  <c r="G84" i="65"/>
  <c r="G177" i="65" s="1"/>
  <c r="N192" i="65" s="1"/>
  <c r="O192" i="65" s="1"/>
  <c r="F84" i="65"/>
  <c r="E84" i="65"/>
  <c r="D84" i="65"/>
  <c r="O83" i="65"/>
  <c r="O179" i="65" s="1"/>
  <c r="N83" i="65"/>
  <c r="M83" i="65"/>
  <c r="L83" i="65"/>
  <c r="K83" i="65"/>
  <c r="K179" i="65" s="1"/>
  <c r="J83" i="65"/>
  <c r="J179" i="65" s="1"/>
  <c r="I83" i="65"/>
  <c r="I179" i="65" s="1"/>
  <c r="H83" i="65"/>
  <c r="H179" i="65" s="1"/>
  <c r="G83" i="65"/>
  <c r="G179" i="65" s="1"/>
  <c r="N194" i="65" s="1"/>
  <c r="O194" i="65" s="1"/>
  <c r="F83" i="65"/>
  <c r="F179" i="65" s="1"/>
  <c r="J194" i="65" s="1"/>
  <c r="K194" i="65" s="1"/>
  <c r="L194" i="65" s="1"/>
  <c r="M194" i="65" s="1"/>
  <c r="E83" i="65"/>
  <c r="E179" i="65" s="1"/>
  <c r="F194" i="65" s="1"/>
  <c r="G194" i="65" s="1"/>
  <c r="H194" i="65" s="1"/>
  <c r="I194" i="65" s="1"/>
  <c r="D83" i="65"/>
  <c r="D179" i="65" s="1"/>
  <c r="D194" i="65" s="1"/>
  <c r="E194" i="65" s="1"/>
  <c r="O74" i="65"/>
  <c r="O172" i="65" s="1"/>
  <c r="N74" i="65"/>
  <c r="M74" i="65"/>
  <c r="L74" i="65"/>
  <c r="K74" i="65"/>
  <c r="J74" i="65"/>
  <c r="J172" i="65" s="1"/>
  <c r="I74" i="65"/>
  <c r="I172" i="65" s="1"/>
  <c r="H74" i="65"/>
  <c r="H172" i="65" s="1"/>
  <c r="G74" i="65"/>
  <c r="G172" i="65" s="1"/>
  <c r="F74" i="65"/>
  <c r="E74" i="65"/>
  <c r="D74" i="65"/>
  <c r="O73" i="65"/>
  <c r="N73" i="65"/>
  <c r="N176" i="65" s="1"/>
  <c r="M73" i="65"/>
  <c r="M176" i="65" s="1"/>
  <c r="L73" i="65"/>
  <c r="L176" i="65" s="1"/>
  <c r="K73" i="65"/>
  <c r="K176" i="65" s="1"/>
  <c r="J73" i="65"/>
  <c r="I73" i="65"/>
  <c r="H73" i="65"/>
  <c r="G73" i="65"/>
  <c r="F73" i="65"/>
  <c r="F176" i="65" s="1"/>
  <c r="J191" i="65" s="1"/>
  <c r="E73" i="65"/>
  <c r="E176" i="65" s="1"/>
  <c r="D73" i="65"/>
  <c r="D176" i="65" s="1"/>
  <c r="D191" i="65" s="1"/>
  <c r="E191" i="65" s="1"/>
  <c r="O72" i="65"/>
  <c r="O175" i="65" s="1"/>
  <c r="N72" i="65"/>
  <c r="M72" i="65"/>
  <c r="L72" i="65"/>
  <c r="K72" i="65"/>
  <c r="J72" i="65"/>
  <c r="J175" i="65" s="1"/>
  <c r="I72" i="65"/>
  <c r="I175" i="65" s="1"/>
  <c r="H72" i="65"/>
  <c r="H175" i="65" s="1"/>
  <c r="G72" i="65"/>
  <c r="G175" i="65" s="1"/>
  <c r="N190" i="65" s="1"/>
  <c r="O190" i="65" s="1"/>
  <c r="F72" i="65"/>
  <c r="E72" i="65"/>
  <c r="D72" i="65"/>
  <c r="O71" i="65"/>
  <c r="N71" i="65"/>
  <c r="N174" i="65" s="1"/>
  <c r="M71" i="65"/>
  <c r="M174" i="65" s="1"/>
  <c r="L71" i="65"/>
  <c r="L174" i="65" s="1"/>
  <c r="K71" i="65"/>
  <c r="K174" i="65" s="1"/>
  <c r="J71" i="65"/>
  <c r="I71" i="65"/>
  <c r="H71" i="65"/>
  <c r="G71" i="65"/>
  <c r="F71" i="65"/>
  <c r="F174" i="65" s="1"/>
  <c r="J189" i="65" s="1"/>
  <c r="K189" i="65" s="1"/>
  <c r="L189" i="65" s="1"/>
  <c r="E71" i="65"/>
  <c r="E174" i="65" s="1"/>
  <c r="F189" i="65" s="1"/>
  <c r="G189" i="65" s="1"/>
  <c r="H189" i="65" s="1"/>
  <c r="I189" i="65" s="1"/>
  <c r="D71" i="65"/>
  <c r="D174" i="65" s="1"/>
  <c r="O70" i="65"/>
  <c r="O170" i="65" s="1"/>
  <c r="N70" i="65"/>
  <c r="M70" i="65"/>
  <c r="L70" i="65"/>
  <c r="K70" i="65"/>
  <c r="J70" i="65"/>
  <c r="J170" i="65" s="1"/>
  <c r="I70" i="65"/>
  <c r="I170" i="65" s="1"/>
  <c r="H70" i="65"/>
  <c r="H170" i="65" s="1"/>
  <c r="G70" i="65"/>
  <c r="G170" i="65" s="1"/>
  <c r="N185" i="65" s="1"/>
  <c r="O185" i="65" s="1"/>
  <c r="F70" i="65"/>
  <c r="E70" i="65"/>
  <c r="D70" i="65"/>
  <c r="O69" i="65"/>
  <c r="N69" i="65"/>
  <c r="N171" i="65" s="1"/>
  <c r="M69" i="65"/>
  <c r="M171" i="65" s="1"/>
  <c r="L69" i="65"/>
  <c r="L171" i="65" s="1"/>
  <c r="K69" i="65"/>
  <c r="K171" i="65" s="1"/>
  <c r="J69" i="65"/>
  <c r="I69" i="65"/>
  <c r="H69" i="65"/>
  <c r="G69" i="65"/>
  <c r="F69" i="65"/>
  <c r="F171" i="65" s="1"/>
  <c r="E69" i="65"/>
  <c r="E171" i="65" s="1"/>
  <c r="F186" i="65" s="1"/>
  <c r="G186" i="65" s="1"/>
  <c r="H186" i="65" s="1"/>
  <c r="I186" i="65" s="1"/>
  <c r="D69" i="65"/>
  <c r="D171" i="65" s="1"/>
  <c r="D186" i="65" s="1"/>
  <c r="E186" i="65" s="1"/>
  <c r="AF63" i="70"/>
  <c r="AE63" i="70"/>
  <c r="AD63" i="70"/>
  <c r="AC63" i="70"/>
  <c r="AB63" i="70"/>
  <c r="AA63" i="70"/>
  <c r="Z63" i="70"/>
  <c r="Y63" i="70"/>
  <c r="X63" i="70"/>
  <c r="W63" i="70"/>
  <c r="V63" i="70"/>
  <c r="U63" i="70"/>
  <c r="T63" i="70"/>
  <c r="S63" i="70"/>
  <c r="AF62" i="70"/>
  <c r="AE62" i="70"/>
  <c r="AD62" i="70"/>
  <c r="AC62" i="70"/>
  <c r="AB62" i="70"/>
  <c r="AA62" i="70"/>
  <c r="Z62" i="70"/>
  <c r="Y62" i="70"/>
  <c r="Y46" i="70" s="1"/>
  <c r="Y14" i="70" s="1"/>
  <c r="Y24" i="70" s="1"/>
  <c r="F3" i="71" s="1"/>
  <c r="X62" i="70"/>
  <c r="W62" i="70"/>
  <c r="V62" i="70"/>
  <c r="U62" i="70"/>
  <c r="T62" i="70"/>
  <c r="S62" i="70"/>
  <c r="AF61" i="70"/>
  <c r="AE61" i="70"/>
  <c r="AF45" i="70" s="1"/>
  <c r="AF12" i="70" s="1"/>
  <c r="AF23" i="70" s="1"/>
  <c r="AD61" i="70"/>
  <c r="AC61" i="70"/>
  <c r="AB61" i="70"/>
  <c r="AA61" i="70"/>
  <c r="Z61" i="70"/>
  <c r="Y61" i="70"/>
  <c r="X61" i="70"/>
  <c r="W61" i="70"/>
  <c r="W45" i="70" s="1"/>
  <c r="W12" i="70" s="1"/>
  <c r="W23" i="70" s="1"/>
  <c r="D2" i="71" s="1"/>
  <c r="V61" i="70"/>
  <c r="U61" i="70"/>
  <c r="T61" i="70"/>
  <c r="S61" i="70"/>
  <c r="U49" i="70"/>
  <c r="U20" i="70" s="1"/>
  <c r="U27" i="70" s="1"/>
  <c r="T49" i="70"/>
  <c r="T20" i="70" s="1"/>
  <c r="T27" i="70" s="1"/>
  <c r="S49" i="70"/>
  <c r="S20" i="70" s="1"/>
  <c r="R49" i="70"/>
  <c r="R20" i="70" s="1"/>
  <c r="R27" i="70" s="1"/>
  <c r="Q49" i="70"/>
  <c r="Q20" i="70" s="1"/>
  <c r="Q27" i="70" s="1"/>
  <c r="P49" i="70"/>
  <c r="P20" i="70" s="1"/>
  <c r="P27" i="70" s="1"/>
  <c r="O49" i="70"/>
  <c r="O20" i="70" s="1"/>
  <c r="O27" i="70" s="1"/>
  <c r="N49" i="70"/>
  <c r="N20" i="70" s="1"/>
  <c r="N27" i="70" s="1"/>
  <c r="M49" i="70"/>
  <c r="M20" i="70" s="1"/>
  <c r="M27" i="70" s="1"/>
  <c r="L49" i="70"/>
  <c r="L20" i="70" s="1"/>
  <c r="L27" i="70" s="1"/>
  <c r="K49" i="70"/>
  <c r="K20" i="70" s="1"/>
  <c r="K27" i="70" s="1"/>
  <c r="J49" i="70"/>
  <c r="J20" i="70" s="1"/>
  <c r="J27" i="70" s="1"/>
  <c r="I49" i="70"/>
  <c r="H49" i="70"/>
  <c r="H20" i="70" s="1"/>
  <c r="H27" i="70" s="1"/>
  <c r="G49" i="70"/>
  <c r="G20" i="70" s="1"/>
  <c r="G27" i="70" s="1"/>
  <c r="F49" i="70"/>
  <c r="F20" i="70" s="1"/>
  <c r="F27" i="70" s="1"/>
  <c r="E49" i="70"/>
  <c r="E20" i="70" s="1"/>
  <c r="E27" i="70" s="1"/>
  <c r="D49" i="70"/>
  <c r="D20" i="70" s="1"/>
  <c r="D27" i="70" s="1"/>
  <c r="U48" i="70"/>
  <c r="T48" i="70"/>
  <c r="T18" i="70" s="1"/>
  <c r="T26" i="70" s="1"/>
  <c r="S48" i="70"/>
  <c r="R48" i="70"/>
  <c r="R18" i="70" s="1"/>
  <c r="R26" i="70" s="1"/>
  <c r="Q48" i="70"/>
  <c r="Q18" i="70" s="1"/>
  <c r="Q26" i="70" s="1"/>
  <c r="P48" i="70"/>
  <c r="P18" i="70" s="1"/>
  <c r="P26" i="70" s="1"/>
  <c r="O48" i="70"/>
  <c r="O18" i="70" s="1"/>
  <c r="O26" i="70" s="1"/>
  <c r="N48" i="70"/>
  <c r="N18" i="70" s="1"/>
  <c r="N26" i="70" s="1"/>
  <c r="M48" i="70"/>
  <c r="M18" i="70" s="1"/>
  <c r="M26" i="70" s="1"/>
  <c r="L48" i="70"/>
  <c r="L18" i="70" s="1"/>
  <c r="L26" i="70" s="1"/>
  <c r="K48" i="70"/>
  <c r="J48" i="70"/>
  <c r="J18" i="70" s="1"/>
  <c r="J26" i="70" s="1"/>
  <c r="I48" i="70"/>
  <c r="I18" i="70" s="1"/>
  <c r="I26" i="70" s="1"/>
  <c r="H48" i="70"/>
  <c r="H18" i="70" s="1"/>
  <c r="H26" i="70" s="1"/>
  <c r="G48" i="70"/>
  <c r="G18" i="70" s="1"/>
  <c r="G26" i="70" s="1"/>
  <c r="F48" i="70"/>
  <c r="F18" i="70" s="1"/>
  <c r="F26" i="70" s="1"/>
  <c r="E48" i="70"/>
  <c r="E18" i="70" s="1"/>
  <c r="E26" i="70" s="1"/>
  <c r="D48" i="70"/>
  <c r="D18" i="70" s="1"/>
  <c r="D26" i="70" s="1"/>
  <c r="U47" i="70"/>
  <c r="U16" i="70" s="1"/>
  <c r="U25" i="70" s="1"/>
  <c r="T47" i="70"/>
  <c r="T16" i="70" s="1"/>
  <c r="T25" i="70" s="1"/>
  <c r="S47" i="70"/>
  <c r="S16" i="70" s="1"/>
  <c r="S25" i="70" s="1"/>
  <c r="R47" i="70"/>
  <c r="R16" i="70" s="1"/>
  <c r="R25" i="70" s="1"/>
  <c r="Q47" i="70"/>
  <c r="Q16" i="70" s="1"/>
  <c r="Q25" i="70" s="1"/>
  <c r="P47" i="70"/>
  <c r="P16" i="70" s="1"/>
  <c r="P25" i="70" s="1"/>
  <c r="O47" i="70"/>
  <c r="O16" i="70" s="1"/>
  <c r="O25" i="70" s="1"/>
  <c r="N47" i="70"/>
  <c r="N16" i="70" s="1"/>
  <c r="N25" i="70" s="1"/>
  <c r="M47" i="70"/>
  <c r="M16" i="70" s="1"/>
  <c r="L47" i="70"/>
  <c r="L16" i="70" s="1"/>
  <c r="L25" i="70" s="1"/>
  <c r="K47" i="70"/>
  <c r="K16" i="70" s="1"/>
  <c r="K25" i="70" s="1"/>
  <c r="J47" i="70"/>
  <c r="J16" i="70" s="1"/>
  <c r="J25" i="70" s="1"/>
  <c r="I47" i="70"/>
  <c r="I16" i="70" s="1"/>
  <c r="I25" i="70" s="1"/>
  <c r="H47" i="70"/>
  <c r="H16" i="70" s="1"/>
  <c r="H25" i="70" s="1"/>
  <c r="G47" i="70"/>
  <c r="G16" i="70" s="1"/>
  <c r="G25" i="70" s="1"/>
  <c r="F47" i="70"/>
  <c r="F16" i="70" s="1"/>
  <c r="F25" i="70" s="1"/>
  <c r="E47" i="70"/>
  <c r="E16" i="70" s="1"/>
  <c r="E25" i="70" s="1"/>
  <c r="D47" i="70"/>
  <c r="D16" i="70" s="1"/>
  <c r="D25" i="70" s="1"/>
  <c r="U46" i="70"/>
  <c r="U14" i="70" s="1"/>
  <c r="U24" i="70" s="1"/>
  <c r="T46" i="70"/>
  <c r="T14" i="70" s="1"/>
  <c r="T24" i="70" s="1"/>
  <c r="S46" i="70"/>
  <c r="S14" i="70" s="1"/>
  <c r="S24" i="70" s="1"/>
  <c r="R46" i="70"/>
  <c r="R14" i="70" s="1"/>
  <c r="R24" i="70" s="1"/>
  <c r="Q46" i="70"/>
  <c r="Q14" i="70" s="1"/>
  <c r="Q24" i="70" s="1"/>
  <c r="P46" i="70"/>
  <c r="P14" i="70" s="1"/>
  <c r="P24" i="70" s="1"/>
  <c r="O46" i="70"/>
  <c r="O14" i="70" s="1"/>
  <c r="O24" i="70" s="1"/>
  <c r="N46" i="70"/>
  <c r="N14" i="70" s="1"/>
  <c r="N24" i="70" s="1"/>
  <c r="M46" i="70"/>
  <c r="M14" i="70" s="1"/>
  <c r="M24" i="70" s="1"/>
  <c r="L46" i="70"/>
  <c r="L14" i="70" s="1"/>
  <c r="L24" i="70" s="1"/>
  <c r="K46" i="70"/>
  <c r="J46" i="70"/>
  <c r="J14" i="70" s="1"/>
  <c r="J24" i="70" s="1"/>
  <c r="I46" i="70"/>
  <c r="I14" i="70" s="1"/>
  <c r="I24" i="70" s="1"/>
  <c r="H46" i="70"/>
  <c r="H14" i="70" s="1"/>
  <c r="H24" i="70" s="1"/>
  <c r="G46" i="70"/>
  <c r="G14" i="70" s="1"/>
  <c r="G24" i="70" s="1"/>
  <c r="F46" i="70"/>
  <c r="F14" i="70" s="1"/>
  <c r="F24" i="70" s="1"/>
  <c r="E46" i="70"/>
  <c r="E14" i="70" s="1"/>
  <c r="E24" i="70" s="1"/>
  <c r="D46" i="70"/>
  <c r="D14" i="70" s="1"/>
  <c r="D24" i="70" s="1"/>
  <c r="AD45" i="70"/>
  <c r="AD12" i="70" s="1"/>
  <c r="AD23" i="70" s="1"/>
  <c r="U45" i="70"/>
  <c r="U12" i="70" s="1"/>
  <c r="U23" i="70" s="1"/>
  <c r="T45" i="70"/>
  <c r="T12" i="70" s="1"/>
  <c r="T23" i="70" s="1"/>
  <c r="S45" i="70"/>
  <c r="S12" i="70" s="1"/>
  <c r="S23" i="70" s="1"/>
  <c r="R45" i="70"/>
  <c r="R12" i="70" s="1"/>
  <c r="R23" i="70" s="1"/>
  <c r="Q45" i="70"/>
  <c r="Q12" i="70" s="1"/>
  <c r="Q23" i="70" s="1"/>
  <c r="P45" i="70"/>
  <c r="P12" i="70" s="1"/>
  <c r="P23" i="70" s="1"/>
  <c r="O45" i="70"/>
  <c r="O12" i="70" s="1"/>
  <c r="O23" i="70" s="1"/>
  <c r="N45" i="70"/>
  <c r="N12" i="70" s="1"/>
  <c r="N23" i="70" s="1"/>
  <c r="M45" i="70"/>
  <c r="M12" i="70" s="1"/>
  <c r="M23" i="70" s="1"/>
  <c r="L45" i="70"/>
  <c r="L12" i="70" s="1"/>
  <c r="L23" i="70" s="1"/>
  <c r="K45" i="70"/>
  <c r="K12" i="70" s="1"/>
  <c r="K23" i="70" s="1"/>
  <c r="J45" i="70"/>
  <c r="J12" i="70" s="1"/>
  <c r="J23" i="70" s="1"/>
  <c r="I45" i="70"/>
  <c r="I12" i="70" s="1"/>
  <c r="I23" i="70" s="1"/>
  <c r="H45" i="70"/>
  <c r="H12" i="70" s="1"/>
  <c r="H23" i="70" s="1"/>
  <c r="G45" i="70"/>
  <c r="G12" i="70" s="1"/>
  <c r="G23" i="70" s="1"/>
  <c r="F45" i="70"/>
  <c r="F12" i="70" s="1"/>
  <c r="F23" i="70" s="1"/>
  <c r="E45" i="70"/>
  <c r="E12" i="70" s="1"/>
  <c r="E23" i="70" s="1"/>
  <c r="D45" i="70"/>
  <c r="D12" i="70" s="1"/>
  <c r="D23" i="70" s="1"/>
  <c r="S27" i="70"/>
  <c r="M25" i="70"/>
  <c r="I20" i="70"/>
  <c r="I27" i="70" s="1"/>
  <c r="U18" i="70"/>
  <c r="U26" i="70" s="1"/>
  <c r="S18" i="70"/>
  <c r="S26" i="70" s="1"/>
  <c r="K18" i="70"/>
  <c r="K26" i="70" s="1"/>
  <c r="K14" i="70"/>
  <c r="K24" i="70" s="1"/>
  <c r="M11" i="29"/>
  <c r="P10" i="29"/>
  <c r="T9" i="29"/>
  <c r="T10" i="29" s="1"/>
  <c r="S9" i="29"/>
  <c r="S10" i="29" s="1"/>
  <c r="S16" i="59" s="1"/>
  <c r="R9" i="29"/>
  <c r="R10" i="29" s="1"/>
  <c r="Q9" i="29"/>
  <c r="Q10" i="29" s="1"/>
  <c r="P9" i="29"/>
  <c r="O9" i="29"/>
  <c r="O10" i="29" s="1"/>
  <c r="N9" i="29"/>
  <c r="N10" i="29" s="1"/>
  <c r="M9" i="29"/>
  <c r="L9" i="29"/>
  <c r="L11" i="29" s="1"/>
  <c r="K9" i="29"/>
  <c r="K11" i="29" s="1"/>
  <c r="K16" i="59" s="1"/>
  <c r="J9" i="29"/>
  <c r="J11" i="29" s="1"/>
  <c r="J16" i="59" s="1"/>
  <c r="T17" i="40"/>
  <c r="K17" i="40"/>
  <c r="O16" i="40"/>
  <c r="L15" i="40"/>
  <c r="K15" i="40"/>
  <c r="O14" i="40"/>
  <c r="O17" i="40" s="1"/>
  <c r="T13" i="40"/>
  <c r="T14" i="40" s="1"/>
  <c r="T15" i="40" s="1"/>
  <c r="S13" i="40"/>
  <c r="R13" i="40"/>
  <c r="Q13" i="40"/>
  <c r="P13" i="40"/>
  <c r="O13" i="40"/>
  <c r="N13" i="40"/>
  <c r="M13" i="40"/>
  <c r="L13" i="40"/>
  <c r="L14" i="40" s="1"/>
  <c r="L17" i="40" s="1"/>
  <c r="K13" i="40"/>
  <c r="K14" i="40" s="1"/>
  <c r="J13" i="40"/>
  <c r="T12" i="40"/>
  <c r="S12" i="40"/>
  <c r="R12" i="40"/>
  <c r="Q12" i="40"/>
  <c r="P12" i="40"/>
  <c r="O12" i="40"/>
  <c r="N12" i="40"/>
  <c r="M12" i="40"/>
  <c r="L12" i="40"/>
  <c r="K12" i="40"/>
  <c r="J12" i="40"/>
  <c r="T11" i="40"/>
  <c r="S11" i="40"/>
  <c r="R11" i="40"/>
  <c r="Q11" i="40"/>
  <c r="P11" i="40"/>
  <c r="O11" i="40"/>
  <c r="N11" i="40"/>
  <c r="M11" i="40"/>
  <c r="L11" i="40"/>
  <c r="K11" i="40"/>
  <c r="J11" i="40"/>
  <c r="I67" i="38"/>
  <c r="L65" i="38"/>
  <c r="I65" i="38"/>
  <c r="I70" i="38" s="1"/>
  <c r="L64" i="38"/>
  <c r="L56" i="38"/>
  <c r="M55" i="38"/>
  <c r="M56" i="38" s="1"/>
  <c r="K55" i="38"/>
  <c r="P54" i="38"/>
  <c r="P55" i="38" s="1"/>
  <c r="O54" i="38"/>
  <c r="N54" i="38"/>
  <c r="M54" i="38"/>
  <c r="L54" i="38"/>
  <c r="L55" i="38" s="1"/>
  <c r="K54" i="38"/>
  <c r="J54" i="38"/>
  <c r="J55" i="38" s="1"/>
  <c r="J56" i="38" s="1"/>
  <c r="P53" i="38"/>
  <c r="O53" i="38"/>
  <c r="N53" i="38"/>
  <c r="M53" i="38"/>
  <c r="L53" i="38"/>
  <c r="K53" i="38"/>
  <c r="J53" i="38"/>
  <c r="O48" i="38"/>
  <c r="N48" i="38"/>
  <c r="J45" i="38"/>
  <c r="Q44" i="38"/>
  <c r="J44" i="38"/>
  <c r="Q43" i="38"/>
  <c r="J43" i="38"/>
  <c r="J42" i="38"/>
  <c r="T41" i="38"/>
  <c r="S41" i="38"/>
  <c r="S42" i="38" s="1"/>
  <c r="S43" i="38" s="1"/>
  <c r="S44" i="38" s="1"/>
  <c r="S45" i="38" s="1"/>
  <c r="J41" i="38"/>
  <c r="T40" i="38"/>
  <c r="P40" i="38" s="1"/>
  <c r="S40" i="38"/>
  <c r="Q40" i="38"/>
  <c r="R40" i="38" s="1"/>
  <c r="J40" i="38"/>
  <c r="T39" i="38"/>
  <c r="S39" i="38"/>
  <c r="R39" i="38"/>
  <c r="Q39" i="38"/>
  <c r="J39" i="38"/>
  <c r="P39" i="38" s="1"/>
  <c r="T38" i="38"/>
  <c r="S38" i="38"/>
  <c r="J38" i="38"/>
  <c r="R37" i="38"/>
  <c r="Q37" i="38"/>
  <c r="J37" i="38"/>
  <c r="P37" i="38" s="1"/>
  <c r="J36" i="38"/>
  <c r="J35" i="38"/>
  <c r="J34" i="38"/>
  <c r="P33" i="38"/>
  <c r="J33" i="38"/>
  <c r="J32" i="38"/>
  <c r="P32" i="38" s="1"/>
  <c r="J31" i="38"/>
  <c r="T30" i="38"/>
  <c r="T31" i="38" s="1"/>
  <c r="T32" i="38" s="1"/>
  <c r="T33" i="38" s="1"/>
  <c r="T34" i="38" s="1"/>
  <c r="T35" i="38" s="1"/>
  <c r="T36" i="38" s="1"/>
  <c r="S30" i="38"/>
  <c r="J30" i="38"/>
  <c r="T29" i="38"/>
  <c r="S29" i="38"/>
  <c r="O29" i="38" s="1"/>
  <c r="P29" i="38"/>
  <c r="Q29" i="38" s="1"/>
  <c r="J29" i="38"/>
  <c r="T28" i="38"/>
  <c r="S28" i="38"/>
  <c r="J28" i="38"/>
  <c r="P28" i="38" s="1"/>
  <c r="O27" i="38"/>
  <c r="J27" i="38"/>
  <c r="N26" i="38"/>
  <c r="J26" i="38"/>
  <c r="J25" i="38"/>
  <c r="S24" i="38"/>
  <c r="J24" i="38"/>
  <c r="N24" i="38" s="1"/>
  <c r="S23" i="38"/>
  <c r="J23" i="38"/>
  <c r="J22" i="38"/>
  <c r="J21" i="38"/>
  <c r="J20" i="38"/>
  <c r="M20" i="38" s="1"/>
  <c r="J19" i="38"/>
  <c r="J18" i="38"/>
  <c r="M17" i="38"/>
  <c r="J17" i="38"/>
  <c r="J16" i="38"/>
  <c r="S15" i="38"/>
  <c r="J15" i="38"/>
  <c r="S14" i="38"/>
  <c r="M14" i="38"/>
  <c r="L14" i="38"/>
  <c r="N14" i="38" s="1"/>
  <c r="J14" i="38"/>
  <c r="J13" i="38"/>
  <c r="N12" i="38"/>
  <c r="M12" i="38"/>
  <c r="L12" i="38"/>
  <c r="J12" i="38"/>
  <c r="J11" i="38"/>
  <c r="AC191" i="48"/>
  <c r="AB191" i="48"/>
  <c r="AA191" i="48"/>
  <c r="Z191" i="48"/>
  <c r="Y191" i="48"/>
  <c r="X191" i="48"/>
  <c r="W191" i="48"/>
  <c r="V191" i="48"/>
  <c r="U191" i="48"/>
  <c r="T191" i="48"/>
  <c r="T179" i="48" s="1"/>
  <c r="U179" i="48" s="1"/>
  <c r="V179" i="48" s="1"/>
  <c r="S191" i="48"/>
  <c r="R191" i="48"/>
  <c r="Q191" i="48"/>
  <c r="P191" i="48"/>
  <c r="O191" i="48"/>
  <c r="N191" i="48"/>
  <c r="AC189" i="48"/>
  <c r="AB189" i="48"/>
  <c r="AA189" i="48"/>
  <c r="Z189" i="48"/>
  <c r="Y189" i="48"/>
  <c r="X189" i="48"/>
  <c r="W189" i="48"/>
  <c r="V189" i="48"/>
  <c r="U189" i="48"/>
  <c r="T189" i="48"/>
  <c r="T177" i="48" s="1"/>
  <c r="U177" i="48" s="1"/>
  <c r="V177" i="48" s="1"/>
  <c r="S189" i="48"/>
  <c r="R189" i="48"/>
  <c r="Q189" i="48"/>
  <c r="P189" i="48"/>
  <c r="O189" i="48"/>
  <c r="N189" i="48"/>
  <c r="AC187" i="48"/>
  <c r="AB187" i="48"/>
  <c r="AA187" i="48"/>
  <c r="Z187" i="48"/>
  <c r="Y187" i="48"/>
  <c r="X187" i="48"/>
  <c r="W187" i="48"/>
  <c r="V187" i="48"/>
  <c r="U187" i="48"/>
  <c r="T187" i="48"/>
  <c r="T175" i="48" s="1"/>
  <c r="U175" i="48" s="1"/>
  <c r="V175" i="48" s="1"/>
  <c r="S187" i="48"/>
  <c r="R187" i="48"/>
  <c r="Q187" i="48"/>
  <c r="P187" i="48"/>
  <c r="O187" i="48"/>
  <c r="N187" i="48"/>
  <c r="M187" i="48"/>
  <c r="L187" i="48"/>
  <c r="K187" i="48"/>
  <c r="J187" i="48"/>
  <c r="I187" i="48"/>
  <c r="H187" i="48"/>
  <c r="G187" i="48"/>
  <c r="AC185" i="48"/>
  <c r="AB185" i="48"/>
  <c r="AA185" i="48"/>
  <c r="Z185" i="48"/>
  <c r="Y185" i="48"/>
  <c r="X185" i="48"/>
  <c r="W185" i="48"/>
  <c r="V185" i="48"/>
  <c r="U185" i="48"/>
  <c r="T185" i="48"/>
  <c r="T173" i="48" s="1"/>
  <c r="U173" i="48" s="1"/>
  <c r="S185" i="48"/>
  <c r="R185" i="48"/>
  <c r="Q185" i="48"/>
  <c r="P185" i="48"/>
  <c r="O185" i="48"/>
  <c r="N185" i="48"/>
  <c r="M185" i="48"/>
  <c r="L185" i="48"/>
  <c r="K185" i="48"/>
  <c r="J185" i="48"/>
  <c r="I185" i="48"/>
  <c r="H185" i="48"/>
  <c r="G185" i="48"/>
  <c r="S171" i="48"/>
  <c r="R171" i="48"/>
  <c r="Q171" i="48"/>
  <c r="P171" i="48"/>
  <c r="O171" i="48"/>
  <c r="N171" i="48"/>
  <c r="M171" i="48"/>
  <c r="L171" i="48"/>
  <c r="K171" i="48"/>
  <c r="J171" i="48"/>
  <c r="I171" i="48"/>
  <c r="H171" i="48"/>
  <c r="G171" i="48"/>
  <c r="F171" i="48"/>
  <c r="T147" i="48"/>
  <c r="S147" i="48"/>
  <c r="R147" i="48"/>
  <c r="Q147" i="48"/>
  <c r="P147" i="48"/>
  <c r="O147" i="48"/>
  <c r="N147" i="48"/>
  <c r="M147" i="48"/>
  <c r="L147" i="48"/>
  <c r="K147" i="48"/>
  <c r="J147" i="48"/>
  <c r="I147" i="48"/>
  <c r="H147" i="48"/>
  <c r="G147" i="48"/>
  <c r="F147" i="48"/>
  <c r="U146" i="48"/>
  <c r="U151" i="48" s="1"/>
  <c r="T146" i="48"/>
  <c r="S146" i="48"/>
  <c r="R146" i="48"/>
  <c r="Q146" i="48"/>
  <c r="P146" i="48"/>
  <c r="O146" i="48"/>
  <c r="N146" i="48"/>
  <c r="M146" i="48"/>
  <c r="L146" i="48"/>
  <c r="K146" i="48"/>
  <c r="J146" i="48"/>
  <c r="I146" i="48"/>
  <c r="H146" i="48"/>
  <c r="G146" i="48"/>
  <c r="F146" i="48"/>
  <c r="U144" i="48"/>
  <c r="T144" i="48"/>
  <c r="S144" i="48"/>
  <c r="R144" i="48"/>
  <c r="Q144" i="48"/>
  <c r="P144" i="48"/>
  <c r="O144" i="48"/>
  <c r="N144" i="48"/>
  <c r="M144" i="48"/>
  <c r="L144" i="48"/>
  <c r="K144" i="48"/>
  <c r="J144" i="48"/>
  <c r="I144" i="48"/>
  <c r="H144" i="48"/>
  <c r="G144" i="48"/>
  <c r="F144" i="48"/>
  <c r="U143" i="48"/>
  <c r="T143" i="48"/>
  <c r="S143" i="48"/>
  <c r="R143" i="48"/>
  <c r="Q143" i="48"/>
  <c r="P143" i="48"/>
  <c r="O143" i="48"/>
  <c r="N143" i="48"/>
  <c r="M143" i="48"/>
  <c r="L143" i="48"/>
  <c r="K143" i="48"/>
  <c r="J143" i="48"/>
  <c r="I143" i="48"/>
  <c r="H143" i="48"/>
  <c r="G143" i="48"/>
  <c r="F143" i="48"/>
  <c r="U142" i="48"/>
  <c r="T142" i="48"/>
  <c r="S142" i="48"/>
  <c r="R142" i="48"/>
  <c r="Q142" i="48"/>
  <c r="P142" i="48"/>
  <c r="O142" i="48"/>
  <c r="N142" i="48"/>
  <c r="M142" i="48"/>
  <c r="L142" i="48"/>
  <c r="K142" i="48"/>
  <c r="J142" i="48"/>
  <c r="I142" i="48"/>
  <c r="H142" i="48"/>
  <c r="G142" i="48"/>
  <c r="F142" i="48"/>
  <c r="U141" i="48"/>
  <c r="U145" i="48" s="1"/>
  <c r="U150" i="48" s="1"/>
  <c r="T141" i="48"/>
  <c r="S141" i="48"/>
  <c r="S140" i="48" s="1"/>
  <c r="R141" i="48"/>
  <c r="R140" i="48" s="1"/>
  <c r="Q141" i="48"/>
  <c r="Q145" i="48" s="1"/>
  <c r="P141" i="48"/>
  <c r="O141" i="48"/>
  <c r="O145" i="48" s="1"/>
  <c r="N141" i="48"/>
  <c r="N145" i="48" s="1"/>
  <c r="M141" i="48"/>
  <c r="M145" i="48" s="1"/>
  <c r="L141" i="48"/>
  <c r="L140" i="48" s="1"/>
  <c r="K141" i="48"/>
  <c r="J141" i="48"/>
  <c r="J140" i="48" s="1"/>
  <c r="I141" i="48"/>
  <c r="I145" i="48" s="1"/>
  <c r="H141" i="48"/>
  <c r="G141" i="48"/>
  <c r="G145" i="48" s="1"/>
  <c r="F141" i="48"/>
  <c r="F145" i="48" s="1"/>
  <c r="U140" i="48"/>
  <c r="U149" i="48" s="1"/>
  <c r="T140" i="48"/>
  <c r="Q140" i="48"/>
  <c r="I140" i="48"/>
  <c r="AC122" i="48"/>
  <c r="AB122" i="48"/>
  <c r="AA122" i="48"/>
  <c r="Z122" i="48"/>
  <c r="Y122" i="48"/>
  <c r="X122" i="48"/>
  <c r="V122" i="48"/>
  <c r="U122" i="48"/>
  <c r="T122" i="48"/>
  <c r="S122" i="48"/>
  <c r="R122" i="48"/>
  <c r="Q122" i="48"/>
  <c r="P122" i="48"/>
  <c r="O122" i="48"/>
  <c r="N122" i="48"/>
  <c r="M122" i="48"/>
  <c r="L122" i="48"/>
  <c r="K122" i="48"/>
  <c r="J122" i="48"/>
  <c r="I122" i="48"/>
  <c r="H122" i="48"/>
  <c r="G122" i="48"/>
  <c r="F122" i="48"/>
  <c r="L109" i="48"/>
  <c r="K109" i="48"/>
  <c r="J109" i="48"/>
  <c r="I109" i="48"/>
  <c r="H109" i="48"/>
  <c r="G109" i="48"/>
  <c r="F109" i="48"/>
  <c r="E109" i="48"/>
  <c r="L107" i="48"/>
  <c r="K107" i="48"/>
  <c r="J107" i="48"/>
  <c r="I107" i="48"/>
  <c r="H107" i="48"/>
  <c r="G107" i="48"/>
  <c r="F107" i="48"/>
  <c r="E107" i="48"/>
  <c r="L106" i="48"/>
  <c r="K106" i="48"/>
  <c r="J106" i="48"/>
  <c r="I106" i="48"/>
  <c r="H106" i="48"/>
  <c r="G106" i="48"/>
  <c r="F106" i="48"/>
  <c r="E106" i="48"/>
  <c r="F94" i="48"/>
  <c r="E94" i="48"/>
  <c r="F92" i="48"/>
  <c r="E92" i="48"/>
  <c r="F91" i="48"/>
  <c r="E91" i="48"/>
  <c r="L78" i="48"/>
  <c r="L108" i="48" s="1"/>
  <c r="K78" i="48"/>
  <c r="K108" i="48" s="1"/>
  <c r="J78" i="48"/>
  <c r="J108" i="48" s="1"/>
  <c r="I78" i="48"/>
  <c r="I108" i="48" s="1"/>
  <c r="H78" i="48"/>
  <c r="H108" i="48" s="1"/>
  <c r="G78" i="48"/>
  <c r="G108" i="48" s="1"/>
  <c r="F78" i="48"/>
  <c r="F108" i="48" s="1"/>
  <c r="E78" i="48"/>
  <c r="E108" i="48" s="1"/>
  <c r="T28" i="48"/>
  <c r="S28" i="48"/>
  <c r="R28" i="48"/>
  <c r="Q28" i="48"/>
  <c r="P28" i="48"/>
  <c r="P152" i="48" s="1"/>
  <c r="O28" i="48"/>
  <c r="O152" i="48" s="1"/>
  <c r="N28" i="48"/>
  <c r="M28" i="48"/>
  <c r="M152" i="48" s="1"/>
  <c r="L28" i="48"/>
  <c r="K28" i="48"/>
  <c r="J28" i="48"/>
  <c r="I28" i="48"/>
  <c r="H28" i="48"/>
  <c r="G28" i="48"/>
  <c r="G152" i="48" s="1"/>
  <c r="F28" i="48"/>
  <c r="T27" i="48"/>
  <c r="S27" i="48"/>
  <c r="R27" i="48"/>
  <c r="Q27" i="48"/>
  <c r="Q151" i="48" s="1"/>
  <c r="P27" i="48"/>
  <c r="P151" i="48" s="1"/>
  <c r="O27" i="48"/>
  <c r="O151" i="48" s="1"/>
  <c r="N27" i="48"/>
  <c r="M27" i="48"/>
  <c r="M151" i="48" s="1"/>
  <c r="L27" i="48"/>
  <c r="K27" i="48"/>
  <c r="J27" i="48"/>
  <c r="I27" i="48"/>
  <c r="I151" i="48" s="1"/>
  <c r="H27" i="48"/>
  <c r="H151" i="48" s="1"/>
  <c r="G27" i="48"/>
  <c r="G151" i="48" s="1"/>
  <c r="F27" i="48"/>
  <c r="T26" i="48"/>
  <c r="S26" i="48"/>
  <c r="R26" i="48"/>
  <c r="Q26" i="48"/>
  <c r="P26" i="48"/>
  <c r="O26" i="48"/>
  <c r="N26" i="48"/>
  <c r="M26" i="48"/>
  <c r="M150" i="48" s="1"/>
  <c r="L26" i="48"/>
  <c r="K26" i="48"/>
  <c r="J26" i="48"/>
  <c r="I26" i="48"/>
  <c r="H26" i="48"/>
  <c r="G26" i="48"/>
  <c r="G150" i="48" s="1"/>
  <c r="F26" i="48"/>
  <c r="T25" i="48"/>
  <c r="S25" i="48"/>
  <c r="R25" i="48"/>
  <c r="Q25" i="48"/>
  <c r="P25" i="48"/>
  <c r="O25" i="48"/>
  <c r="N25" i="48"/>
  <c r="M25" i="48"/>
  <c r="L25" i="48"/>
  <c r="K25" i="48"/>
  <c r="J25" i="48"/>
  <c r="I25" i="48"/>
  <c r="H25" i="48"/>
  <c r="G25" i="48"/>
  <c r="F25" i="48"/>
  <c r="T19" i="48"/>
  <c r="S19" i="48"/>
  <c r="R19" i="48"/>
  <c r="Q19" i="48"/>
  <c r="Q137" i="48" s="1"/>
  <c r="P19" i="48"/>
  <c r="P137" i="48" s="1"/>
  <c r="O19" i="48"/>
  <c r="O137" i="48" s="1"/>
  <c r="N19" i="48"/>
  <c r="M19" i="48"/>
  <c r="M137" i="48" s="1"/>
  <c r="H117" i="48" s="1"/>
  <c r="L19" i="48"/>
  <c r="K19" i="48"/>
  <c r="J19" i="48"/>
  <c r="I19" i="48"/>
  <c r="I137" i="48" s="1"/>
  <c r="H19" i="48"/>
  <c r="G19" i="48"/>
  <c r="F19" i="48"/>
  <c r="T16" i="48"/>
  <c r="S16" i="48"/>
  <c r="R16" i="48"/>
  <c r="Q16" i="48"/>
  <c r="P16" i="48"/>
  <c r="O16" i="48"/>
  <c r="O136" i="48" s="1"/>
  <c r="N16" i="48"/>
  <c r="M16" i="48"/>
  <c r="M136" i="48" s="1"/>
  <c r="L16" i="48"/>
  <c r="K16" i="48"/>
  <c r="J16" i="48"/>
  <c r="I16" i="48"/>
  <c r="I136" i="48" s="1"/>
  <c r="H16" i="48"/>
  <c r="H136" i="48" s="1"/>
  <c r="G16" i="48"/>
  <c r="F16" i="48"/>
  <c r="U13" i="48"/>
  <c r="U9" i="48" s="1"/>
  <c r="T13" i="48"/>
  <c r="S13" i="48"/>
  <c r="R13" i="48"/>
  <c r="Q13" i="48"/>
  <c r="P13" i="48"/>
  <c r="O13" i="48"/>
  <c r="O135" i="48" s="1"/>
  <c r="N13" i="48"/>
  <c r="M13" i="48"/>
  <c r="M135" i="48" s="1"/>
  <c r="L13" i="48"/>
  <c r="K13" i="48"/>
  <c r="J13" i="48"/>
  <c r="I13" i="48"/>
  <c r="H13" i="48"/>
  <c r="G13" i="48"/>
  <c r="F13" i="48"/>
  <c r="T10" i="48"/>
  <c r="S10" i="48"/>
  <c r="R10" i="48"/>
  <c r="Q10" i="48"/>
  <c r="P10" i="48"/>
  <c r="O10" i="48"/>
  <c r="N10" i="48"/>
  <c r="M10" i="48"/>
  <c r="L10" i="48"/>
  <c r="K10" i="48"/>
  <c r="J10" i="48"/>
  <c r="I10" i="48"/>
  <c r="H10" i="48"/>
  <c r="G10" i="48"/>
  <c r="F10" i="48"/>
  <c r="E114" i="59"/>
  <c r="E115" i="59" s="1"/>
  <c r="F113" i="59"/>
  <c r="G113" i="59" s="1"/>
  <c r="U88" i="59"/>
  <c r="T88" i="59"/>
  <c r="U89" i="59" s="1"/>
  <c r="AD102" i="59" s="1"/>
  <c r="S88" i="59"/>
  <c r="R88" i="59"/>
  <c r="Q88" i="59"/>
  <c r="P88" i="59"/>
  <c r="O88" i="59"/>
  <c r="N88" i="59"/>
  <c r="M88" i="59"/>
  <c r="L88" i="59"/>
  <c r="K88" i="59"/>
  <c r="J88" i="59"/>
  <c r="I88" i="59"/>
  <c r="H88" i="59"/>
  <c r="G88" i="59"/>
  <c r="F88" i="59"/>
  <c r="E88" i="59"/>
  <c r="D88" i="59"/>
  <c r="U81" i="59"/>
  <c r="T81" i="59"/>
  <c r="S81" i="59"/>
  <c r="R81" i="59"/>
  <c r="Q81" i="59"/>
  <c r="P81" i="59"/>
  <c r="O81" i="59"/>
  <c r="N81" i="59"/>
  <c r="M81" i="59"/>
  <c r="L81" i="59"/>
  <c r="K81" i="59"/>
  <c r="J81" i="59"/>
  <c r="I81" i="59"/>
  <c r="H81" i="59"/>
  <c r="G81" i="59"/>
  <c r="F81" i="59"/>
  <c r="E81" i="59"/>
  <c r="D81" i="59"/>
  <c r="U71" i="59"/>
  <c r="T71" i="59"/>
  <c r="S71" i="59"/>
  <c r="R71" i="59"/>
  <c r="Q71" i="59"/>
  <c r="P71" i="59"/>
  <c r="O71" i="59"/>
  <c r="N71" i="59"/>
  <c r="M71" i="59"/>
  <c r="L71" i="59"/>
  <c r="K71" i="59"/>
  <c r="J71" i="59"/>
  <c r="I71" i="59"/>
  <c r="H71" i="59"/>
  <c r="G71" i="59"/>
  <c r="F71" i="59"/>
  <c r="E71" i="59"/>
  <c r="D71" i="59"/>
  <c r="T29" i="59"/>
  <c r="S29" i="59"/>
  <c r="R29" i="59"/>
  <c r="Q29" i="59"/>
  <c r="P29" i="59"/>
  <c r="O29" i="59"/>
  <c r="N29" i="59"/>
  <c r="M29" i="59"/>
  <c r="L29" i="59"/>
  <c r="K29" i="59"/>
  <c r="J29" i="59"/>
  <c r="I29" i="59"/>
  <c r="H29" i="59"/>
  <c r="G29" i="59"/>
  <c r="F29" i="59"/>
  <c r="E29" i="59"/>
  <c r="D29" i="59"/>
  <c r="AC26" i="59"/>
  <c r="AB26" i="59"/>
  <c r="Y26" i="59"/>
  <c r="X26" i="59"/>
  <c r="W26" i="59"/>
  <c r="V26" i="59"/>
  <c r="U26" i="59"/>
  <c r="AD51" i="59" s="1"/>
  <c r="T26" i="59"/>
  <c r="S26" i="59"/>
  <c r="AC22" i="59"/>
  <c r="AB22" i="59"/>
  <c r="AA22" i="59"/>
  <c r="Z22" i="59"/>
  <c r="Y22" i="59"/>
  <c r="X22" i="59"/>
  <c r="W22" i="59"/>
  <c r="V22" i="59"/>
  <c r="U22" i="59"/>
  <c r="AD47" i="59" s="1"/>
  <c r="T22" i="59"/>
  <c r="S22" i="59"/>
  <c r="R22" i="59"/>
  <c r="Q22" i="59"/>
  <c r="O22" i="59"/>
  <c r="N22" i="59"/>
  <c r="M22" i="59"/>
  <c r="L22" i="59"/>
  <c r="K22" i="59"/>
  <c r="J22" i="59"/>
  <c r="U21" i="59"/>
  <c r="AD46" i="59" s="1"/>
  <c r="T21" i="59"/>
  <c r="S21" i="59"/>
  <c r="R21" i="59"/>
  <c r="Q21" i="59"/>
  <c r="P21" i="59"/>
  <c r="O21" i="59"/>
  <c r="N21" i="59"/>
  <c r="M21" i="59"/>
  <c r="H20" i="59"/>
  <c r="G20" i="59"/>
  <c r="F20" i="59"/>
  <c r="E20" i="59"/>
  <c r="D20" i="59"/>
  <c r="AC19" i="59"/>
  <c r="AB19" i="59"/>
  <c r="AA19" i="59"/>
  <c r="Z19" i="59"/>
  <c r="Y19" i="59"/>
  <c r="X19" i="59"/>
  <c r="W19" i="59"/>
  <c r="V19" i="59"/>
  <c r="U19" i="59"/>
  <c r="AD44" i="59" s="1"/>
  <c r="T19" i="59"/>
  <c r="S19" i="59"/>
  <c r="R19" i="59"/>
  <c r="Q19" i="59"/>
  <c r="O19" i="59"/>
  <c r="N19" i="59"/>
  <c r="M19" i="59"/>
  <c r="L19" i="59"/>
  <c r="L24" i="59" s="1"/>
  <c r="E5" i="50" s="1"/>
  <c r="K19" i="59"/>
  <c r="K24" i="59" s="1"/>
  <c r="D5" i="50" s="1"/>
  <c r="J19" i="59"/>
  <c r="J24" i="59" s="1"/>
  <c r="C5" i="50" s="1"/>
  <c r="I19" i="59"/>
  <c r="I24" i="59" s="1"/>
  <c r="H19" i="59"/>
  <c r="H24" i="59" s="1"/>
  <c r="G19" i="59"/>
  <c r="G24" i="59" s="1"/>
  <c r="F19" i="59"/>
  <c r="F24" i="59" s="1"/>
  <c r="E19" i="59"/>
  <c r="E24" i="59" s="1"/>
  <c r="D19" i="59"/>
  <c r="D24" i="59" s="1"/>
  <c r="AB17" i="59"/>
  <c r="J15" i="35" s="1"/>
  <c r="K17" i="55" s="1"/>
  <c r="K67" i="55" s="1"/>
  <c r="AC16" i="59"/>
  <c r="AB16" i="59"/>
  <c r="AA16" i="59"/>
  <c r="Z16" i="59"/>
  <c r="Y16" i="59"/>
  <c r="X16" i="59"/>
  <c r="W16" i="59"/>
  <c r="V16" i="59"/>
  <c r="U16" i="59"/>
  <c r="AD41" i="59" s="1"/>
  <c r="T16" i="59"/>
  <c r="P16" i="59"/>
  <c r="O16" i="59"/>
  <c r="N16" i="59"/>
  <c r="L16" i="59"/>
  <c r="I16" i="59"/>
  <c r="H16" i="59"/>
  <c r="U15" i="59"/>
  <c r="AD40" i="59" s="1"/>
  <c r="O15" i="59"/>
  <c r="M15" i="59"/>
  <c r="L15" i="59"/>
  <c r="G15" i="59"/>
  <c r="E15" i="59"/>
  <c r="U12" i="59"/>
  <c r="AD37" i="59" s="1"/>
  <c r="T12" i="59"/>
  <c r="S12" i="59"/>
  <c r="R12" i="59"/>
  <c r="Q12" i="59"/>
  <c r="P12" i="59"/>
  <c r="O12" i="59"/>
  <c r="N12" i="59"/>
  <c r="M12" i="59"/>
  <c r="L12" i="59"/>
  <c r="K12" i="59"/>
  <c r="J12" i="59"/>
  <c r="I12" i="59"/>
  <c r="H12" i="59"/>
  <c r="G12" i="59"/>
  <c r="F12" i="59"/>
  <c r="E12" i="59"/>
  <c r="D12" i="59"/>
  <c r="AF19" i="67"/>
  <c r="AE19" i="67"/>
  <c r="AD19" i="67"/>
  <c r="AC19" i="67"/>
  <c r="AB19" i="67"/>
  <c r="AA19" i="67"/>
  <c r="Z19" i="67"/>
  <c r="Y19" i="67"/>
  <c r="X19" i="67"/>
  <c r="W19" i="67"/>
  <c r="V19" i="67"/>
  <c r="U19" i="67"/>
  <c r="T19" i="67"/>
  <c r="S19" i="67"/>
  <c r="R19" i="67"/>
  <c r="AF11" i="67"/>
  <c r="AE11" i="67"/>
  <c r="AD11" i="67"/>
  <c r="AC11" i="67"/>
  <c r="AB11" i="67"/>
  <c r="AA11" i="67"/>
  <c r="Z11" i="67"/>
  <c r="Y11" i="67"/>
  <c r="X11" i="67"/>
  <c r="W11" i="67"/>
  <c r="V11" i="67"/>
  <c r="U11" i="67"/>
  <c r="T11" i="67"/>
  <c r="S11" i="67"/>
  <c r="R11" i="67"/>
  <c r="G23" i="33"/>
  <c r="I21" i="33"/>
  <c r="H21" i="33"/>
  <c r="G21" i="33"/>
  <c r="F21" i="33"/>
  <c r="F23" i="33" s="1"/>
  <c r="E21" i="33"/>
  <c r="J20" i="33"/>
  <c r="AA12" i="33"/>
  <c r="Z12" i="33"/>
  <c r="Y12" i="33"/>
  <c r="X12" i="33"/>
  <c r="Q12" i="33"/>
  <c r="O12" i="33"/>
  <c r="N12" i="33"/>
  <c r="Z11" i="33"/>
  <c r="V11" i="33"/>
  <c r="W11" i="33" s="1"/>
  <c r="X11" i="33" s="1"/>
  <c r="Y11" i="33" s="1"/>
  <c r="U11" i="33"/>
  <c r="T11" i="33"/>
  <c r="S11" i="33"/>
  <c r="R11" i="33"/>
  <c r="Q11" i="33"/>
  <c r="P11" i="33"/>
  <c r="O11" i="33"/>
  <c r="N11" i="33"/>
  <c r="M11" i="33"/>
  <c r="L11" i="33"/>
  <c r="K11" i="33"/>
  <c r="J11" i="33"/>
  <c r="U10" i="33"/>
  <c r="T10" i="33"/>
  <c r="S10" i="33"/>
  <c r="S15" i="59" s="1"/>
  <c r="R10" i="33"/>
  <c r="R15" i="59" s="1"/>
  <c r="Q10" i="33"/>
  <c r="P10" i="33"/>
  <c r="O10" i="33"/>
  <c r="N10" i="33"/>
  <c r="N15" i="59" s="1"/>
  <c r="M10" i="33"/>
  <c r="L10" i="33"/>
  <c r="K10" i="33"/>
  <c r="K15" i="59" s="1"/>
  <c r="J10" i="33"/>
  <c r="J15" i="59" s="1"/>
  <c r="I10" i="33"/>
  <c r="H10" i="33"/>
  <c r="H15" i="59" s="1"/>
  <c r="G10" i="33"/>
  <c r="F10" i="33"/>
  <c r="F15" i="59" s="1"/>
  <c r="E10" i="33"/>
  <c r="D10" i="33"/>
  <c r="C22" i="33" s="1"/>
  <c r="L51" i="49"/>
  <c r="K51" i="49"/>
  <c r="J51" i="49"/>
  <c r="P50" i="49"/>
  <c r="O50" i="49"/>
  <c r="N50" i="49"/>
  <c r="M50" i="49"/>
  <c r="L50" i="49"/>
  <c r="K50" i="49"/>
  <c r="J50" i="49"/>
  <c r="I50" i="49"/>
  <c r="H50" i="49"/>
  <c r="G50" i="49"/>
  <c r="F50" i="49"/>
  <c r="P49" i="49"/>
  <c r="O49" i="49"/>
  <c r="N49" i="49"/>
  <c r="M49" i="49"/>
  <c r="L49" i="49"/>
  <c r="K49" i="49"/>
  <c r="J49" i="49"/>
  <c r="I49" i="49"/>
  <c r="H49" i="49"/>
  <c r="G49" i="49"/>
  <c r="F49" i="49"/>
  <c r="T26" i="49"/>
  <c r="T30" i="59" s="1"/>
  <c r="D26" i="49"/>
  <c r="U11" i="49"/>
  <c r="T11" i="49"/>
  <c r="S11" i="49"/>
  <c r="R11" i="49"/>
  <c r="R12" i="49" s="1"/>
  <c r="Q11" i="49"/>
  <c r="Q12" i="49" s="1"/>
  <c r="P11" i="49"/>
  <c r="O11" i="49"/>
  <c r="N11" i="49"/>
  <c r="M11" i="49"/>
  <c r="L11" i="49"/>
  <c r="K11" i="49"/>
  <c r="J11" i="49"/>
  <c r="J12" i="49" s="1"/>
  <c r="I11" i="49"/>
  <c r="I12" i="49" s="1"/>
  <c r="I28" i="49" s="1"/>
  <c r="I29" i="49" s="1"/>
  <c r="H11" i="49"/>
  <c r="G11" i="49"/>
  <c r="F11" i="49"/>
  <c r="E11" i="49"/>
  <c r="D11" i="49"/>
  <c r="U10" i="49"/>
  <c r="T10" i="49"/>
  <c r="S10" i="49"/>
  <c r="S26" i="49" s="1"/>
  <c r="R10" i="49"/>
  <c r="R26" i="49" s="1"/>
  <c r="R28" i="49" s="1"/>
  <c r="Q10" i="49"/>
  <c r="Q26" i="49" s="1"/>
  <c r="Q30" i="59" s="1"/>
  <c r="P10" i="49"/>
  <c r="P26" i="49" s="1"/>
  <c r="O10" i="49"/>
  <c r="N10" i="49"/>
  <c r="M10" i="49"/>
  <c r="L10" i="49"/>
  <c r="L26" i="49" s="1"/>
  <c r="K10" i="49"/>
  <c r="K26" i="49" s="1"/>
  <c r="J10" i="49"/>
  <c r="J26" i="49" s="1"/>
  <c r="I10" i="49"/>
  <c r="I26" i="49" s="1"/>
  <c r="I30" i="59" s="1"/>
  <c r="H10" i="49"/>
  <c r="H26" i="49" s="1"/>
  <c r="G10" i="49"/>
  <c r="F10" i="49"/>
  <c r="E10" i="49"/>
  <c r="D10" i="49"/>
  <c r="G46" i="30"/>
  <c r="F46" i="30"/>
  <c r="W45" i="30"/>
  <c r="AC43" i="30"/>
  <c r="AB43" i="30"/>
  <c r="AC41" i="30"/>
  <c r="AB41" i="30"/>
  <c r="AC40" i="30"/>
  <c r="AB40" i="30"/>
  <c r="AA40" i="30"/>
  <c r="Z40" i="30"/>
  <c r="Y40" i="30"/>
  <c r="X40" i="30"/>
  <c r="M40" i="30"/>
  <c r="AC39" i="30"/>
  <c r="AB39" i="30"/>
  <c r="AA39" i="30"/>
  <c r="Z39" i="30"/>
  <c r="Y39" i="30"/>
  <c r="X39" i="30"/>
  <c r="AC38" i="30"/>
  <c r="AB38" i="30"/>
  <c r="AA38" i="30"/>
  <c r="Z38" i="30"/>
  <c r="Y38" i="30"/>
  <c r="X38" i="30"/>
  <c r="AC37" i="30"/>
  <c r="AC20" i="30" s="1"/>
  <c r="AB37" i="30"/>
  <c r="AB20" i="30" s="1"/>
  <c r="AA37" i="30"/>
  <c r="Z37" i="30"/>
  <c r="Y37" i="30"/>
  <c r="AC36" i="30"/>
  <c r="AB36" i="30"/>
  <c r="AA36" i="30"/>
  <c r="Z36" i="30"/>
  <c r="Y36" i="30"/>
  <c r="X36" i="30"/>
  <c r="O34" i="30"/>
  <c r="N34" i="30"/>
  <c r="O33" i="30"/>
  <c r="N30" i="30"/>
  <c r="N29" i="30"/>
  <c r="AC27" i="30"/>
  <c r="AB27" i="30"/>
  <c r="X27" i="30"/>
  <c r="W27" i="30"/>
  <c r="V27" i="30"/>
  <c r="U27" i="30"/>
  <c r="T27" i="30"/>
  <c r="S27" i="30"/>
  <c r="AC26" i="30"/>
  <c r="AB26" i="30"/>
  <c r="AA26" i="30"/>
  <c r="Z26" i="30"/>
  <c r="Y26" i="30"/>
  <c r="X26" i="30"/>
  <c r="W26" i="30"/>
  <c r="V26" i="30"/>
  <c r="U26" i="30"/>
  <c r="T26" i="30"/>
  <c r="S26" i="30"/>
  <c r="AC25" i="30"/>
  <c r="AB25" i="30"/>
  <c r="AA25" i="30"/>
  <c r="Z25" i="30"/>
  <c r="Y25" i="30"/>
  <c r="X25" i="30"/>
  <c r="W25" i="30"/>
  <c r="V25" i="30"/>
  <c r="U25" i="30"/>
  <c r="T25" i="30"/>
  <c r="O25" i="30"/>
  <c r="AC24" i="30"/>
  <c r="AB24" i="30"/>
  <c r="V23" i="30"/>
  <c r="W23" i="30" s="1"/>
  <c r="X23" i="30" s="1"/>
  <c r="Y23" i="30" s="1"/>
  <c r="Z23" i="30" s="1"/>
  <c r="AA23" i="30" s="1"/>
  <c r="AB23" i="30" s="1"/>
  <c r="AC23" i="30" s="1"/>
  <c r="U23" i="30"/>
  <c r="T23" i="30"/>
  <c r="S23" i="30"/>
  <c r="R23" i="30"/>
  <c r="Q23" i="30"/>
  <c r="P23" i="30"/>
  <c r="O23" i="30"/>
  <c r="N23" i="30"/>
  <c r="U22" i="30"/>
  <c r="T22" i="30"/>
  <c r="S22" i="30"/>
  <c r="R22" i="30"/>
  <c r="Q22" i="30"/>
  <c r="P22" i="30"/>
  <c r="O22" i="30"/>
  <c r="N22" i="30"/>
  <c r="U21" i="30"/>
  <c r="V21" i="30" s="1"/>
  <c r="W21" i="30" s="1"/>
  <c r="X21" i="30" s="1"/>
  <c r="Y21" i="30" s="1"/>
  <c r="Z21" i="30" s="1"/>
  <c r="AA21" i="30" s="1"/>
  <c r="AB21" i="30" s="1"/>
  <c r="AC21" i="30" s="1"/>
  <c r="T21" i="30"/>
  <c r="S21" i="30"/>
  <c r="R21" i="30"/>
  <c r="Q21" i="30"/>
  <c r="P21" i="30"/>
  <c r="O21" i="30"/>
  <c r="N21" i="30"/>
  <c r="M21" i="30"/>
  <c r="L21" i="30"/>
  <c r="K21" i="30"/>
  <c r="J21" i="30"/>
  <c r="I21" i="30"/>
  <c r="H21" i="30"/>
  <c r="AA20" i="30"/>
  <c r="Z20" i="30"/>
  <c r="Y20" i="30"/>
  <c r="U20" i="30"/>
  <c r="T20" i="30"/>
  <c r="S20" i="30"/>
  <c r="R20" i="30"/>
  <c r="Q20" i="30"/>
  <c r="P20" i="30"/>
  <c r="O20" i="30"/>
  <c r="N20" i="30"/>
  <c r="M20" i="30"/>
  <c r="L20" i="30"/>
  <c r="K20" i="30"/>
  <c r="J20" i="30"/>
  <c r="I20" i="30"/>
  <c r="H20" i="30"/>
  <c r="U19" i="30"/>
  <c r="T19" i="30"/>
  <c r="S19" i="30"/>
  <c r="R19" i="30"/>
  <c r="Q19" i="30"/>
  <c r="P19" i="30"/>
  <c r="O19" i="30"/>
  <c r="N19" i="30"/>
  <c r="M19" i="30"/>
  <c r="L19" i="30"/>
  <c r="K19" i="30"/>
  <c r="J19" i="30"/>
  <c r="I19" i="30"/>
  <c r="H19" i="30"/>
  <c r="AC18" i="30"/>
  <c r="AB18" i="30"/>
  <c r="AA18" i="30"/>
  <c r="Z18" i="30"/>
  <c r="Y18" i="30"/>
  <c r="X18" i="30"/>
  <c r="W18" i="30"/>
  <c r="V18" i="30"/>
  <c r="U18" i="30"/>
  <c r="T18" i="30"/>
  <c r="S18" i="30"/>
  <c r="R18" i="30"/>
  <c r="Q18" i="30"/>
  <c r="P18" i="30"/>
  <c r="O18" i="30"/>
  <c r="N18" i="30"/>
  <c r="M18" i="30"/>
  <c r="O30" i="30" s="1"/>
  <c r="O29" i="30" s="1"/>
  <c r="L18" i="30"/>
  <c r="K18" i="30"/>
  <c r="J18" i="30"/>
  <c r="I18" i="30"/>
  <c r="I13" i="30" s="1"/>
  <c r="H18" i="30"/>
  <c r="H13" i="30" s="1"/>
  <c r="U17" i="30"/>
  <c r="V17" i="30" s="1"/>
  <c r="T17" i="30"/>
  <c r="S17" i="30"/>
  <c r="R17" i="30"/>
  <c r="Q17" i="30"/>
  <c r="P17" i="30"/>
  <c r="O17" i="30"/>
  <c r="N17" i="30"/>
  <c r="N13" i="30" s="1"/>
  <c r="M17" i="30"/>
  <c r="M13" i="30" s="1"/>
  <c r="M12" i="30" s="1"/>
  <c r="L17" i="30"/>
  <c r="K17" i="30"/>
  <c r="J17" i="30"/>
  <c r="I17" i="30"/>
  <c r="H17" i="30"/>
  <c r="U16" i="30"/>
  <c r="T16" i="30"/>
  <c r="S16" i="30"/>
  <c r="R16" i="30"/>
  <c r="Q16" i="30"/>
  <c r="P16" i="30"/>
  <c r="O16" i="30"/>
  <c r="N16" i="30"/>
  <c r="M16" i="30"/>
  <c r="L16" i="30"/>
  <c r="L15" i="30" s="1"/>
  <c r="K16" i="30"/>
  <c r="K15" i="30" s="1"/>
  <c r="J16" i="30"/>
  <c r="I16" i="30"/>
  <c r="H16" i="30"/>
  <c r="I15" i="30"/>
  <c r="U14" i="30"/>
  <c r="T14" i="30"/>
  <c r="S14" i="30"/>
  <c r="R14" i="30"/>
  <c r="Q14" i="30"/>
  <c r="P14" i="30"/>
  <c r="O14" i="30"/>
  <c r="N14" i="30"/>
  <c r="M14" i="30"/>
  <c r="L14" i="30"/>
  <c r="K14" i="30"/>
  <c r="J14" i="30"/>
  <c r="I14" i="30"/>
  <c r="H14" i="30"/>
  <c r="AC12" i="30"/>
  <c r="AB12" i="30"/>
  <c r="AA12" i="30"/>
  <c r="V12" i="30"/>
  <c r="G12" i="30"/>
  <c r="F12" i="30"/>
  <c r="U11" i="30"/>
  <c r="T11" i="30"/>
  <c r="S11" i="30"/>
  <c r="R11" i="30"/>
  <c r="Q11" i="30"/>
  <c r="P11" i="30"/>
  <c r="O11" i="30"/>
  <c r="N11" i="30"/>
  <c r="M11" i="30"/>
  <c r="L11" i="30"/>
  <c r="L46" i="30" s="1"/>
  <c r="K11" i="30"/>
  <c r="J11" i="30"/>
  <c r="J46" i="30" s="1"/>
  <c r="I11" i="30"/>
  <c r="I46" i="30" s="1"/>
  <c r="H11" i="30"/>
  <c r="Z12" i="30" s="1"/>
  <c r="O56" i="20"/>
  <c r="N56" i="20"/>
  <c r="M56" i="20"/>
  <c r="L56" i="20"/>
  <c r="K56" i="20"/>
  <c r="J56" i="20"/>
  <c r="I56" i="20"/>
  <c r="H56" i="20"/>
  <c r="G56" i="20"/>
  <c r="F56" i="20"/>
  <c r="E56" i="20"/>
  <c r="D56" i="20"/>
  <c r="O55" i="20"/>
  <c r="N55" i="20"/>
  <c r="M55" i="20"/>
  <c r="L55" i="20"/>
  <c r="K55" i="20"/>
  <c r="J55" i="20"/>
  <c r="I55" i="20"/>
  <c r="H55" i="20"/>
  <c r="G55" i="20"/>
  <c r="F55" i="20"/>
  <c r="E55" i="20"/>
  <c r="D55" i="20"/>
  <c r="O54" i="20"/>
  <c r="N54" i="20"/>
  <c r="M54" i="20"/>
  <c r="L54" i="20"/>
  <c r="K54" i="20"/>
  <c r="J54" i="20"/>
  <c r="AC38" i="20"/>
  <c r="AB38" i="20"/>
  <c r="AA38" i="20"/>
  <c r="Z38" i="20"/>
  <c r="Y38" i="20"/>
  <c r="X38" i="20"/>
  <c r="W38" i="20"/>
  <c r="V38" i="20"/>
  <c r="U36" i="20"/>
  <c r="U39" i="20" s="1"/>
  <c r="C5" i="35" s="1"/>
  <c r="D7" i="55" s="1"/>
  <c r="D83" i="55" s="1"/>
  <c r="T36" i="20"/>
  <c r="T39" i="20" s="1"/>
  <c r="S36" i="20"/>
  <c r="S39" i="20" s="1"/>
  <c r="R36" i="20"/>
  <c r="R39" i="20" s="1"/>
  <c r="Q36" i="20"/>
  <c r="Q39" i="20" s="1"/>
  <c r="P36" i="20"/>
  <c r="O36" i="20"/>
  <c r="N36" i="20"/>
  <c r="N39" i="20" s="1"/>
  <c r="M36" i="20"/>
  <c r="M39" i="20" s="1"/>
  <c r="L36" i="20"/>
  <c r="L39" i="20" s="1"/>
  <c r="K36" i="20"/>
  <c r="K39" i="20" s="1"/>
  <c r="J36" i="20"/>
  <c r="J39" i="20" s="1"/>
  <c r="I36" i="20"/>
  <c r="H36" i="20"/>
  <c r="U12" i="20"/>
  <c r="T12" i="20"/>
  <c r="S12" i="20"/>
  <c r="R12" i="20"/>
  <c r="Q12" i="20"/>
  <c r="P12" i="20"/>
  <c r="O12" i="20"/>
  <c r="N12" i="20"/>
  <c r="M12" i="20"/>
  <c r="L12" i="20"/>
  <c r="K12" i="20"/>
  <c r="J12" i="20"/>
  <c r="I12" i="20"/>
  <c r="H12" i="20"/>
  <c r="AC141" i="26"/>
  <c r="AB141" i="26"/>
  <c r="AA141" i="26"/>
  <c r="Z141" i="26"/>
  <c r="Y141" i="26"/>
  <c r="X141" i="26"/>
  <c r="W141" i="26"/>
  <c r="V141" i="26"/>
  <c r="U141" i="26"/>
  <c r="T141" i="26"/>
  <c r="Q140" i="26"/>
  <c r="Q68" i="20" s="1"/>
  <c r="P140" i="26"/>
  <c r="I9" i="50" s="1"/>
  <c r="O140" i="26"/>
  <c r="O68" i="20" s="1"/>
  <c r="N140" i="26"/>
  <c r="N68" i="20" s="1"/>
  <c r="M140" i="26"/>
  <c r="M68" i="20" s="1"/>
  <c r="L140" i="26"/>
  <c r="E9" i="50" s="1"/>
  <c r="K140" i="26"/>
  <c r="K68" i="20" s="1"/>
  <c r="J140" i="26"/>
  <c r="J68" i="20" s="1"/>
  <c r="I140" i="26"/>
  <c r="I68" i="20" s="1"/>
  <c r="H140" i="26"/>
  <c r="H68" i="20" s="1"/>
  <c r="AC114" i="26"/>
  <c r="AB114" i="26"/>
  <c r="AA114" i="26"/>
  <c r="Z114" i="26"/>
  <c r="Y114" i="26"/>
  <c r="X114" i="26"/>
  <c r="W114" i="26"/>
  <c r="V114" i="26"/>
  <c r="U114" i="26"/>
  <c r="T114" i="26"/>
  <c r="S114" i="26"/>
  <c r="AC111" i="26"/>
  <c r="AB111" i="26"/>
  <c r="AA111" i="26"/>
  <c r="Z111" i="26"/>
  <c r="Y111" i="26"/>
  <c r="C102" i="26"/>
  <c r="C101" i="26"/>
  <c r="C100" i="26"/>
  <c r="C99" i="26"/>
  <c r="C98" i="26"/>
  <c r="C83" i="26" s="1"/>
  <c r="E83" i="26" s="1"/>
  <c r="C96" i="26"/>
  <c r="Q67" i="26" s="1"/>
  <c r="C95" i="26"/>
  <c r="T66" i="26" s="1"/>
  <c r="C94" i="26"/>
  <c r="C93" i="26"/>
  <c r="N64" i="26" s="1"/>
  <c r="C92" i="26"/>
  <c r="C82" i="26" s="1"/>
  <c r="M63" i="26" s="1"/>
  <c r="C87" i="26"/>
  <c r="C79" i="26"/>
  <c r="Y70" i="26"/>
  <c r="Q70" i="26"/>
  <c r="AC62" i="26"/>
  <c r="AB62" i="26"/>
  <c r="AA62" i="26"/>
  <c r="Z62" i="26"/>
  <c r="Y62" i="26"/>
  <c r="AD61" i="26"/>
  <c r="AD60" i="26"/>
  <c r="J59" i="26"/>
  <c r="AD59" i="26" s="1"/>
  <c r="AE12" i="26" s="1"/>
  <c r="P58" i="26"/>
  <c r="O58" i="26"/>
  <c r="N58" i="26"/>
  <c r="M58" i="26"/>
  <c r="L58" i="26"/>
  <c r="K58" i="26"/>
  <c r="AC19" i="26"/>
  <c r="AC45" i="26" s="1"/>
  <c r="AB19" i="26"/>
  <c r="AB45" i="26" s="1"/>
  <c r="AA19" i="26"/>
  <c r="AA45" i="26" s="1"/>
  <c r="Z19" i="26"/>
  <c r="Z45" i="26" s="1"/>
  <c r="Y19" i="26"/>
  <c r="Y45" i="26" s="1"/>
  <c r="X19" i="26"/>
  <c r="X45" i="26" s="1"/>
  <c r="W19" i="26"/>
  <c r="W45" i="26" s="1"/>
  <c r="V19" i="26"/>
  <c r="V45" i="26" s="1"/>
  <c r="U19" i="26"/>
  <c r="U45" i="26" s="1"/>
  <c r="T19" i="26"/>
  <c r="T45" i="26" s="1"/>
  <c r="S19" i="26"/>
  <c r="R19" i="26"/>
  <c r="Q19" i="26"/>
  <c r="P19" i="26"/>
  <c r="O19" i="26"/>
  <c r="N19" i="26"/>
  <c r="M19" i="26"/>
  <c r="L19" i="26"/>
  <c r="K19" i="26"/>
  <c r="S18" i="26"/>
  <c r="Q18" i="26"/>
  <c r="P18" i="26"/>
  <c r="AC16" i="26"/>
  <c r="AB16" i="26"/>
  <c r="AA16" i="26"/>
  <c r="Z16" i="26"/>
  <c r="Y16" i="26"/>
  <c r="AC15" i="26"/>
  <c r="AC41" i="26" s="1"/>
  <c r="AB15" i="26"/>
  <c r="AB41" i="26" s="1"/>
  <c r="AA15" i="26"/>
  <c r="AA41" i="26" s="1"/>
  <c r="Z15" i="26"/>
  <c r="Z41" i="26" s="1"/>
  <c r="Y15" i="26"/>
  <c r="Y41" i="26" s="1"/>
  <c r="AC14" i="26"/>
  <c r="AB14" i="26"/>
  <c r="AA14" i="26"/>
  <c r="Z14" i="26"/>
  <c r="Y14" i="26"/>
  <c r="X14" i="26"/>
  <c r="W14" i="26"/>
  <c r="V14" i="26"/>
  <c r="U14" i="26"/>
  <c r="T14" i="26"/>
  <c r="S14" i="26"/>
  <c r="S110" i="26" s="1"/>
  <c r="R14" i="26"/>
  <c r="R110" i="26" s="1"/>
  <c r="Q14" i="26"/>
  <c r="Q110" i="26" s="1"/>
  <c r="P14" i="26"/>
  <c r="P110" i="26" s="1"/>
  <c r="O14" i="26"/>
  <c r="O110" i="26" s="1"/>
  <c r="N14" i="26"/>
  <c r="N110" i="26" s="1"/>
  <c r="M14" i="26"/>
  <c r="M110" i="26" s="1"/>
  <c r="L14" i="26"/>
  <c r="K14" i="26"/>
  <c r="K110" i="26" s="1"/>
  <c r="J14" i="26"/>
  <c r="J110" i="26" s="1"/>
  <c r="T13" i="26"/>
  <c r="S13" i="26"/>
  <c r="S116" i="26" s="1"/>
  <c r="R13" i="26"/>
  <c r="R116" i="26" s="1"/>
  <c r="Q13" i="26"/>
  <c r="Q116" i="26" s="1"/>
  <c r="P13" i="26"/>
  <c r="P116" i="26" s="1"/>
  <c r="O13" i="26"/>
  <c r="O116" i="26" s="1"/>
  <c r="N13" i="26"/>
  <c r="N116" i="26" s="1"/>
  <c r="M13" i="26"/>
  <c r="M116" i="26" s="1"/>
  <c r="L13" i="26"/>
  <c r="L116" i="26" s="1"/>
  <c r="K13" i="26"/>
  <c r="K116" i="26" s="1"/>
  <c r="J13" i="26"/>
  <c r="J12" i="26"/>
  <c r="D79" i="26" s="1"/>
  <c r="U36" i="26"/>
  <c r="T10" i="26"/>
  <c r="T36" i="26" s="1"/>
  <c r="S10" i="26"/>
  <c r="R10" i="26"/>
  <c r="Q10" i="26"/>
  <c r="P10" i="26"/>
  <c r="O10" i="26"/>
  <c r="N10" i="26"/>
  <c r="M10" i="26"/>
  <c r="L10" i="26"/>
  <c r="K10" i="26"/>
  <c r="J10" i="26"/>
  <c r="I10" i="26"/>
  <c r="H10" i="26"/>
  <c r="G10" i="26"/>
  <c r="F10" i="26"/>
  <c r="E10" i="26"/>
  <c r="D10" i="26"/>
  <c r="U35" i="26"/>
  <c r="T9" i="26"/>
  <c r="T35" i="26" s="1"/>
  <c r="S9" i="26"/>
  <c r="R9" i="26"/>
  <c r="Q9" i="26"/>
  <c r="P9" i="26"/>
  <c r="O9" i="26"/>
  <c r="N9" i="26"/>
  <c r="M9" i="26"/>
  <c r="L9" i="26"/>
  <c r="K9" i="26"/>
  <c r="J9" i="26"/>
  <c r="I9" i="26"/>
  <c r="H9" i="26"/>
  <c r="G9" i="26"/>
  <c r="F9" i="26"/>
  <c r="E9" i="26"/>
  <c r="D9" i="26"/>
  <c r="E19" i="74"/>
  <c r="U18" i="74"/>
  <c r="T18" i="74"/>
  <c r="S18" i="74"/>
  <c r="R18" i="74"/>
  <c r="Q18" i="74"/>
  <c r="P18" i="74"/>
  <c r="O18" i="74"/>
  <c r="N18" i="74"/>
  <c r="M18" i="74"/>
  <c r="L18" i="74"/>
  <c r="K18" i="74"/>
  <c r="J18" i="74"/>
  <c r="I18" i="74"/>
  <c r="H18" i="74"/>
  <c r="G18" i="74"/>
  <c r="F18" i="74"/>
  <c r="E18" i="74"/>
  <c r="D18" i="74"/>
  <c r="U17" i="74"/>
  <c r="T17" i="74"/>
  <c r="S17" i="74"/>
  <c r="R17" i="74"/>
  <c r="Q17" i="74"/>
  <c r="P17" i="74"/>
  <c r="O17" i="74"/>
  <c r="N17" i="74"/>
  <c r="M17" i="74"/>
  <c r="L17" i="74"/>
  <c r="K17" i="74"/>
  <c r="J17" i="74"/>
  <c r="I17" i="74"/>
  <c r="I13" i="74" s="1"/>
  <c r="H17" i="74"/>
  <c r="G17" i="74"/>
  <c r="F17" i="74"/>
  <c r="E17" i="74"/>
  <c r="D17" i="74"/>
  <c r="U16" i="74"/>
  <c r="T16" i="74"/>
  <c r="S16" i="74"/>
  <c r="R16" i="74"/>
  <c r="Q16" i="74"/>
  <c r="P16" i="74"/>
  <c r="O16" i="74"/>
  <c r="N16" i="74"/>
  <c r="M16" i="74"/>
  <c r="L16" i="74"/>
  <c r="K16" i="74"/>
  <c r="J16" i="74"/>
  <c r="I16" i="74"/>
  <c r="H16" i="74"/>
  <c r="G16" i="74"/>
  <c r="F16" i="74"/>
  <c r="E16" i="74"/>
  <c r="D16" i="74"/>
  <c r="U15" i="74"/>
  <c r="T15" i="74"/>
  <c r="S15" i="74"/>
  <c r="R15" i="74"/>
  <c r="R13" i="74" s="1"/>
  <c r="Q15" i="74"/>
  <c r="P15" i="74"/>
  <c r="O15" i="74"/>
  <c r="N15" i="74"/>
  <c r="M15" i="74"/>
  <c r="L15" i="74"/>
  <c r="K15" i="74"/>
  <c r="J15" i="74"/>
  <c r="J13" i="74" s="1"/>
  <c r="I15" i="74"/>
  <c r="H15" i="74"/>
  <c r="G15" i="74"/>
  <c r="F15" i="74"/>
  <c r="E15" i="74"/>
  <c r="D15" i="74"/>
  <c r="U14" i="74"/>
  <c r="T14" i="74"/>
  <c r="S14" i="74"/>
  <c r="R14" i="74"/>
  <c r="Q14" i="74"/>
  <c r="P14" i="74"/>
  <c r="O14" i="74"/>
  <c r="N14" i="74"/>
  <c r="N13" i="74" s="1"/>
  <c r="M14" i="74"/>
  <c r="M13" i="74" s="1"/>
  <c r="L14" i="74"/>
  <c r="K14" i="74"/>
  <c r="K13" i="74" s="1"/>
  <c r="J14" i="74"/>
  <c r="I14" i="74"/>
  <c r="H14" i="74"/>
  <c r="G14" i="74"/>
  <c r="F14" i="74"/>
  <c r="E14" i="74"/>
  <c r="D14" i="74"/>
  <c r="U13" i="74"/>
  <c r="T13" i="74"/>
  <c r="S13" i="74"/>
  <c r="O13" i="74"/>
  <c r="L13" i="74"/>
  <c r="U12" i="74"/>
  <c r="T12" i="74"/>
  <c r="S12" i="74"/>
  <c r="R12" i="74"/>
  <c r="Q12" i="74"/>
  <c r="P12" i="74"/>
  <c r="O12" i="74"/>
  <c r="N12" i="74"/>
  <c r="M12" i="74"/>
  <c r="L12" i="74"/>
  <c r="K12" i="74"/>
  <c r="J12" i="74"/>
  <c r="I12" i="74"/>
  <c r="H12" i="74"/>
  <c r="G12" i="74"/>
  <c r="F12" i="74"/>
  <c r="E12" i="74"/>
  <c r="D12" i="74"/>
  <c r="U11" i="74"/>
  <c r="T11" i="74"/>
  <c r="S11" i="74"/>
  <c r="R11" i="74"/>
  <c r="Q11" i="74"/>
  <c r="P11" i="74"/>
  <c r="O11" i="74"/>
  <c r="N11" i="74"/>
  <c r="M11" i="74"/>
  <c r="L11" i="74"/>
  <c r="L20" i="74" s="1"/>
  <c r="K11" i="74"/>
  <c r="J11" i="74"/>
  <c r="I11" i="74"/>
  <c r="H11" i="74"/>
  <c r="G11" i="74"/>
  <c r="F11" i="74"/>
  <c r="E11" i="74"/>
  <c r="E20" i="74" s="1"/>
  <c r="D11" i="74"/>
  <c r="O14" i="56"/>
  <c r="O13" i="56"/>
  <c r="O12" i="56"/>
  <c r="O11" i="56"/>
  <c r="O10" i="56"/>
  <c r="O9" i="56"/>
  <c r="O8" i="56"/>
  <c r="O7" i="56"/>
  <c r="O6" i="56"/>
  <c r="O5" i="56"/>
  <c r="O4" i="56"/>
  <c r="O3" i="56"/>
  <c r="G2" i="56"/>
  <c r="H2" i="56" s="1"/>
  <c r="I2" i="56" s="1"/>
  <c r="J2" i="56" s="1"/>
  <c r="K2" i="56" s="1"/>
  <c r="L2" i="56" s="1"/>
  <c r="M2" i="56" s="1"/>
  <c r="N2" i="56" s="1"/>
  <c r="E2" i="56"/>
  <c r="F2" i="56" s="1"/>
  <c r="D2" i="56"/>
  <c r="C9" i="50"/>
  <c r="E6" i="50"/>
  <c r="D6" i="50"/>
  <c r="C6" i="50"/>
  <c r="M4" i="50"/>
  <c r="E4" i="50"/>
  <c r="D4" i="50"/>
  <c r="C4" i="50"/>
  <c r="Z46" i="72"/>
  <c r="Y46" i="72"/>
  <c r="Y51" i="72" s="1"/>
  <c r="X46" i="72"/>
  <c r="W46" i="72"/>
  <c r="W51" i="72" s="1"/>
  <c r="V46" i="72"/>
  <c r="U46" i="72"/>
  <c r="T46" i="72"/>
  <c r="S46" i="72"/>
  <c r="Y40" i="72"/>
  <c r="X40" i="72"/>
  <c r="W40" i="72"/>
  <c r="V40" i="72"/>
  <c r="U40" i="72"/>
  <c r="T40" i="72"/>
  <c r="S40" i="72"/>
  <c r="R40" i="72"/>
  <c r="Q40" i="72"/>
  <c r="P40" i="72"/>
  <c r="O40" i="72"/>
  <c r="N40" i="72"/>
  <c r="M40" i="72"/>
  <c r="L40" i="72"/>
  <c r="K40" i="72"/>
  <c r="J40" i="72"/>
  <c r="I40" i="72"/>
  <c r="H40" i="72"/>
  <c r="G40" i="72"/>
  <c r="F40" i="72"/>
  <c r="E40" i="72"/>
  <c r="D40" i="72"/>
  <c r="Y39" i="72"/>
  <c r="X39" i="72"/>
  <c r="W39" i="72"/>
  <c r="V39" i="72"/>
  <c r="U39" i="72"/>
  <c r="T39" i="72"/>
  <c r="S39" i="72"/>
  <c r="R39" i="72"/>
  <c r="Q39" i="72"/>
  <c r="P39" i="72"/>
  <c r="O39" i="72"/>
  <c r="N39" i="72"/>
  <c r="M39" i="72"/>
  <c r="L39" i="72"/>
  <c r="K39" i="72"/>
  <c r="J39" i="72"/>
  <c r="I39" i="72"/>
  <c r="H39" i="72"/>
  <c r="G39" i="72"/>
  <c r="F39" i="72"/>
  <c r="E39" i="72"/>
  <c r="D39" i="72"/>
  <c r="Y38" i="72"/>
  <c r="X38" i="72"/>
  <c r="W38" i="72"/>
  <c r="V38" i="72"/>
  <c r="U38" i="72"/>
  <c r="T38" i="72"/>
  <c r="S38" i="72"/>
  <c r="R38" i="72"/>
  <c r="Q38" i="72"/>
  <c r="P38" i="72"/>
  <c r="O38" i="72"/>
  <c r="N38" i="72"/>
  <c r="M38" i="72"/>
  <c r="L38" i="72"/>
  <c r="K38" i="72"/>
  <c r="J38" i="72"/>
  <c r="I38" i="72"/>
  <c r="H38" i="72"/>
  <c r="G38" i="72"/>
  <c r="F38" i="72"/>
  <c r="E38" i="72"/>
  <c r="D38" i="72"/>
  <c r="Y37" i="72"/>
  <c r="X37" i="72"/>
  <c r="W37" i="72"/>
  <c r="V37" i="72"/>
  <c r="U37" i="72"/>
  <c r="T37" i="72"/>
  <c r="S37" i="72"/>
  <c r="R37" i="72"/>
  <c r="Q37" i="72"/>
  <c r="P37" i="72"/>
  <c r="O37" i="72"/>
  <c r="N37" i="72"/>
  <c r="M37" i="72"/>
  <c r="L37" i="72"/>
  <c r="K37" i="72"/>
  <c r="J37" i="72"/>
  <c r="I37" i="72"/>
  <c r="H37" i="72"/>
  <c r="G37" i="72"/>
  <c r="F37" i="72"/>
  <c r="E37" i="72"/>
  <c r="D37" i="72"/>
  <c r="Y36" i="72"/>
  <c r="X36" i="72"/>
  <c r="W36" i="72"/>
  <c r="V36" i="72"/>
  <c r="U36" i="72"/>
  <c r="T36" i="72"/>
  <c r="S36" i="72"/>
  <c r="R36" i="72"/>
  <c r="Q36" i="72"/>
  <c r="P36" i="72"/>
  <c r="O36" i="72"/>
  <c r="N36" i="72"/>
  <c r="M36" i="72"/>
  <c r="L36" i="72"/>
  <c r="K36" i="72"/>
  <c r="J36" i="72"/>
  <c r="I36" i="72"/>
  <c r="H36" i="72"/>
  <c r="G36" i="72"/>
  <c r="F36" i="72"/>
  <c r="E36" i="72"/>
  <c r="D36" i="72"/>
  <c r="Y34" i="72"/>
  <c r="X34" i="72"/>
  <c r="W34" i="72"/>
  <c r="V34" i="72"/>
  <c r="U34" i="72"/>
  <c r="T34" i="72"/>
  <c r="S34" i="72"/>
  <c r="R34" i="72"/>
  <c r="Q34" i="72"/>
  <c r="P34" i="72"/>
  <c r="O34" i="72"/>
  <c r="N34" i="72"/>
  <c r="M34" i="72"/>
  <c r="L34" i="72"/>
  <c r="K34" i="72"/>
  <c r="J34" i="72"/>
  <c r="I34" i="72"/>
  <c r="H34" i="72"/>
  <c r="G34" i="72"/>
  <c r="F34" i="72"/>
  <c r="E34" i="72"/>
  <c r="D34" i="72"/>
  <c r="Y33" i="72"/>
  <c r="X33" i="72"/>
  <c r="W33" i="72"/>
  <c r="V33" i="72"/>
  <c r="U33" i="72"/>
  <c r="T33" i="72"/>
  <c r="S33" i="72"/>
  <c r="R33" i="72"/>
  <c r="Q33" i="72"/>
  <c r="P33" i="72"/>
  <c r="O33" i="72"/>
  <c r="N33" i="72"/>
  <c r="M33" i="72"/>
  <c r="L33" i="72"/>
  <c r="K33" i="72"/>
  <c r="J33" i="72"/>
  <c r="I33" i="72"/>
  <c r="H33" i="72"/>
  <c r="G33" i="72"/>
  <c r="F33" i="72"/>
  <c r="E33" i="72"/>
  <c r="D33" i="72"/>
  <c r="Y32" i="72"/>
  <c r="X32" i="72"/>
  <c r="W32" i="72"/>
  <c r="V32" i="72"/>
  <c r="U32" i="72"/>
  <c r="T32" i="72"/>
  <c r="S32" i="72"/>
  <c r="R32" i="72"/>
  <c r="Q32" i="72"/>
  <c r="P32" i="72"/>
  <c r="O32" i="72"/>
  <c r="N32" i="72"/>
  <c r="M32" i="72"/>
  <c r="L32" i="72"/>
  <c r="K32" i="72"/>
  <c r="J32" i="72"/>
  <c r="I32" i="72"/>
  <c r="H32" i="72"/>
  <c r="G32" i="72"/>
  <c r="F32" i="72"/>
  <c r="E32" i="72"/>
  <c r="D32" i="72"/>
  <c r="Y31" i="72"/>
  <c r="X31" i="72"/>
  <c r="W31" i="72"/>
  <c r="V31" i="72"/>
  <c r="U31" i="72"/>
  <c r="T31" i="72"/>
  <c r="S31" i="72"/>
  <c r="R31" i="72"/>
  <c r="Q31" i="72"/>
  <c r="P31" i="72"/>
  <c r="O31" i="72"/>
  <c r="N31" i="72"/>
  <c r="M31" i="72"/>
  <c r="L31" i="72"/>
  <c r="K31" i="72"/>
  <c r="J31" i="72"/>
  <c r="I31" i="72"/>
  <c r="H31" i="72"/>
  <c r="G31" i="72"/>
  <c r="F31" i="72"/>
  <c r="E31" i="72"/>
  <c r="D31" i="72"/>
  <c r="AD30" i="72"/>
  <c r="AD8" i="72" s="1"/>
  <c r="Z30" i="72"/>
  <c r="Y30" i="72"/>
  <c r="X30" i="72"/>
  <c r="W30" i="72"/>
  <c r="V30" i="72"/>
  <c r="U30" i="72"/>
  <c r="T30" i="72"/>
  <c r="S30" i="72"/>
  <c r="R30" i="72"/>
  <c r="Q30" i="72"/>
  <c r="P30" i="72"/>
  <c r="O30" i="72"/>
  <c r="N30" i="72"/>
  <c r="M30" i="72"/>
  <c r="L30" i="72"/>
  <c r="K30" i="72"/>
  <c r="J30" i="72"/>
  <c r="I30" i="72"/>
  <c r="H30" i="72"/>
  <c r="G30" i="72"/>
  <c r="F30" i="72"/>
  <c r="E30" i="72"/>
  <c r="D30" i="72"/>
  <c r="K23" i="35"/>
  <c r="J23" i="35"/>
  <c r="I23" i="35"/>
  <c r="H23" i="35"/>
  <c r="I25" i="55" s="1"/>
  <c r="I75" i="55" s="1"/>
  <c r="G23" i="35"/>
  <c r="H25" i="55" s="1"/>
  <c r="H101" i="55" s="1"/>
  <c r="F23" i="35"/>
  <c r="G25" i="55" s="1"/>
  <c r="G101" i="55" s="1"/>
  <c r="E23" i="35"/>
  <c r="F25" i="55" s="1"/>
  <c r="F101" i="55" s="1"/>
  <c r="D23" i="35"/>
  <c r="E25" i="55" s="1"/>
  <c r="E101" i="55" s="1"/>
  <c r="C23" i="35"/>
  <c r="K14" i="35"/>
  <c r="J14" i="35"/>
  <c r="K16" i="55" s="1"/>
  <c r="K66" i="55" s="1"/>
  <c r="I14" i="35"/>
  <c r="J16" i="55" s="1"/>
  <c r="J92" i="55" s="1"/>
  <c r="H14" i="35"/>
  <c r="I16" i="55" s="1"/>
  <c r="I92" i="55" s="1"/>
  <c r="G14" i="35"/>
  <c r="H16" i="55" s="1"/>
  <c r="F14" i="35"/>
  <c r="E14" i="35"/>
  <c r="D14" i="35"/>
  <c r="C14" i="35"/>
  <c r="K13" i="35"/>
  <c r="L15" i="55" s="1"/>
  <c r="L91" i="55" s="1"/>
  <c r="J13" i="35"/>
  <c r="K15" i="55" s="1"/>
  <c r="K91" i="55" s="1"/>
  <c r="I13" i="35"/>
  <c r="J15" i="55" s="1"/>
  <c r="H13" i="35"/>
  <c r="G13" i="35"/>
  <c r="F13" i="35"/>
  <c r="E13" i="35"/>
  <c r="D13" i="35"/>
  <c r="C13" i="35"/>
  <c r="D15" i="55" s="1"/>
  <c r="D91" i="55" s="1"/>
  <c r="C12" i="35"/>
  <c r="E7" i="35"/>
  <c r="F9" i="55" s="1"/>
  <c r="F85" i="55" s="1"/>
  <c r="C4" i="35"/>
  <c r="D6" i="55" s="1"/>
  <c r="D82" i="55" s="1"/>
  <c r="G75" i="55"/>
  <c r="F75" i="55"/>
  <c r="J66" i="55"/>
  <c r="K65" i="55"/>
  <c r="L25" i="55"/>
  <c r="L75" i="55" s="1"/>
  <c r="K25" i="55"/>
  <c r="K75" i="55" s="1"/>
  <c r="J25" i="55"/>
  <c r="J75" i="55" s="1"/>
  <c r="D25" i="55"/>
  <c r="D75" i="55" s="1"/>
  <c r="C25" i="55"/>
  <c r="B25" i="55"/>
  <c r="C24" i="55"/>
  <c r="B24" i="55"/>
  <c r="C23" i="55"/>
  <c r="B23" i="55"/>
  <c r="C22" i="55"/>
  <c r="B22" i="55"/>
  <c r="C21" i="55"/>
  <c r="B21" i="55"/>
  <c r="C20" i="55"/>
  <c r="B20" i="55"/>
  <c r="C19" i="55"/>
  <c r="B19" i="55"/>
  <c r="C18" i="55"/>
  <c r="B18" i="55"/>
  <c r="C17" i="55"/>
  <c r="B17" i="55"/>
  <c r="L16" i="55"/>
  <c r="L66" i="55" s="1"/>
  <c r="G16" i="55"/>
  <c r="G92" i="55" s="1"/>
  <c r="F16" i="55"/>
  <c r="F66" i="55" s="1"/>
  <c r="E16" i="55"/>
  <c r="D16" i="55"/>
  <c r="D66" i="55" s="1"/>
  <c r="C16" i="55"/>
  <c r="B16" i="55"/>
  <c r="I15" i="55"/>
  <c r="I91" i="55" s="1"/>
  <c r="H15" i="55"/>
  <c r="H65" i="55" s="1"/>
  <c r="G15" i="55"/>
  <c r="G65" i="55" s="1"/>
  <c r="F15" i="55"/>
  <c r="F65" i="55" s="1"/>
  <c r="E15" i="55"/>
  <c r="E65" i="55" s="1"/>
  <c r="C15" i="55"/>
  <c r="B15" i="55"/>
  <c r="D14" i="55"/>
  <c r="C14" i="55"/>
  <c r="B14" i="55"/>
  <c r="C13" i="55"/>
  <c r="B13" i="55"/>
  <c r="C12" i="55"/>
  <c r="B12" i="55"/>
  <c r="C11" i="55"/>
  <c r="B11" i="55"/>
  <c r="C10" i="55"/>
  <c r="B10" i="55"/>
  <c r="C9" i="55"/>
  <c r="B9" i="55"/>
  <c r="C8" i="55"/>
  <c r="B8" i="55"/>
  <c r="C7" i="55"/>
  <c r="B7" i="55"/>
  <c r="C6" i="55"/>
  <c r="B6" i="55"/>
  <c r="C5" i="55"/>
  <c r="B5" i="55"/>
  <c r="C4" i="55"/>
  <c r="B4" i="55"/>
  <c r="I3" i="55"/>
  <c r="H3" i="55"/>
  <c r="G3" i="55"/>
  <c r="F3" i="55"/>
  <c r="E3" i="55"/>
  <c r="D3" i="55"/>
  <c r="C3" i="55"/>
  <c r="B3" i="55"/>
  <c r="F81" i="46"/>
  <c r="G81" i="46" s="1"/>
  <c r="E81" i="46"/>
  <c r="C81" i="46"/>
  <c r="E80" i="46"/>
  <c r="F80" i="46" s="1"/>
  <c r="G80" i="46" s="1"/>
  <c r="C80" i="46"/>
  <c r="F79" i="46"/>
  <c r="G79" i="46" s="1"/>
  <c r="E79" i="46"/>
  <c r="C79" i="46"/>
  <c r="E78" i="46"/>
  <c r="F78" i="46" s="1"/>
  <c r="G78" i="46" s="1"/>
  <c r="C78" i="46"/>
  <c r="F77" i="46"/>
  <c r="G77" i="46" s="1"/>
  <c r="E77" i="46"/>
  <c r="C77" i="46"/>
  <c r="E76" i="46"/>
  <c r="F76" i="46" s="1"/>
  <c r="G76" i="46" s="1"/>
  <c r="C76" i="46"/>
  <c r="F75" i="46"/>
  <c r="G75" i="46" s="1"/>
  <c r="E75" i="46"/>
  <c r="C75" i="46"/>
  <c r="E74" i="46"/>
  <c r="F74" i="46" s="1"/>
  <c r="G74" i="46" s="1"/>
  <c r="C74" i="46"/>
  <c r="F73" i="46"/>
  <c r="G73" i="46" s="1"/>
  <c r="E73" i="46"/>
  <c r="C73" i="46"/>
  <c r="E72" i="46"/>
  <c r="F72" i="46" s="1"/>
  <c r="G72" i="46" s="1"/>
  <c r="C72" i="46"/>
  <c r="F71" i="46"/>
  <c r="G71" i="46" s="1"/>
  <c r="E71" i="46"/>
  <c r="C71" i="46"/>
  <c r="E70" i="46"/>
  <c r="F70" i="46" s="1"/>
  <c r="G70" i="46" s="1"/>
  <c r="C70" i="46"/>
  <c r="F69" i="46"/>
  <c r="G69" i="46" s="1"/>
  <c r="E69" i="46"/>
  <c r="C69" i="46"/>
  <c r="E68" i="46"/>
  <c r="F68" i="46" s="1"/>
  <c r="G68" i="46" s="1"/>
  <c r="C68" i="46"/>
  <c r="F67" i="46"/>
  <c r="G67" i="46" s="1"/>
  <c r="E67" i="46"/>
  <c r="C67" i="46"/>
  <c r="E66" i="46"/>
  <c r="F66" i="46" s="1"/>
  <c r="G66" i="46" s="1"/>
  <c r="C66" i="46"/>
  <c r="F65" i="46"/>
  <c r="G65" i="46" s="1"/>
  <c r="E65" i="46"/>
  <c r="C65" i="46"/>
  <c r="E64" i="46"/>
  <c r="F64" i="46" s="1"/>
  <c r="G64" i="46" s="1"/>
  <c r="C64" i="46"/>
  <c r="F63" i="46"/>
  <c r="G63" i="46" s="1"/>
  <c r="E63" i="46"/>
  <c r="C63" i="46"/>
  <c r="E62" i="46"/>
  <c r="F62" i="46" s="1"/>
  <c r="G62" i="46" s="1"/>
  <c r="C62" i="46"/>
  <c r="F61" i="46"/>
  <c r="G61" i="46" s="1"/>
  <c r="E61" i="46"/>
  <c r="C61" i="46"/>
  <c r="E60" i="46"/>
  <c r="F60" i="46" s="1"/>
  <c r="G60" i="46" s="1"/>
  <c r="C60" i="46"/>
  <c r="F59" i="46"/>
  <c r="G59" i="46" s="1"/>
  <c r="E59" i="46"/>
  <c r="C59" i="46"/>
  <c r="E58" i="46"/>
  <c r="F58" i="46" s="1"/>
  <c r="G58" i="46" s="1"/>
  <c r="C58" i="46"/>
  <c r="E57" i="46"/>
  <c r="F57" i="46" s="1"/>
  <c r="C57" i="46"/>
  <c r="E56" i="46"/>
  <c r="F56" i="46" s="1"/>
  <c r="G56" i="46" s="1"/>
  <c r="C56" i="46"/>
  <c r="G55" i="46"/>
  <c r="E55" i="46"/>
  <c r="F55" i="46" s="1"/>
  <c r="C55" i="46"/>
  <c r="E54" i="46"/>
  <c r="F54" i="46" s="1"/>
  <c r="G54" i="46" s="1"/>
  <c r="C54" i="46"/>
  <c r="E53" i="46"/>
  <c r="F53" i="46" s="1"/>
  <c r="G53" i="46" s="1"/>
  <c r="C53" i="46"/>
  <c r="E52" i="46"/>
  <c r="F52" i="46" s="1"/>
  <c r="G52" i="46" s="1"/>
  <c r="C52" i="46"/>
  <c r="E51" i="46"/>
  <c r="F51" i="46" s="1"/>
  <c r="G51" i="46" s="1"/>
  <c r="C51" i="46"/>
  <c r="E50" i="46"/>
  <c r="F50" i="46" s="1"/>
  <c r="G50" i="46" s="1"/>
  <c r="C50" i="46"/>
  <c r="G49" i="46"/>
  <c r="E49" i="46"/>
  <c r="F49" i="46" s="1"/>
  <c r="C49" i="46"/>
  <c r="E48" i="46"/>
  <c r="F48" i="46" s="1"/>
  <c r="G48" i="46" s="1"/>
  <c r="C48" i="46"/>
  <c r="E47" i="46"/>
  <c r="F47" i="46" s="1"/>
  <c r="G47" i="46" s="1"/>
  <c r="C47" i="46"/>
  <c r="E46" i="46"/>
  <c r="F46" i="46" s="1"/>
  <c r="G46" i="46" s="1"/>
  <c r="C46" i="46"/>
  <c r="E45" i="46"/>
  <c r="F45" i="46" s="1"/>
  <c r="G45" i="46" s="1"/>
  <c r="C45" i="46"/>
  <c r="E44" i="46"/>
  <c r="F44" i="46" s="1"/>
  <c r="G44" i="46" s="1"/>
  <c r="C44" i="46"/>
  <c r="E43" i="46"/>
  <c r="F43" i="46" s="1"/>
  <c r="G43" i="46" s="1"/>
  <c r="C43" i="46"/>
  <c r="E42" i="46"/>
  <c r="F42" i="46" s="1"/>
  <c r="G42" i="46" s="1"/>
  <c r="C42" i="46"/>
  <c r="E41" i="46"/>
  <c r="F41" i="46" s="1"/>
  <c r="G41" i="46" s="1"/>
  <c r="C41" i="46"/>
  <c r="E40" i="46"/>
  <c r="F40" i="46" s="1"/>
  <c r="G40" i="46" s="1"/>
  <c r="C40" i="46"/>
  <c r="E39" i="46"/>
  <c r="F39" i="46" s="1"/>
  <c r="G39" i="46" s="1"/>
  <c r="C39" i="46"/>
  <c r="E38" i="46"/>
  <c r="F38" i="46" s="1"/>
  <c r="G38" i="46" s="1"/>
  <c r="C38" i="46"/>
  <c r="E37" i="46"/>
  <c r="F37" i="46" s="1"/>
  <c r="G37" i="46" s="1"/>
  <c r="C37" i="46"/>
  <c r="E36" i="46"/>
  <c r="F36" i="46" s="1"/>
  <c r="G36" i="46" s="1"/>
  <c r="C36" i="46"/>
  <c r="E35" i="46"/>
  <c r="F35" i="46" s="1"/>
  <c r="G35" i="46" s="1"/>
  <c r="C35" i="46"/>
  <c r="E34" i="46"/>
  <c r="F34" i="46" s="1"/>
  <c r="G34" i="46" s="1"/>
  <c r="C34" i="46"/>
  <c r="E33" i="46"/>
  <c r="F33" i="46" s="1"/>
  <c r="G33" i="46" s="1"/>
  <c r="C33" i="46"/>
  <c r="E32" i="46"/>
  <c r="F32" i="46" s="1"/>
  <c r="G32" i="46" s="1"/>
  <c r="C32" i="46"/>
  <c r="E31" i="46"/>
  <c r="F31" i="46" s="1"/>
  <c r="G31" i="46" s="1"/>
  <c r="E30" i="46"/>
  <c r="F30" i="46" s="1"/>
  <c r="G30" i="46" s="1"/>
  <c r="F29" i="46"/>
  <c r="G29" i="46" s="1"/>
  <c r="E29" i="46"/>
  <c r="F28" i="46"/>
  <c r="G28" i="46" s="1"/>
  <c r="E28" i="46"/>
  <c r="E27" i="46"/>
  <c r="F27" i="46" s="1"/>
  <c r="G27" i="46" s="1"/>
  <c r="C27" i="46"/>
  <c r="G26" i="46"/>
  <c r="E26" i="46"/>
  <c r="F26" i="46" s="1"/>
  <c r="C26" i="46"/>
  <c r="E25" i="46"/>
  <c r="F25" i="46" s="1"/>
  <c r="G25" i="46" s="1"/>
  <c r="C25" i="46"/>
  <c r="E24" i="46"/>
  <c r="F24" i="46" s="1"/>
  <c r="G24" i="46" s="1"/>
  <c r="C24" i="46"/>
  <c r="E23" i="46"/>
  <c r="F23" i="46" s="1"/>
  <c r="G23" i="46" s="1"/>
  <c r="C23" i="46"/>
  <c r="G22" i="46"/>
  <c r="E22" i="46"/>
  <c r="F22" i="46" s="1"/>
  <c r="C22" i="46"/>
  <c r="E21" i="46"/>
  <c r="F21" i="46" s="1"/>
  <c r="G21" i="46" s="1"/>
  <c r="C21" i="46"/>
  <c r="E20" i="46"/>
  <c r="F20" i="46" s="1"/>
  <c r="G20" i="46" s="1"/>
  <c r="C20" i="46"/>
  <c r="E19" i="46"/>
  <c r="F19" i="46" s="1"/>
  <c r="G19" i="46" s="1"/>
  <c r="C19" i="46"/>
  <c r="E18" i="46"/>
  <c r="F18" i="46" s="1"/>
  <c r="G18" i="46" s="1"/>
  <c r="C18" i="46"/>
  <c r="E17" i="46"/>
  <c r="F17" i="46" s="1"/>
  <c r="G17" i="46" s="1"/>
  <c r="C17" i="46"/>
  <c r="E16" i="46"/>
  <c r="F16" i="46" s="1"/>
  <c r="G16" i="46" s="1"/>
  <c r="C16" i="46"/>
  <c r="E15" i="46"/>
  <c r="F15" i="46" s="1"/>
  <c r="G15" i="46" s="1"/>
  <c r="C15" i="46"/>
  <c r="E14" i="46"/>
  <c r="F14" i="46" s="1"/>
  <c r="G14" i="46" s="1"/>
  <c r="C14" i="46"/>
  <c r="E13" i="46"/>
  <c r="F13" i="46" s="1"/>
  <c r="G13" i="46" s="1"/>
  <c r="C13" i="46"/>
  <c r="G12" i="46"/>
  <c r="E12" i="46"/>
  <c r="F12" i="46" s="1"/>
  <c r="C12" i="46"/>
  <c r="E11" i="46"/>
  <c r="F11" i="46" s="1"/>
  <c r="G11" i="46" s="1"/>
  <c r="C11" i="46"/>
  <c r="E10" i="46"/>
  <c r="F10" i="46" s="1"/>
  <c r="G10" i="46" s="1"/>
  <c r="C10" i="46"/>
  <c r="E9" i="46"/>
  <c r="F9" i="46" s="1"/>
  <c r="G9" i="46" s="1"/>
  <c r="C9" i="46"/>
  <c r="E8" i="46"/>
  <c r="F8" i="46" s="1"/>
  <c r="G8" i="46" s="1"/>
  <c r="C8" i="46"/>
  <c r="E7" i="46"/>
  <c r="F7" i="46" s="1"/>
  <c r="G7" i="46" s="1"/>
  <c r="C7" i="46"/>
  <c r="E6" i="46"/>
  <c r="F6" i="46" s="1"/>
  <c r="G6" i="46" s="1"/>
  <c r="C6" i="46"/>
  <c r="E5" i="46"/>
  <c r="F5" i="46" s="1"/>
  <c r="G5" i="46" s="1"/>
  <c r="C5" i="46"/>
  <c r="E4" i="46"/>
  <c r="F4" i="46" s="1"/>
  <c r="G4" i="46" s="1"/>
  <c r="C4" i="46"/>
  <c r="E3" i="46"/>
  <c r="F3" i="46" s="1"/>
  <c r="C3" i="46"/>
  <c r="C2" i="46"/>
  <c r="N23" i="74"/>
  <c r="U23" i="74"/>
  <c r="M23" i="74"/>
  <c r="T23" i="74"/>
  <c r="S23" i="74"/>
  <c r="R23" i="74"/>
  <c r="Q23" i="74"/>
  <c r="P23" i="74"/>
  <c r="O23" i="74"/>
  <c r="P23" i="25"/>
  <c r="U23" i="25"/>
  <c r="T23" i="25"/>
  <c r="R23" i="25"/>
  <c r="S23" i="25"/>
  <c r="O23" i="25"/>
  <c r="Q23" i="25"/>
  <c r="N23" i="25"/>
  <c r="M38" i="20" l="1"/>
  <c r="J30" i="59"/>
  <c r="J29" i="49"/>
  <c r="D12" i="49"/>
  <c r="D28" i="49" s="1"/>
  <c r="L12" i="49"/>
  <c r="T12" i="49"/>
  <c r="T28" i="49" s="1"/>
  <c r="J28" i="49"/>
  <c r="G12" i="49"/>
  <c r="K12" i="49"/>
  <c r="S12" i="49"/>
  <c r="AE45" i="70"/>
  <c r="AE12" i="70" s="1"/>
  <c r="AE23" i="70" s="1"/>
  <c r="Y45" i="70"/>
  <c r="Y12" i="70" s="1"/>
  <c r="Y23" i="70" s="1"/>
  <c r="F2" i="71" s="1"/>
  <c r="AA46" i="70"/>
  <c r="AA14" i="70" s="1"/>
  <c r="AA24" i="70" s="1"/>
  <c r="H3" i="71" s="1"/>
  <c r="AC47" i="70"/>
  <c r="Z46" i="70"/>
  <c r="Z14" i="70" s="1"/>
  <c r="Z24" i="70" s="1"/>
  <c r="G3" i="71" s="1"/>
  <c r="AB45" i="70"/>
  <c r="AB12" i="70" s="1"/>
  <c r="AB23" i="70" s="1"/>
  <c r="I2" i="71" s="1"/>
  <c r="V46" i="70"/>
  <c r="V14" i="70" s="1"/>
  <c r="V24" i="70" s="1"/>
  <c r="C3" i="71" s="1"/>
  <c r="AD46" i="70"/>
  <c r="AD14" i="70" s="1"/>
  <c r="AD24" i="70" s="1"/>
  <c r="X47" i="70"/>
  <c r="X16" i="70" s="1"/>
  <c r="X25" i="70" s="1"/>
  <c r="E4" i="71" s="1"/>
  <c r="AF47" i="70"/>
  <c r="AF16" i="70" s="1"/>
  <c r="AF25" i="70" s="1"/>
  <c r="V45" i="70"/>
  <c r="V12" i="70" s="1"/>
  <c r="AC51" i="72" s="1"/>
  <c r="X45" i="70"/>
  <c r="X12" i="70" s="1"/>
  <c r="X23" i="70" s="1"/>
  <c r="E2" i="71" s="1"/>
  <c r="AB47" i="70"/>
  <c r="AB48" i="70" s="1"/>
  <c r="AA45" i="70"/>
  <c r="AA12" i="70" s="1"/>
  <c r="AA23" i="70" s="1"/>
  <c r="H2" i="71" s="1"/>
  <c r="AC46" i="70"/>
  <c r="AC14" i="70" s="1"/>
  <c r="AC24" i="70" s="1"/>
  <c r="J3" i="71" s="1"/>
  <c r="W47" i="70"/>
  <c r="W48" i="70" s="1"/>
  <c r="AE47" i="70"/>
  <c r="AE48" i="70" s="1"/>
  <c r="V47" i="70"/>
  <c r="V16" i="70" s="1"/>
  <c r="V25" i="70" s="1"/>
  <c r="C4" i="71" s="1"/>
  <c r="Z51" i="72"/>
  <c r="T51" i="72"/>
  <c r="X51" i="72"/>
  <c r="V51" i="72"/>
  <c r="AE30" i="72"/>
  <c r="AF30" i="72" s="1"/>
  <c r="U51" i="72"/>
  <c r="O13" i="25"/>
  <c r="O20" i="25" s="1"/>
  <c r="I13" i="25"/>
  <c r="H13" i="25"/>
  <c r="P13" i="25"/>
  <c r="N13" i="25"/>
  <c r="N20" i="25" s="1"/>
  <c r="N19" i="25" s="1"/>
  <c r="L13" i="25"/>
  <c r="T13" i="25"/>
  <c r="U13" i="25"/>
  <c r="U20" i="25" s="1"/>
  <c r="J20" i="25"/>
  <c r="J19" i="25" s="1"/>
  <c r="S20" i="25"/>
  <c r="L92" i="55"/>
  <c r="L65" i="55"/>
  <c r="N9" i="48"/>
  <c r="N23" i="48"/>
  <c r="L136" i="48"/>
  <c r="T136" i="48"/>
  <c r="J137" i="48"/>
  <c r="R137" i="48"/>
  <c r="K164" i="48"/>
  <c r="Q133" i="48"/>
  <c r="J136" i="48"/>
  <c r="R136" i="48"/>
  <c r="R152" i="48"/>
  <c r="W175" i="48"/>
  <c r="X175" i="48" s="1"/>
  <c r="Y175" i="48" s="1"/>
  <c r="Z175" i="48" s="1"/>
  <c r="AA175" i="48" s="1"/>
  <c r="AB175" i="48" s="1"/>
  <c r="AC175" i="48" s="1"/>
  <c r="W177" i="48"/>
  <c r="W179" i="48"/>
  <c r="J151" i="48"/>
  <c r="R151" i="48"/>
  <c r="L23" i="48"/>
  <c r="K140" i="48"/>
  <c r="L158" i="48" s="1"/>
  <c r="M140" i="48"/>
  <c r="M149" i="48" s="1"/>
  <c r="G9" i="48"/>
  <c r="G140" i="48"/>
  <c r="G149" i="48" s="1"/>
  <c r="I9" i="48"/>
  <c r="K151" i="48"/>
  <c r="S151" i="48"/>
  <c r="O140" i="48"/>
  <c r="O133" i="48" s="1"/>
  <c r="H159" i="48"/>
  <c r="P159" i="48"/>
  <c r="H160" i="48"/>
  <c r="P160" i="48"/>
  <c r="O23" i="48"/>
  <c r="P140" i="48"/>
  <c r="Q158" i="48" s="1"/>
  <c r="I133" i="48"/>
  <c r="K137" i="48"/>
  <c r="S137" i="48"/>
  <c r="H183" i="48"/>
  <c r="P183" i="48"/>
  <c r="X183" i="48"/>
  <c r="K136" i="48"/>
  <c r="S136" i="48"/>
  <c r="K23" i="48"/>
  <c r="S23" i="48"/>
  <c r="H161" i="48"/>
  <c r="P161" i="48"/>
  <c r="H162" i="48"/>
  <c r="P162" i="48"/>
  <c r="V173" i="48"/>
  <c r="W173" i="48" s="1"/>
  <c r="X173" i="48" s="1"/>
  <c r="Y173" i="48" s="1"/>
  <c r="Z173" i="48" s="1"/>
  <c r="AA173" i="48" s="1"/>
  <c r="AB173" i="48" s="1"/>
  <c r="AC173" i="48" s="1"/>
  <c r="I65" i="48"/>
  <c r="I86" i="48" s="1"/>
  <c r="I93" i="48" s="1"/>
  <c r="K152" i="48"/>
  <c r="S152" i="48"/>
  <c r="N162" i="48"/>
  <c r="N164" i="48"/>
  <c r="N165" i="48"/>
  <c r="G160" i="48"/>
  <c r="L152" i="48"/>
  <c r="H140" i="48"/>
  <c r="H158" i="48" s="1"/>
  <c r="L151" i="48"/>
  <c r="T151" i="48"/>
  <c r="V151" i="48" s="1"/>
  <c r="W151" i="48" s="1"/>
  <c r="L137" i="48"/>
  <c r="Q183" i="48"/>
  <c r="N140" i="48"/>
  <c r="N133" i="48" s="1"/>
  <c r="H114" i="48" s="1"/>
  <c r="I114" i="48" s="1"/>
  <c r="J114" i="48" s="1"/>
  <c r="K114" i="48" s="1"/>
  <c r="L114" i="48" s="1"/>
  <c r="H9" i="48"/>
  <c r="P9" i="48"/>
  <c r="Q9" i="48"/>
  <c r="O160" i="48"/>
  <c r="G162" i="48"/>
  <c r="O165" i="48"/>
  <c r="J23" i="48"/>
  <c r="F152" i="48"/>
  <c r="N152" i="48"/>
  <c r="Y183" i="48"/>
  <c r="I158" i="48"/>
  <c r="Q160" i="48"/>
  <c r="M9" i="48"/>
  <c r="F151" i="48"/>
  <c r="N151" i="48"/>
  <c r="J160" i="48"/>
  <c r="X177" i="48"/>
  <c r="Y177" i="48" s="1"/>
  <c r="Z177" i="48" s="1"/>
  <c r="AA177" i="48" s="1"/>
  <c r="AB177" i="48" s="1"/>
  <c r="AC177" i="48" s="1"/>
  <c r="X179" i="48"/>
  <c r="Y179" i="48" s="1"/>
  <c r="Z179" i="48" s="1"/>
  <c r="AA179" i="48" s="1"/>
  <c r="AB179" i="48" s="1"/>
  <c r="AC179" i="48" s="1"/>
  <c r="N137" i="48"/>
  <c r="I117" i="48" s="1"/>
  <c r="J117" i="48" s="1"/>
  <c r="K117" i="48" s="1"/>
  <c r="L117" i="48" s="1"/>
  <c r="F150" i="48"/>
  <c r="O9" i="48"/>
  <c r="F9" i="48"/>
  <c r="N135" i="48"/>
  <c r="H115" i="48" s="1"/>
  <c r="I115" i="48" s="1"/>
  <c r="J115" i="48" s="1"/>
  <c r="K115" i="48" s="1"/>
  <c r="L115" i="48" s="1"/>
  <c r="N136" i="48"/>
  <c r="H116" i="48" s="1"/>
  <c r="F140" i="48"/>
  <c r="F149" i="48" s="1"/>
  <c r="G66" i="48"/>
  <c r="G87" i="48" s="1"/>
  <c r="G94" i="48" s="1"/>
  <c r="G117" i="48" s="1"/>
  <c r="F23" i="48"/>
  <c r="U135" i="48"/>
  <c r="V135" i="48" s="1"/>
  <c r="W135" i="48" s="1"/>
  <c r="X135" i="48" s="1"/>
  <c r="Y135" i="48" s="1"/>
  <c r="Z135" i="48" s="1"/>
  <c r="AA135" i="48" s="1"/>
  <c r="AB135" i="48" s="1"/>
  <c r="AC135" i="48" s="1"/>
  <c r="G23" i="48"/>
  <c r="K183" i="48"/>
  <c r="S183" i="48"/>
  <c r="AA183" i="48"/>
  <c r="H145" i="48"/>
  <c r="H163" i="48" s="1"/>
  <c r="G159" i="48"/>
  <c r="E93" i="48"/>
  <c r="E116" i="48" s="1"/>
  <c r="E117" i="48"/>
  <c r="T183" i="48"/>
  <c r="T171" i="48" s="1"/>
  <c r="G161" i="48"/>
  <c r="O161" i="48"/>
  <c r="O162" i="48"/>
  <c r="P145" i="48"/>
  <c r="P135" i="48" s="1"/>
  <c r="M164" i="48"/>
  <c r="N159" i="48"/>
  <c r="I64" i="48"/>
  <c r="J64" i="48" s="1"/>
  <c r="M23" i="48"/>
  <c r="F93" i="48"/>
  <c r="F116" i="48" s="1"/>
  <c r="F117" i="48"/>
  <c r="J149" i="48"/>
  <c r="O159" i="48"/>
  <c r="H66" i="48"/>
  <c r="H87" i="48" s="1"/>
  <c r="H94" i="48" s="1"/>
  <c r="G64" i="48"/>
  <c r="G85" i="48" s="1"/>
  <c r="G92" i="48" s="1"/>
  <c r="G115" i="48" s="1"/>
  <c r="G65" i="48"/>
  <c r="G86" i="48" s="1"/>
  <c r="G93" i="48" s="1"/>
  <c r="G116" i="48" s="1"/>
  <c r="G183" i="48"/>
  <c r="O183" i="48"/>
  <c r="W183" i="48"/>
  <c r="R160" i="48"/>
  <c r="J161" i="48"/>
  <c r="R161" i="48"/>
  <c r="J162" i="48"/>
  <c r="R162" i="48"/>
  <c r="G164" i="48"/>
  <c r="O164" i="48"/>
  <c r="G165" i="48"/>
  <c r="L164" i="48"/>
  <c r="E115" i="48"/>
  <c r="H164" i="48"/>
  <c r="P165" i="48"/>
  <c r="I183" i="48"/>
  <c r="L149" i="48"/>
  <c r="Q152" i="48"/>
  <c r="V87" i="59"/>
  <c r="AD101" i="59"/>
  <c r="V48" i="70"/>
  <c r="V49" i="70" s="1"/>
  <c r="V20" i="70" s="1"/>
  <c r="V27" i="70" s="1"/>
  <c r="C6" i="71" s="1"/>
  <c r="W16" i="70"/>
  <c r="W25" i="70" s="1"/>
  <c r="D4" i="71" s="1"/>
  <c r="Z45" i="70"/>
  <c r="Z12" i="70" s="1"/>
  <c r="Z23" i="70" s="1"/>
  <c r="G2" i="71" s="1"/>
  <c r="AB46" i="70"/>
  <c r="AB14" i="70" s="1"/>
  <c r="AB24" i="70" s="1"/>
  <c r="I3" i="71" s="1"/>
  <c r="AD47" i="70"/>
  <c r="AD48" i="70" s="1"/>
  <c r="AD18" i="70" s="1"/>
  <c r="AD26" i="70" s="1"/>
  <c r="X46" i="70"/>
  <c r="X14" i="70" s="1"/>
  <c r="X24" i="70" s="1"/>
  <c r="E3" i="71" s="1"/>
  <c r="AF46" i="70"/>
  <c r="AF14" i="70" s="1"/>
  <c r="AF24" i="70" s="1"/>
  <c r="Z47" i="70"/>
  <c r="AD100" i="59"/>
  <c r="R72" i="59"/>
  <c r="J31" i="59"/>
  <c r="J72" i="59"/>
  <c r="S72" i="59"/>
  <c r="O72" i="59"/>
  <c r="E116" i="59"/>
  <c r="E120" i="59" s="1"/>
  <c r="P72" i="59"/>
  <c r="T31" i="59"/>
  <c r="V12" i="25"/>
  <c r="K20" i="25"/>
  <c r="L20" i="25"/>
  <c r="T20" i="25"/>
  <c r="T19" i="25" s="1"/>
  <c r="V16" i="25"/>
  <c r="W16" i="25" s="1"/>
  <c r="X16" i="25" s="1"/>
  <c r="Y16" i="25" s="1"/>
  <c r="Z16" i="25" s="1"/>
  <c r="AA16" i="25" s="1"/>
  <c r="AB16" i="25" s="1"/>
  <c r="AC16" i="25" s="1"/>
  <c r="V17" i="25"/>
  <c r="W17" i="25" s="1"/>
  <c r="X17" i="25" s="1"/>
  <c r="Y17" i="25" s="1"/>
  <c r="Z17" i="25" s="1"/>
  <c r="AA17" i="25" s="1"/>
  <c r="AB17" i="25" s="1"/>
  <c r="AC17" i="25" s="1"/>
  <c r="P20" i="25"/>
  <c r="P19" i="25" s="1"/>
  <c r="M20" i="25"/>
  <c r="Q20" i="25"/>
  <c r="V15" i="25"/>
  <c r="W15" i="25" s="1"/>
  <c r="X15" i="25" s="1"/>
  <c r="Y15" i="25" s="1"/>
  <c r="Z15" i="25" s="1"/>
  <c r="AA15" i="25" s="1"/>
  <c r="AB15" i="25" s="1"/>
  <c r="AC15" i="25" s="1"/>
  <c r="T116" i="26"/>
  <c r="T39" i="26"/>
  <c r="X110" i="26"/>
  <c r="X40" i="26"/>
  <c r="U116" i="26"/>
  <c r="AD129" i="26" s="1"/>
  <c r="U39" i="26"/>
  <c r="Y110" i="26"/>
  <c r="Y40" i="26"/>
  <c r="Z110" i="26"/>
  <c r="Z40" i="26"/>
  <c r="AA110" i="26"/>
  <c r="AA40" i="26"/>
  <c r="Y112" i="26"/>
  <c r="Y42" i="26"/>
  <c r="T110" i="26"/>
  <c r="T40" i="26"/>
  <c r="AB110" i="26"/>
  <c r="AB40" i="26"/>
  <c r="Z112" i="26"/>
  <c r="Z42" i="26"/>
  <c r="U110" i="26"/>
  <c r="U40" i="26"/>
  <c r="AC110" i="26"/>
  <c r="AC40" i="26"/>
  <c r="AA112" i="26"/>
  <c r="AA42" i="26"/>
  <c r="V110" i="26"/>
  <c r="V40" i="26"/>
  <c r="AB112" i="26"/>
  <c r="AB42" i="26"/>
  <c r="W110" i="26"/>
  <c r="W40" i="26"/>
  <c r="AC112" i="26"/>
  <c r="AC42" i="26"/>
  <c r="N38" i="20"/>
  <c r="N69" i="26"/>
  <c r="D9" i="50"/>
  <c r="F9" i="50"/>
  <c r="F11" i="26"/>
  <c r="F20" i="26" s="1"/>
  <c r="N11" i="26"/>
  <c r="Q69" i="26"/>
  <c r="G11" i="26"/>
  <c r="G20" i="26" s="1"/>
  <c r="O11" i="26"/>
  <c r="H9" i="50"/>
  <c r="D11" i="26"/>
  <c r="D20" i="26" s="1"/>
  <c r="T11" i="26"/>
  <c r="T37" i="26" s="1"/>
  <c r="K11" i="26"/>
  <c r="K20" i="26" s="1"/>
  <c r="K113" i="26" s="1"/>
  <c r="K108" i="26" s="1"/>
  <c r="S11" i="26"/>
  <c r="I11" i="26"/>
  <c r="I20" i="26" s="1"/>
  <c r="I113" i="26" s="1"/>
  <c r="I108" i="26" s="1"/>
  <c r="I69" i="20" s="1"/>
  <c r="I70" i="20" s="1"/>
  <c r="I40" i="20" s="1"/>
  <c r="Q11" i="26"/>
  <c r="L11" i="26"/>
  <c r="L20" i="26" s="1"/>
  <c r="L113" i="26" s="1"/>
  <c r="P68" i="20"/>
  <c r="AB140" i="26"/>
  <c r="J3" i="35" s="1"/>
  <c r="K5" i="55" s="1"/>
  <c r="V140" i="26"/>
  <c r="D3" i="35" s="1"/>
  <c r="E5" i="55" s="1"/>
  <c r="J9" i="50"/>
  <c r="M64" i="26"/>
  <c r="AD64" i="26" s="1"/>
  <c r="J11" i="26"/>
  <c r="J20" i="26" s="1"/>
  <c r="J113" i="26" s="1"/>
  <c r="R11" i="26"/>
  <c r="N63" i="26"/>
  <c r="N15" i="26" s="1"/>
  <c r="M15" i="26"/>
  <c r="D82" i="26" s="1"/>
  <c r="E82" i="26" s="1"/>
  <c r="G9" i="50"/>
  <c r="AD19" i="26"/>
  <c r="P67" i="26"/>
  <c r="E79" i="26"/>
  <c r="H11" i="26"/>
  <c r="H20" i="26" s="1"/>
  <c r="H113" i="26" s="1"/>
  <c r="H108" i="26" s="1"/>
  <c r="H69" i="20" s="1"/>
  <c r="H70" i="20" s="1"/>
  <c r="P11" i="26"/>
  <c r="W67" i="26"/>
  <c r="R67" i="26"/>
  <c r="X67" i="26"/>
  <c r="J58" i="26"/>
  <c r="AD58" i="26" s="1"/>
  <c r="Y140" i="26"/>
  <c r="Z140" i="26"/>
  <c r="Z68" i="20" s="1"/>
  <c r="H19" i="25"/>
  <c r="F20" i="25"/>
  <c r="F19" i="25" s="1"/>
  <c r="F14" i="59" s="1"/>
  <c r="I19" i="25"/>
  <c r="Q19" i="25"/>
  <c r="G20" i="25"/>
  <c r="G19" i="25" s="1"/>
  <c r="G14" i="59" s="1"/>
  <c r="R19" i="25"/>
  <c r="K19" i="25"/>
  <c r="S19" i="25"/>
  <c r="V14" i="25"/>
  <c r="D19" i="25"/>
  <c r="L19" i="25"/>
  <c r="E19" i="25"/>
  <c r="E14" i="59" s="1"/>
  <c r="M19" i="25"/>
  <c r="S14" i="59"/>
  <c r="I101" i="55"/>
  <c r="J101" i="55"/>
  <c r="D57" i="55"/>
  <c r="E91" i="55"/>
  <c r="I65" i="55"/>
  <c r="F91" i="55"/>
  <c r="L101" i="55"/>
  <c r="G91" i="55"/>
  <c r="H91" i="55"/>
  <c r="K92" i="55"/>
  <c r="V17" i="74"/>
  <c r="W17" i="74" s="1"/>
  <c r="X17" i="74" s="1"/>
  <c r="Y17" i="74" s="1"/>
  <c r="Z17" i="74" s="1"/>
  <c r="AA17" i="74" s="1"/>
  <c r="AB17" i="74" s="1"/>
  <c r="AC17" i="74" s="1"/>
  <c r="D90" i="55"/>
  <c r="D64" i="55"/>
  <c r="I19" i="74"/>
  <c r="I20" i="74"/>
  <c r="Q20" i="74"/>
  <c r="Q19" i="74" s="1"/>
  <c r="W17" i="30"/>
  <c r="V13" i="30"/>
  <c r="V11" i="30" s="1"/>
  <c r="E66" i="55"/>
  <c r="E92" i="55"/>
  <c r="H92" i="55"/>
  <c r="H66" i="55"/>
  <c r="K101" i="55"/>
  <c r="D29" i="49"/>
  <c r="D30" i="59"/>
  <c r="D31" i="59" s="1"/>
  <c r="J91" i="55"/>
  <c r="J65" i="55"/>
  <c r="S66" i="26"/>
  <c r="R66" i="26"/>
  <c r="Q66" i="26"/>
  <c r="Q16" i="26" s="1"/>
  <c r="Q112" i="26" s="1"/>
  <c r="X66" i="26"/>
  <c r="P66" i="26"/>
  <c r="W66" i="26"/>
  <c r="V66" i="26"/>
  <c r="U66" i="26"/>
  <c r="N66" i="26"/>
  <c r="H75" i="55"/>
  <c r="E28" i="49"/>
  <c r="U26" i="49"/>
  <c r="U12" i="49"/>
  <c r="W12" i="49" s="1"/>
  <c r="V51" i="21"/>
  <c r="V50" i="21"/>
  <c r="K20" i="74"/>
  <c r="K19" i="74"/>
  <c r="J116" i="26"/>
  <c r="AF13" i="26"/>
  <c r="D80" i="26"/>
  <c r="L28" i="49"/>
  <c r="T29" i="49"/>
  <c r="M26" i="49"/>
  <c r="E26" i="49"/>
  <c r="D56" i="55"/>
  <c r="G66" i="55"/>
  <c r="D92" i="55"/>
  <c r="D20" i="74"/>
  <c r="D19" i="74" s="1"/>
  <c r="T20" i="74"/>
  <c r="T19" i="74" s="1"/>
  <c r="V16" i="74"/>
  <c r="W16" i="74" s="1"/>
  <c r="X16" i="74" s="1"/>
  <c r="Y16" i="74" s="1"/>
  <c r="Z16" i="74" s="1"/>
  <c r="AA16" i="74" s="1"/>
  <c r="AB16" i="74" s="1"/>
  <c r="AC16" i="74" s="1"/>
  <c r="R20" i="74"/>
  <c r="R19" i="74" s="1"/>
  <c r="O39" i="20"/>
  <c r="O38" i="20" s="1"/>
  <c r="J15" i="30"/>
  <c r="J20" i="74"/>
  <c r="J19" i="74" s="1"/>
  <c r="L187" i="65"/>
  <c r="Y27" i="30"/>
  <c r="E75" i="55"/>
  <c r="K93" i="55"/>
  <c r="S20" i="74"/>
  <c r="S19" i="74" s="1"/>
  <c r="M66" i="26"/>
  <c r="H39" i="20"/>
  <c r="P39" i="20"/>
  <c r="Q38" i="20" s="1"/>
  <c r="T152" i="48"/>
  <c r="U152" i="48" s="1"/>
  <c r="V152" i="48" s="1"/>
  <c r="W152" i="48" s="1"/>
  <c r="X152" i="48" s="1"/>
  <c r="F59" i="55"/>
  <c r="D65" i="55"/>
  <c r="I66" i="55"/>
  <c r="F92" i="55"/>
  <c r="D101" i="55"/>
  <c r="L19" i="74"/>
  <c r="O66" i="26"/>
  <c r="X65" i="26"/>
  <c r="P65" i="26"/>
  <c r="W65" i="26"/>
  <c r="O65" i="26"/>
  <c r="V65" i="26"/>
  <c r="N65" i="26"/>
  <c r="U65" i="26"/>
  <c r="M65" i="26"/>
  <c r="T65" i="26"/>
  <c r="S65" i="26"/>
  <c r="R65" i="26"/>
  <c r="C81" i="26"/>
  <c r="Q65" i="26"/>
  <c r="W12" i="33"/>
  <c r="V12" i="33"/>
  <c r="V10" i="33" s="1"/>
  <c r="U12" i="33"/>
  <c r="T12" i="33"/>
  <c r="M13" i="38"/>
  <c r="N13" i="38" s="1"/>
  <c r="L13" i="38"/>
  <c r="V12" i="74"/>
  <c r="H13" i="74"/>
  <c r="P13" i="74"/>
  <c r="P20" i="74" s="1"/>
  <c r="D81" i="26"/>
  <c r="L68" i="20"/>
  <c r="U140" i="26"/>
  <c r="W140" i="26"/>
  <c r="AC140" i="26"/>
  <c r="R38" i="20"/>
  <c r="K12" i="30"/>
  <c r="T140" i="26"/>
  <c r="J13" i="30"/>
  <c r="H15" i="30"/>
  <c r="G20" i="74"/>
  <c r="G19" i="74"/>
  <c r="O20" i="74"/>
  <c r="O19" i="74"/>
  <c r="V15" i="74"/>
  <c r="W15" i="74" s="1"/>
  <c r="X15" i="74" s="1"/>
  <c r="Y15" i="74" s="1"/>
  <c r="Z15" i="74" s="1"/>
  <c r="AA15" i="74" s="1"/>
  <c r="AB15" i="74" s="1"/>
  <c r="AC15" i="74" s="1"/>
  <c r="L110" i="26"/>
  <c r="AD14" i="26"/>
  <c r="C84" i="26"/>
  <c r="H20" i="74"/>
  <c r="H19" i="74" s="1"/>
  <c r="P19" i="74"/>
  <c r="U38" i="20"/>
  <c r="V39" i="20"/>
  <c r="N12" i="30"/>
  <c r="L13" i="30"/>
  <c r="L12" i="30" s="1"/>
  <c r="K46" i="30"/>
  <c r="H23" i="48"/>
  <c r="P23" i="48"/>
  <c r="C91" i="26"/>
  <c r="K13" i="30"/>
  <c r="K30" i="59"/>
  <c r="K31" i="59" s="1"/>
  <c r="S30" i="59"/>
  <c r="S31" i="59" s="1"/>
  <c r="S28" i="49"/>
  <c r="S29" i="49" s="1"/>
  <c r="I85" i="48"/>
  <c r="I92" i="48" s="1"/>
  <c r="Q38" i="38"/>
  <c r="R38" i="38" s="1"/>
  <c r="P38" i="38"/>
  <c r="V67" i="26"/>
  <c r="N67" i="26"/>
  <c r="U67" i="26"/>
  <c r="M67" i="26"/>
  <c r="T67" i="26"/>
  <c r="T16" i="26" s="1"/>
  <c r="S67" i="26"/>
  <c r="S140" i="26"/>
  <c r="AA140" i="26"/>
  <c r="S38" i="20"/>
  <c r="F26" i="49"/>
  <c r="F18" i="49"/>
  <c r="F19" i="49" s="1"/>
  <c r="M191" i="65"/>
  <c r="AA26" i="59" s="1"/>
  <c r="Z26" i="59"/>
  <c r="C97" i="26"/>
  <c r="M15" i="30"/>
  <c r="E12" i="49"/>
  <c r="M12" i="49"/>
  <c r="L30" i="59"/>
  <c r="L31" i="59" s="1"/>
  <c r="L29" i="49"/>
  <c r="L70" i="59"/>
  <c r="L20" i="59" s="1"/>
  <c r="L72" i="59"/>
  <c r="T70" i="59"/>
  <c r="T20" i="59" s="1"/>
  <c r="T72" i="59"/>
  <c r="H63" i="48"/>
  <c r="L133" i="48"/>
  <c r="L9" i="48"/>
  <c r="T9" i="48"/>
  <c r="T133" i="48"/>
  <c r="T11" i="48"/>
  <c r="Q28" i="38"/>
  <c r="M20" i="74"/>
  <c r="M19" i="74" s="1"/>
  <c r="U20" i="74"/>
  <c r="C80" i="26"/>
  <c r="I39" i="20"/>
  <c r="N15" i="30"/>
  <c r="H30" i="59"/>
  <c r="H31" i="59" s="1"/>
  <c r="N26" i="49"/>
  <c r="P12" i="33"/>
  <c r="S12" i="33"/>
  <c r="R12" i="33"/>
  <c r="J183" i="48"/>
  <c r="R183" i="48"/>
  <c r="J133" i="48"/>
  <c r="J158" i="48"/>
  <c r="R158" i="48"/>
  <c r="R133" i="48"/>
  <c r="J159" i="48"/>
  <c r="J145" i="48"/>
  <c r="J163" i="48" s="1"/>
  <c r="R159" i="48"/>
  <c r="R145" i="48"/>
  <c r="R135" i="48" s="1"/>
  <c r="F20" i="74"/>
  <c r="F19" i="74"/>
  <c r="N20" i="74"/>
  <c r="N19" i="74"/>
  <c r="E11" i="26"/>
  <c r="E20" i="26" s="1"/>
  <c r="M11" i="26"/>
  <c r="U37" i="26"/>
  <c r="O67" i="26"/>
  <c r="Y39" i="26"/>
  <c r="T38" i="20"/>
  <c r="K28" i="49"/>
  <c r="K29" i="49" s="1"/>
  <c r="P30" i="59"/>
  <c r="P31" i="59" s="1"/>
  <c r="N72" i="59"/>
  <c r="N70" i="59"/>
  <c r="N20" i="59" s="1"/>
  <c r="T23" i="48"/>
  <c r="S158" i="48"/>
  <c r="S133" i="48"/>
  <c r="K159" i="48"/>
  <c r="K145" i="48"/>
  <c r="K135" i="48" s="1"/>
  <c r="S159" i="48"/>
  <c r="S145" i="48"/>
  <c r="S135" i="48" s="1"/>
  <c r="K160" i="48"/>
  <c r="S160" i="48"/>
  <c r="K161" i="48"/>
  <c r="S161" i="48"/>
  <c r="K162" i="48"/>
  <c r="S162" i="48"/>
  <c r="K56" i="38"/>
  <c r="M48" i="38"/>
  <c r="D114" i="59"/>
  <c r="D115" i="59" s="1"/>
  <c r="E19" i="33"/>
  <c r="T15" i="59"/>
  <c r="S70" i="59"/>
  <c r="S20" i="59" s="1"/>
  <c r="K70" i="59"/>
  <c r="K20" i="59" s="1"/>
  <c r="J70" i="59"/>
  <c r="J20" i="59" s="1"/>
  <c r="I70" i="59"/>
  <c r="I20" i="59" s="1"/>
  <c r="M70" i="59"/>
  <c r="M20" i="59" s="1"/>
  <c r="M72" i="59"/>
  <c r="U70" i="59"/>
  <c r="U72" i="59"/>
  <c r="Z183" i="48"/>
  <c r="M16" i="38"/>
  <c r="N21" i="38"/>
  <c r="M21" i="38"/>
  <c r="T42" i="38"/>
  <c r="P41" i="38"/>
  <c r="M111" i="26"/>
  <c r="X140" i="26"/>
  <c r="W12" i="30"/>
  <c r="G28" i="49"/>
  <c r="G26" i="49"/>
  <c r="O26" i="49"/>
  <c r="R30" i="59"/>
  <c r="R31" i="59" s="1"/>
  <c r="R29" i="49"/>
  <c r="D15" i="59"/>
  <c r="I149" i="48"/>
  <c r="I23" i="48"/>
  <c r="Q23" i="48"/>
  <c r="Q149" i="48"/>
  <c r="M159" i="48"/>
  <c r="L159" i="48"/>
  <c r="T145" i="48"/>
  <c r="T135" i="48" s="1"/>
  <c r="L160" i="48"/>
  <c r="L161" i="48"/>
  <c r="M161" i="48"/>
  <c r="L162" i="48"/>
  <c r="P164" i="48"/>
  <c r="P136" i="48"/>
  <c r="H165" i="48"/>
  <c r="H137" i="48"/>
  <c r="R16" i="59"/>
  <c r="Q16" i="59"/>
  <c r="H12" i="30"/>
  <c r="X12" i="30"/>
  <c r="H46" i="30"/>
  <c r="F12" i="49"/>
  <c r="F28" i="49" s="1"/>
  <c r="N12" i="49"/>
  <c r="N28" i="49" s="1"/>
  <c r="O12" i="49"/>
  <c r="O28" i="49" s="1"/>
  <c r="F19" i="33"/>
  <c r="J23" i="33"/>
  <c r="I23" i="33"/>
  <c r="P70" i="59"/>
  <c r="P20" i="59" s="1"/>
  <c r="R23" i="48"/>
  <c r="R149" i="48"/>
  <c r="I150" i="48"/>
  <c r="I164" i="48"/>
  <c r="Q164" i="48"/>
  <c r="Q136" i="48"/>
  <c r="I165" i="48"/>
  <c r="AD12" i="26"/>
  <c r="R140" i="26"/>
  <c r="I12" i="30"/>
  <c r="Y12" i="30"/>
  <c r="I15" i="59"/>
  <c r="D22" i="33"/>
  <c r="Q15" i="59"/>
  <c r="E117" i="59"/>
  <c r="Q70" i="59"/>
  <c r="Q20" i="59" s="1"/>
  <c r="D117" i="59"/>
  <c r="J150" i="48"/>
  <c r="J164" i="48"/>
  <c r="R164" i="48"/>
  <c r="J165" i="48"/>
  <c r="R165" i="48"/>
  <c r="S31" i="38"/>
  <c r="O30" i="38"/>
  <c r="J12" i="30"/>
  <c r="H12" i="49"/>
  <c r="P12" i="49"/>
  <c r="E18" i="49" s="1"/>
  <c r="E19" i="49" s="1"/>
  <c r="Q28" i="49"/>
  <c r="Q29" i="49" s="1"/>
  <c r="E22" i="33"/>
  <c r="R70" i="59"/>
  <c r="R20" i="59" s="1"/>
  <c r="T149" i="48"/>
  <c r="V149" i="48" s="1"/>
  <c r="L145" i="48"/>
  <c r="L163" i="48" s="1"/>
  <c r="Q165" i="48"/>
  <c r="S25" i="38"/>
  <c r="M24" i="38"/>
  <c r="O24" i="38" s="1"/>
  <c r="K72" i="59"/>
  <c r="I135" i="48"/>
  <c r="Q135" i="48"/>
  <c r="I66" i="48"/>
  <c r="L183" i="48"/>
  <c r="AB183" i="48"/>
  <c r="M162" i="48"/>
  <c r="S164" i="48"/>
  <c r="K165" i="48"/>
  <c r="S165" i="48"/>
  <c r="L67" i="38"/>
  <c r="L69" i="38" s="1"/>
  <c r="L66" i="38"/>
  <c r="J135" i="48"/>
  <c r="J9" i="48"/>
  <c r="R9" i="48"/>
  <c r="H152" i="48"/>
  <c r="E114" i="48"/>
  <c r="N163" i="48"/>
  <c r="L165" i="48"/>
  <c r="N22" i="38"/>
  <c r="P31" i="38"/>
  <c r="P35" i="38"/>
  <c r="P19" i="59"/>
  <c r="M16" i="40"/>
  <c r="J17" i="40"/>
  <c r="J14" i="40"/>
  <c r="R17" i="40"/>
  <c r="R14" i="40"/>
  <c r="I31" i="59"/>
  <c r="Q31" i="59"/>
  <c r="K9" i="48"/>
  <c r="S9" i="48"/>
  <c r="Q150" i="48"/>
  <c r="I152" i="48"/>
  <c r="F114" i="48"/>
  <c r="F115" i="48"/>
  <c r="G163" i="48"/>
  <c r="O163" i="48"/>
  <c r="M18" i="38"/>
  <c r="O23" i="38"/>
  <c r="N56" i="38"/>
  <c r="O55" i="38"/>
  <c r="K67" i="38" s="1"/>
  <c r="J65" i="38"/>
  <c r="N14" i="40"/>
  <c r="N17" i="40" s="1"/>
  <c r="S14" i="40"/>
  <c r="S15" i="40" s="1"/>
  <c r="S17" i="40"/>
  <c r="Q5" i="21"/>
  <c r="AA17" i="59" s="1"/>
  <c r="I15" i="35" s="1"/>
  <c r="J17" i="55" s="1"/>
  <c r="P5" i="21"/>
  <c r="Z17" i="59" s="1"/>
  <c r="H15" i="35" s="1"/>
  <c r="I17" i="55" s="1"/>
  <c r="O5" i="21"/>
  <c r="Y17" i="59" s="1"/>
  <c r="G15" i="35" s="1"/>
  <c r="H17" i="55" s="1"/>
  <c r="N5" i="21"/>
  <c r="Q72" i="59"/>
  <c r="G63" i="48"/>
  <c r="G84" i="48" s="1"/>
  <c r="G91" i="48" s="1"/>
  <c r="G114" i="48" s="1"/>
  <c r="P133" i="48"/>
  <c r="H64" i="48"/>
  <c r="J152" i="48"/>
  <c r="T137" i="48"/>
  <c r="U137" i="48" s="1"/>
  <c r="V137" i="48" s="1"/>
  <c r="W137" i="48" s="1"/>
  <c r="X137" i="48" s="1"/>
  <c r="Y137" i="48" s="1"/>
  <c r="Z137" i="48" s="1"/>
  <c r="AA137" i="48" s="1"/>
  <c r="AB137" i="48" s="1"/>
  <c r="AC137" i="48" s="1"/>
  <c r="S149" i="48"/>
  <c r="M19" i="38"/>
  <c r="P36" i="38"/>
  <c r="O56" i="38"/>
  <c r="K65" i="38"/>
  <c r="K70" i="38" s="1"/>
  <c r="AC16" i="70"/>
  <c r="AC25" i="70" s="1"/>
  <c r="J4" i="71" s="1"/>
  <c r="AC48" i="70"/>
  <c r="C5" i="21"/>
  <c r="F16" i="5"/>
  <c r="E13" i="21"/>
  <c r="E14" i="21" s="1"/>
  <c r="D13" i="21"/>
  <c r="D14" i="21" s="1"/>
  <c r="C13" i="21"/>
  <c r="U10" i="21"/>
  <c r="T10" i="21"/>
  <c r="S10" i="21"/>
  <c r="AC72" i="26" s="1"/>
  <c r="AC17" i="26" s="1"/>
  <c r="AC43" i="26" s="1"/>
  <c r="R10" i="21"/>
  <c r="D116" i="59"/>
  <c r="D120" i="59" s="1"/>
  <c r="O70" i="59"/>
  <c r="O20" i="59" s="1"/>
  <c r="I63" i="48"/>
  <c r="H65" i="48"/>
  <c r="I159" i="48"/>
  <c r="Q159" i="48"/>
  <c r="I160" i="48"/>
  <c r="I161" i="48"/>
  <c r="Q161" i="48"/>
  <c r="I162" i="48"/>
  <c r="Q162" i="48"/>
  <c r="S16" i="38"/>
  <c r="L15" i="38"/>
  <c r="N15" i="38" s="1"/>
  <c r="Q27" i="38"/>
  <c r="P56" i="38"/>
  <c r="P22" i="59"/>
  <c r="M14" i="40"/>
  <c r="N25" i="38"/>
  <c r="Q42" i="38"/>
  <c r="M10" i="29"/>
  <c r="M16" i="59" s="1"/>
  <c r="D23" i="21"/>
  <c r="N41" i="30" s="1"/>
  <c r="D20" i="21"/>
  <c r="N38" i="30" s="1"/>
  <c r="C20" i="21"/>
  <c r="M38" i="30" s="1"/>
  <c r="C6" i="21"/>
  <c r="C24" i="21"/>
  <c r="M42" i="30" s="1"/>
  <c r="D19" i="21"/>
  <c r="N37" i="30" s="1"/>
  <c r="E6" i="5"/>
  <c r="B16" i="5"/>
  <c r="Q23" i="21"/>
  <c r="Q6" i="21"/>
  <c r="AA45" i="30" s="1"/>
  <c r="I7" i="35" s="1"/>
  <c r="J9" i="55" s="1"/>
  <c r="Q24" i="21"/>
  <c r="P6" i="21"/>
  <c r="Z45" i="30" s="1"/>
  <c r="H7" i="35" s="1"/>
  <c r="I9" i="55" s="1"/>
  <c r="O6" i="21"/>
  <c r="Y45" i="30" s="1"/>
  <c r="G7" i="35" s="1"/>
  <c r="H9" i="55" s="1"/>
  <c r="O24" i="21"/>
  <c r="N6" i="21"/>
  <c r="N24" i="21" s="1"/>
  <c r="U5" i="21"/>
  <c r="T5" i="21"/>
  <c r="S5" i="21"/>
  <c r="AC17" i="59" s="1"/>
  <c r="K15" i="35" s="1"/>
  <c r="L17" i="55" s="1"/>
  <c r="U12" i="21"/>
  <c r="T12" i="21"/>
  <c r="S12" i="21"/>
  <c r="R12" i="21"/>
  <c r="T3" i="21"/>
  <c r="M183" i="48"/>
  <c r="U183" i="48"/>
  <c r="AC183" i="48"/>
  <c r="M160" i="48"/>
  <c r="M165" i="48"/>
  <c r="M11" i="38"/>
  <c r="L11" i="38"/>
  <c r="M23" i="38"/>
  <c r="L70" i="38"/>
  <c r="I5" i="21"/>
  <c r="S17" i="59" s="1"/>
  <c r="L4" i="50" s="1"/>
  <c r="H5" i="21"/>
  <c r="R17" i="59" s="1"/>
  <c r="K4" i="50" s="1"/>
  <c r="G5" i="21"/>
  <c r="Q17" i="59" s="1"/>
  <c r="J4" i="50" s="1"/>
  <c r="F5" i="21"/>
  <c r="O7" i="21"/>
  <c r="N7" i="21"/>
  <c r="Q7" i="21"/>
  <c r="P7" i="21"/>
  <c r="U3" i="21"/>
  <c r="M21" i="21"/>
  <c r="P15" i="59"/>
  <c r="N150" i="48"/>
  <c r="N183" i="48"/>
  <c r="V183" i="48"/>
  <c r="N160" i="48"/>
  <c r="N161" i="48"/>
  <c r="N23" i="38"/>
  <c r="O28" i="38"/>
  <c r="K16" i="40"/>
  <c r="S16" i="40"/>
  <c r="P17" i="40"/>
  <c r="P14" i="40"/>
  <c r="P16" i="40" s="1"/>
  <c r="C78" i="21"/>
  <c r="P32" i="21"/>
  <c r="H32" i="21"/>
  <c r="O32" i="21"/>
  <c r="G32" i="21"/>
  <c r="V32" i="21"/>
  <c r="U32" i="21"/>
  <c r="T32" i="21"/>
  <c r="L32" i="21"/>
  <c r="S32" i="21"/>
  <c r="K32" i="21"/>
  <c r="R32" i="21"/>
  <c r="Q32" i="21"/>
  <c r="O150" i="48"/>
  <c r="N55" i="38"/>
  <c r="I69" i="38"/>
  <c r="I66" i="38"/>
  <c r="O15" i="40"/>
  <c r="L16" i="40"/>
  <c r="T16" i="40"/>
  <c r="Q17" i="40"/>
  <c r="Q14" i="40"/>
  <c r="M5" i="21"/>
  <c r="W17" i="59" s="1"/>
  <c r="E15" i="35" s="1"/>
  <c r="F17" i="55" s="1"/>
  <c r="L5" i="21"/>
  <c r="V17" i="59" s="1"/>
  <c r="D15" i="35" s="1"/>
  <c r="E17" i="55" s="1"/>
  <c r="K5" i="21"/>
  <c r="U17" i="59" s="1"/>
  <c r="AD42" i="59" s="1"/>
  <c r="J5" i="21"/>
  <c r="R40" i="21"/>
  <c r="P40" i="21"/>
  <c r="O40" i="21"/>
  <c r="V40" i="21"/>
  <c r="D6" i="21"/>
  <c r="D18" i="21" s="1"/>
  <c r="D9" i="6"/>
  <c r="AC45" i="70"/>
  <c r="AC12" i="70" s="1"/>
  <c r="AC23" i="70" s="1"/>
  <c r="J2" i="71" s="1"/>
  <c r="W46" i="70"/>
  <c r="W14" i="70" s="1"/>
  <c r="W24" i="70" s="1"/>
  <c r="D3" i="71" s="1"/>
  <c r="AE46" i="70"/>
  <c r="AE14" i="70" s="1"/>
  <c r="AE24" i="70" s="1"/>
  <c r="Y47" i="70"/>
  <c r="H19" i="21"/>
  <c r="R37" i="30" s="1"/>
  <c r="F19" i="21"/>
  <c r="P37" i="30" s="1"/>
  <c r="H18" i="21"/>
  <c r="I6" i="21"/>
  <c r="I18" i="21" s="1"/>
  <c r="I24" i="21"/>
  <c r="H6" i="21"/>
  <c r="H24" i="21" s="1"/>
  <c r="G23" i="21"/>
  <c r="Q41" i="30" s="1"/>
  <c r="Q24" i="30" s="1"/>
  <c r="Q15" i="30" s="1"/>
  <c r="G20" i="21"/>
  <c r="Q38" i="30" s="1"/>
  <c r="F18" i="21"/>
  <c r="G6" i="21"/>
  <c r="G18" i="21" s="1"/>
  <c r="G24" i="21"/>
  <c r="F20" i="21"/>
  <c r="P38" i="30" s="1"/>
  <c r="F6" i="21"/>
  <c r="F24" i="21"/>
  <c r="M10" i="21"/>
  <c r="W72" i="26" s="1"/>
  <c r="W17" i="26" s="1"/>
  <c r="W43" i="26" s="1"/>
  <c r="L10" i="21"/>
  <c r="V72" i="26" s="1"/>
  <c r="V17" i="26" s="1"/>
  <c r="V43" i="26" s="1"/>
  <c r="K10" i="21"/>
  <c r="U72" i="26" s="1"/>
  <c r="U17" i="26" s="1"/>
  <c r="U43" i="26" s="1"/>
  <c r="U4" i="21"/>
  <c r="T4" i="21"/>
  <c r="S4" i="21"/>
  <c r="AC18" i="59" s="1"/>
  <c r="AC24" i="59" s="1"/>
  <c r="R4" i="21"/>
  <c r="K3" i="21"/>
  <c r="T49" i="21"/>
  <c r="Q17" i="6"/>
  <c r="C16" i="5"/>
  <c r="G7" i="21"/>
  <c r="F7" i="21"/>
  <c r="I7" i="21"/>
  <c r="H7" i="21"/>
  <c r="M12" i="21"/>
  <c r="L12" i="21"/>
  <c r="K12" i="21"/>
  <c r="J12" i="21"/>
  <c r="N9" i="21"/>
  <c r="Q9" i="21"/>
  <c r="P9" i="21"/>
  <c r="K16" i="5"/>
  <c r="M16" i="5"/>
  <c r="L3" i="21"/>
  <c r="U49" i="21"/>
  <c r="R17" i="6"/>
  <c r="M15" i="38"/>
  <c r="M22" i="38"/>
  <c r="P27" i="38"/>
  <c r="P30" i="38"/>
  <c r="Q30" i="38" s="1"/>
  <c r="P34" i="38"/>
  <c r="Q41" i="38"/>
  <c r="R41" i="38" s="1"/>
  <c r="Q45" i="38"/>
  <c r="W18" i="70"/>
  <c r="W26" i="70" s="1"/>
  <c r="D5" i="71" s="1"/>
  <c r="W49" i="70"/>
  <c r="W20" i="70" s="1"/>
  <c r="W27" i="70" s="1"/>
  <c r="D6" i="71" s="1"/>
  <c r="AA47" i="70"/>
  <c r="D16" i="5"/>
  <c r="C11" i="21"/>
  <c r="L16" i="5"/>
  <c r="M4" i="21"/>
  <c r="W18" i="59" s="1"/>
  <c r="W24" i="59" s="1"/>
  <c r="L4" i="21"/>
  <c r="V18" i="59" s="1"/>
  <c r="V24" i="59" s="1"/>
  <c r="K4" i="21"/>
  <c r="U18" i="59" s="1"/>
  <c r="J4" i="21"/>
  <c r="R13" i="21"/>
  <c r="J13" i="21"/>
  <c r="Q13" i="21"/>
  <c r="Q14" i="21" s="1"/>
  <c r="P13" i="21"/>
  <c r="P14" i="21" s="1"/>
  <c r="O13" i="21"/>
  <c r="O14" i="21" s="1"/>
  <c r="V13" i="21"/>
  <c r="V14" i="21" s="1"/>
  <c r="V15" i="21" s="1"/>
  <c r="N13" i="21"/>
  <c r="U13" i="21"/>
  <c r="U14" i="21" s="1"/>
  <c r="U15" i="21" s="1"/>
  <c r="M13" i="21"/>
  <c r="M14" i="21" s="1"/>
  <c r="T13" i="21"/>
  <c r="T14" i="21" s="1"/>
  <c r="T15" i="21" s="1"/>
  <c r="L13" i="21"/>
  <c r="L14" i="21" s="1"/>
  <c r="S13" i="21"/>
  <c r="S14" i="21" s="1"/>
  <c r="K13" i="21"/>
  <c r="K14" i="21" s="1"/>
  <c r="M3" i="21"/>
  <c r="J10" i="21"/>
  <c r="C4" i="21"/>
  <c r="E16" i="5"/>
  <c r="F9" i="21"/>
  <c r="I9" i="21"/>
  <c r="H9" i="21"/>
  <c r="N19" i="21"/>
  <c r="E8" i="5"/>
  <c r="I10" i="21"/>
  <c r="S72" i="26" s="1"/>
  <c r="S17" i="26" s="1"/>
  <c r="H10" i="21"/>
  <c r="R72" i="26" s="1"/>
  <c r="R17" i="26" s="1"/>
  <c r="G10" i="21"/>
  <c r="Q72" i="26" s="1"/>
  <c r="Q17" i="26" s="1"/>
  <c r="F10" i="21"/>
  <c r="M24" i="21"/>
  <c r="L23" i="21"/>
  <c r="V41" i="30" s="1"/>
  <c r="V24" i="30" s="1"/>
  <c r="V15" i="30" s="1"/>
  <c r="L20" i="21"/>
  <c r="V38" i="30" s="1"/>
  <c r="K18" i="21"/>
  <c r="L6" i="21"/>
  <c r="L24" i="21"/>
  <c r="J18" i="21"/>
  <c r="K6" i="21"/>
  <c r="K24" i="21"/>
  <c r="J23" i="21"/>
  <c r="T41" i="30" s="1"/>
  <c r="T24" i="30" s="1"/>
  <c r="J6" i="21"/>
  <c r="J24" i="21" s="1"/>
  <c r="M18" i="21"/>
  <c r="M23" i="21"/>
  <c r="W41" i="30" s="1"/>
  <c r="W24" i="30" s="1"/>
  <c r="M20" i="21"/>
  <c r="W38" i="30" s="1"/>
  <c r="L18" i="21"/>
  <c r="Q10" i="21"/>
  <c r="AA72" i="26" s="1"/>
  <c r="AA17" i="26" s="1"/>
  <c r="AA43" i="26" s="1"/>
  <c r="P10" i="21"/>
  <c r="Z72" i="26" s="1"/>
  <c r="Z17" i="26" s="1"/>
  <c r="Z43" i="26" s="1"/>
  <c r="O10" i="21"/>
  <c r="Y72" i="26" s="1"/>
  <c r="Y17" i="26" s="1"/>
  <c r="Y43" i="26" s="1"/>
  <c r="N10" i="21"/>
  <c r="T6" i="21"/>
  <c r="S6" i="21"/>
  <c r="AC45" i="30" s="1"/>
  <c r="K7" i="35" s="1"/>
  <c r="L9" i="55" s="1"/>
  <c r="R6" i="21"/>
  <c r="U6" i="21"/>
  <c r="G12" i="21"/>
  <c r="F12" i="21"/>
  <c r="I12" i="21"/>
  <c r="M7" i="21"/>
  <c r="L7" i="21"/>
  <c r="K7" i="21"/>
  <c r="J7" i="21"/>
  <c r="E77" i="21" s="1"/>
  <c r="O12" i="21"/>
  <c r="N12" i="21"/>
  <c r="F82" i="21" s="1"/>
  <c r="Q12" i="21"/>
  <c r="P12" i="21"/>
  <c r="U7" i="21"/>
  <c r="T7" i="21"/>
  <c r="S7" i="21"/>
  <c r="R7" i="21"/>
  <c r="G77" i="21" s="1"/>
  <c r="I3" i="21"/>
  <c r="Q3" i="21"/>
  <c r="V16" i="6"/>
  <c r="D11" i="21"/>
  <c r="D9" i="21"/>
  <c r="D4" i="21"/>
  <c r="N18" i="59" s="1"/>
  <c r="N24" i="59" s="1"/>
  <c r="G5" i="50" s="1"/>
  <c r="D12" i="21"/>
  <c r="D7" i="21"/>
  <c r="D10" i="21"/>
  <c r="N72" i="26" s="1"/>
  <c r="D5" i="21"/>
  <c r="N17" i="59" s="1"/>
  <c r="G4" i="50" s="1"/>
  <c r="D8" i="21"/>
  <c r="I13" i="21"/>
  <c r="I14" i="21" s="1"/>
  <c r="H13" i="21"/>
  <c r="H14" i="21" s="1"/>
  <c r="G13" i="21"/>
  <c r="G14" i="21" s="1"/>
  <c r="F13" i="21"/>
  <c r="J3" i="21"/>
  <c r="R3" i="21"/>
  <c r="E1" i="21"/>
  <c r="M19" i="21"/>
  <c r="W37" i="30" s="1"/>
  <c r="W20" i="30" s="1"/>
  <c r="L19" i="21"/>
  <c r="V37" i="30" s="1"/>
  <c r="V20" i="30" s="1"/>
  <c r="K19" i="21"/>
  <c r="U37" i="30" s="1"/>
  <c r="J19" i="21"/>
  <c r="T37" i="30" s="1"/>
  <c r="M9" i="21"/>
  <c r="L9" i="21"/>
  <c r="K9" i="21"/>
  <c r="J9" i="21"/>
  <c r="U9" i="21"/>
  <c r="T9" i="21"/>
  <c r="S9" i="21"/>
  <c r="R9" i="21"/>
  <c r="S3" i="21"/>
  <c r="H12" i="21"/>
  <c r="W12" i="25" l="1"/>
  <c r="D18" i="49"/>
  <c r="D19" i="49" s="1"/>
  <c r="V23" i="70"/>
  <c r="C2" i="71" s="1"/>
  <c r="X48" i="70"/>
  <c r="X18" i="70" s="1"/>
  <c r="X26" i="70" s="1"/>
  <c r="E5" i="71" s="1"/>
  <c r="AB16" i="70"/>
  <c r="AB25" i="70" s="1"/>
  <c r="I4" i="71" s="1"/>
  <c r="AE18" i="70"/>
  <c r="AE26" i="70" s="1"/>
  <c r="AE49" i="70"/>
  <c r="AE20" i="70" s="1"/>
  <c r="AE27" i="70" s="1"/>
  <c r="AE16" i="70"/>
  <c r="AE25" i="70" s="1"/>
  <c r="AF48" i="70"/>
  <c r="AF49" i="70" s="1"/>
  <c r="AF20" i="70" s="1"/>
  <c r="AF27" i="70" s="1"/>
  <c r="V18" i="70"/>
  <c r="V26" i="70" s="1"/>
  <c r="C5" i="71" s="1"/>
  <c r="AE8" i="72"/>
  <c r="AF8" i="72" s="1"/>
  <c r="AA51" i="72" s="1"/>
  <c r="X20" i="25"/>
  <c r="Y20" i="25" s="1"/>
  <c r="Z20" i="25" s="1"/>
  <c r="AA20" i="25" s="1"/>
  <c r="AB20" i="25" s="1"/>
  <c r="AC20" i="25" s="1"/>
  <c r="U19" i="25"/>
  <c r="J14" i="59"/>
  <c r="I68" i="48"/>
  <c r="K133" i="48"/>
  <c r="K149" i="48"/>
  <c r="P149" i="48"/>
  <c r="N158" i="48"/>
  <c r="K158" i="48"/>
  <c r="N149" i="48"/>
  <c r="M158" i="48"/>
  <c r="V27" i="48"/>
  <c r="M133" i="48"/>
  <c r="H149" i="48"/>
  <c r="J65" i="48"/>
  <c r="K65" i="48" s="1"/>
  <c r="P158" i="48"/>
  <c r="H150" i="48"/>
  <c r="O158" i="48"/>
  <c r="O149" i="48"/>
  <c r="H133" i="48"/>
  <c r="G158" i="48"/>
  <c r="V28" i="48"/>
  <c r="D22" i="35" s="1"/>
  <c r="E24" i="55" s="1"/>
  <c r="W28" i="48"/>
  <c r="E22" i="35" s="1"/>
  <c r="F24" i="55" s="1"/>
  <c r="F74" i="55" s="1"/>
  <c r="P163" i="48"/>
  <c r="I116" i="48"/>
  <c r="P150" i="48"/>
  <c r="Q163" i="48"/>
  <c r="H70" i="48"/>
  <c r="I163" i="48"/>
  <c r="T150" i="48"/>
  <c r="V150" i="48" s="1"/>
  <c r="W150" i="48" s="1"/>
  <c r="U28" i="48"/>
  <c r="C22" i="35" s="1"/>
  <c r="U171" i="48"/>
  <c r="V171" i="48" s="1"/>
  <c r="W171" i="48" s="1"/>
  <c r="X171" i="48" s="1"/>
  <c r="Y171" i="48" s="1"/>
  <c r="Z171" i="48" s="1"/>
  <c r="AA171" i="48" s="1"/>
  <c r="AB171" i="48" s="1"/>
  <c r="AC171" i="48" s="1"/>
  <c r="J116" i="48"/>
  <c r="K116" i="48" s="1"/>
  <c r="L116" i="48" s="1"/>
  <c r="H135" i="48"/>
  <c r="X151" i="48"/>
  <c r="W27" i="48"/>
  <c r="W149" i="48"/>
  <c r="V89" i="59"/>
  <c r="V88" i="59" s="1"/>
  <c r="AD49" i="70"/>
  <c r="AD20" i="70" s="1"/>
  <c r="AD27" i="70" s="1"/>
  <c r="AD16" i="70"/>
  <c r="AD25" i="70" s="1"/>
  <c r="Z16" i="70"/>
  <c r="Z25" i="70" s="1"/>
  <c r="G4" i="71" s="1"/>
  <c r="Z48" i="70"/>
  <c r="J33" i="59"/>
  <c r="K33" i="59"/>
  <c r="L33" i="59"/>
  <c r="U24" i="59"/>
  <c r="AD49" i="59" s="1"/>
  <c r="AD43" i="59"/>
  <c r="J82" i="59"/>
  <c r="J83" i="59" s="1"/>
  <c r="S33" i="59"/>
  <c r="V13" i="25"/>
  <c r="T14" i="59"/>
  <c r="T112" i="26"/>
  <c r="T42" i="26"/>
  <c r="AD69" i="26"/>
  <c r="AE19" i="26" s="1"/>
  <c r="O63" i="26"/>
  <c r="V68" i="20"/>
  <c r="R16" i="26"/>
  <c r="R112" i="26" s="1"/>
  <c r="V16" i="26"/>
  <c r="X16" i="26"/>
  <c r="AB68" i="20"/>
  <c r="P16" i="26"/>
  <c r="P112" i="26" s="1"/>
  <c r="J108" i="26"/>
  <c r="J69" i="20" s="1"/>
  <c r="J70" i="20" s="1"/>
  <c r="U16" i="26"/>
  <c r="N111" i="26"/>
  <c r="W16" i="26"/>
  <c r="N16" i="26"/>
  <c r="N112" i="26" s="1"/>
  <c r="I13" i="20"/>
  <c r="S16" i="26"/>
  <c r="S112" i="26" s="1"/>
  <c r="E81" i="26"/>
  <c r="D78" i="26"/>
  <c r="O16" i="26"/>
  <c r="O112" i="26" s="1"/>
  <c r="H13" i="20"/>
  <c r="H40" i="20"/>
  <c r="Y68" i="20"/>
  <c r="G3" i="35"/>
  <c r="H5" i="55" s="1"/>
  <c r="N62" i="26"/>
  <c r="H3" i="35"/>
  <c r="I5" i="55" s="1"/>
  <c r="I55" i="55" s="1"/>
  <c r="C86" i="26"/>
  <c r="O19" i="25"/>
  <c r="O14" i="59" s="1"/>
  <c r="G82" i="59"/>
  <c r="G83" i="59" s="1"/>
  <c r="G84" i="59"/>
  <c r="G25" i="59" s="1"/>
  <c r="Q36" i="30"/>
  <c r="N36" i="30"/>
  <c r="E82" i="59"/>
  <c r="E83" i="59" s="1"/>
  <c r="E84" i="59"/>
  <c r="E25" i="59" s="1"/>
  <c r="T15" i="30"/>
  <c r="T13" i="30"/>
  <c r="T12" i="30" s="1"/>
  <c r="U38" i="21"/>
  <c r="M38" i="21"/>
  <c r="T38" i="21"/>
  <c r="S38" i="21"/>
  <c r="R38" i="21"/>
  <c r="Q38" i="21"/>
  <c r="P38" i="21"/>
  <c r="O38" i="21"/>
  <c r="V38" i="21"/>
  <c r="N38" i="21"/>
  <c r="W70" i="26"/>
  <c r="R42" i="38"/>
  <c r="Q31" i="38"/>
  <c r="N14" i="59"/>
  <c r="N82" i="59" s="1"/>
  <c r="N83" i="59" s="1"/>
  <c r="S36" i="30"/>
  <c r="F82" i="59"/>
  <c r="F83" i="59" s="1"/>
  <c r="F84" i="59"/>
  <c r="F25" i="59" s="1"/>
  <c r="U36" i="30"/>
  <c r="E83" i="21"/>
  <c r="J14" i="21"/>
  <c r="Q25" i="21"/>
  <c r="AA43" i="30" s="1"/>
  <c r="AA41" i="30"/>
  <c r="AA24" i="30" s="1"/>
  <c r="F29" i="49"/>
  <c r="F30" i="59"/>
  <c r="F31" i="59" s="1"/>
  <c r="W39" i="20"/>
  <c r="D5" i="35"/>
  <c r="E7" i="55" s="1"/>
  <c r="N17" i="26"/>
  <c r="V36" i="30"/>
  <c r="M15" i="21"/>
  <c r="W71" i="26"/>
  <c r="K55" i="55"/>
  <c r="K81" i="55"/>
  <c r="W15" i="30"/>
  <c r="X17" i="30"/>
  <c r="W13" i="30"/>
  <c r="W11" i="30" s="1"/>
  <c r="W46" i="30" s="1"/>
  <c r="E6" i="35" s="1"/>
  <c r="F8" i="55" s="1"/>
  <c r="G76" i="21"/>
  <c r="AB45" i="30"/>
  <c r="J7" i="35" s="1"/>
  <c r="K9" i="55" s="1"/>
  <c r="K21" i="21"/>
  <c r="U45" i="30"/>
  <c r="C74" i="21"/>
  <c r="M18" i="59"/>
  <c r="M24" i="59" s="1"/>
  <c r="F5" i="50" s="1"/>
  <c r="E74" i="21"/>
  <c r="T18" i="59"/>
  <c r="T24" i="59" s="1"/>
  <c r="F93" i="55"/>
  <c r="F67" i="55"/>
  <c r="P48" i="38"/>
  <c r="J67" i="38"/>
  <c r="L67" i="55"/>
  <c r="L93" i="55"/>
  <c r="F4" i="21"/>
  <c r="I4" i="21"/>
  <c r="S18" i="59" s="1"/>
  <c r="S24" i="59" s="1"/>
  <c r="L5" i="50" s="1"/>
  <c r="H4" i="21"/>
  <c r="R18" i="59" s="1"/>
  <c r="R24" i="59" s="1"/>
  <c r="K5" i="50" s="1"/>
  <c r="G4" i="21"/>
  <c r="Q18" i="59" s="1"/>
  <c r="Q24" i="59" s="1"/>
  <c r="J5" i="50" s="1"/>
  <c r="S17" i="38"/>
  <c r="L16" i="38"/>
  <c r="N16" i="38" s="1"/>
  <c r="E15" i="21"/>
  <c r="O71" i="26"/>
  <c r="Q33" i="59"/>
  <c r="H14" i="59"/>
  <c r="G15" i="21"/>
  <c r="Q71" i="26"/>
  <c r="Q68" i="26" s="1"/>
  <c r="L59" i="55"/>
  <c r="L85" i="55"/>
  <c r="T36" i="30"/>
  <c r="X37" i="30"/>
  <c r="X20" i="30" s="1"/>
  <c r="E80" i="21"/>
  <c r="T72" i="26"/>
  <c r="T17" i="26" s="1"/>
  <c r="T43" i="26" s="1"/>
  <c r="F83" i="21"/>
  <c r="N14" i="21"/>
  <c r="C16" i="35"/>
  <c r="D18" i="55" s="1"/>
  <c r="N5" i="50"/>
  <c r="V42" i="21"/>
  <c r="U42" i="21"/>
  <c r="T42" i="21"/>
  <c r="S42" i="21"/>
  <c r="R42" i="21"/>
  <c r="Q42" i="21"/>
  <c r="AA70" i="26"/>
  <c r="D77" i="21"/>
  <c r="K16" i="35"/>
  <c r="L18" i="55" s="1"/>
  <c r="F21" i="21"/>
  <c r="D76" i="21"/>
  <c r="P45" i="30"/>
  <c r="I20" i="21"/>
  <c r="S38" i="30" s="1"/>
  <c r="Q40" i="21"/>
  <c r="Q16" i="40"/>
  <c r="Q15" i="40"/>
  <c r="N15" i="40"/>
  <c r="F77" i="21"/>
  <c r="P24" i="21"/>
  <c r="W6" i="21"/>
  <c r="C21" i="21"/>
  <c r="M39" i="30" s="1"/>
  <c r="M45" i="30"/>
  <c r="M15" i="40"/>
  <c r="M17" i="40"/>
  <c r="I33" i="59"/>
  <c r="P15" i="40"/>
  <c r="M163" i="48"/>
  <c r="R33" i="59"/>
  <c r="X68" i="20"/>
  <c r="F3" i="35"/>
  <c r="G5" i="55" s="1"/>
  <c r="W10" i="33"/>
  <c r="V15" i="59"/>
  <c r="D12" i="35"/>
  <c r="E14" i="55" s="1"/>
  <c r="K14" i="59"/>
  <c r="K82" i="59" s="1"/>
  <c r="K83" i="59" s="1"/>
  <c r="I14" i="59"/>
  <c r="N4" i="50"/>
  <c r="C15" i="35"/>
  <c r="D17" i="55" s="1"/>
  <c r="P14" i="59"/>
  <c r="I19" i="21"/>
  <c r="S37" i="30" s="1"/>
  <c r="Y48" i="70"/>
  <c r="Y16" i="70"/>
  <c r="Y25" i="70" s="1"/>
  <c r="F4" i="71" s="1"/>
  <c r="AD67" i="26"/>
  <c r="M16" i="26"/>
  <c r="M20" i="26" s="1"/>
  <c r="M113" i="26" s="1"/>
  <c r="Y152" i="48"/>
  <c r="X28" i="48"/>
  <c r="F22" i="35" s="1"/>
  <c r="G24" i="55" s="1"/>
  <c r="M187" i="65"/>
  <c r="AA27" i="30" s="1"/>
  <c r="Z27" i="30"/>
  <c r="AF18" i="70"/>
  <c r="AF26" i="70" s="1"/>
  <c r="C14" i="21"/>
  <c r="C83" i="21"/>
  <c r="W13" i="21"/>
  <c r="AB18" i="70"/>
  <c r="AB26" i="70" s="1"/>
  <c r="I5" i="71" s="1"/>
  <c r="AB49" i="70"/>
  <c r="AB20" i="70" s="1"/>
  <c r="AB27" i="70" s="1"/>
  <c r="I6" i="71" s="1"/>
  <c r="C18" i="49"/>
  <c r="C19" i="49" s="1"/>
  <c r="D20" i="49" s="1"/>
  <c r="H28" i="49"/>
  <c r="H29" i="49" s="1"/>
  <c r="U20" i="59"/>
  <c r="AD45" i="59" s="1"/>
  <c r="V70" i="59"/>
  <c r="V20" i="74"/>
  <c r="W20" i="74" s="1"/>
  <c r="X20" i="74" s="1"/>
  <c r="Y20" i="74" s="1"/>
  <c r="Z20" i="74" s="1"/>
  <c r="AA20" i="74" s="1"/>
  <c r="AB20" i="74" s="1"/>
  <c r="AC20" i="74" s="1"/>
  <c r="U19" i="74"/>
  <c r="D14" i="59"/>
  <c r="M30" i="59"/>
  <c r="M31" i="59" s="1"/>
  <c r="M33" i="59" s="1"/>
  <c r="M29" i="49"/>
  <c r="R43" i="21"/>
  <c r="G79" i="21"/>
  <c r="V43" i="21"/>
  <c r="U43" i="21"/>
  <c r="T43" i="21"/>
  <c r="S43" i="21"/>
  <c r="AB70" i="26"/>
  <c r="AA16" i="70"/>
  <c r="AA25" i="70" s="1"/>
  <c r="H4" i="71" s="1"/>
  <c r="AA48" i="70"/>
  <c r="E93" i="55"/>
  <c r="E67" i="55"/>
  <c r="H85" i="55"/>
  <c r="H59" i="55"/>
  <c r="H67" i="48"/>
  <c r="H84" i="48"/>
  <c r="H91" i="48" s="1"/>
  <c r="C2" i="50"/>
  <c r="V11" i="74"/>
  <c r="V19" i="74" s="1"/>
  <c r="W12" i="74"/>
  <c r="V14" i="74"/>
  <c r="V13" i="74" s="1"/>
  <c r="Q14" i="59"/>
  <c r="D83" i="21"/>
  <c r="F14" i="21"/>
  <c r="U41" i="21"/>
  <c r="T41" i="21"/>
  <c r="S41" i="21"/>
  <c r="R41" i="21"/>
  <c r="Q41" i="21"/>
  <c r="P41" i="21"/>
  <c r="V41" i="21"/>
  <c r="Z70" i="26"/>
  <c r="R36" i="30"/>
  <c r="O23" i="21"/>
  <c r="E74" i="55"/>
  <c r="E100" i="55"/>
  <c r="W36" i="30"/>
  <c r="Q33" i="21"/>
  <c r="I33" i="21"/>
  <c r="P33" i="21"/>
  <c r="H33" i="21"/>
  <c r="O33" i="21"/>
  <c r="V33" i="21"/>
  <c r="N33" i="21"/>
  <c r="U33" i="21"/>
  <c r="M33" i="21"/>
  <c r="T33" i="21"/>
  <c r="L33" i="21"/>
  <c r="S33" i="21"/>
  <c r="K33" i="21"/>
  <c r="R33" i="21"/>
  <c r="J33" i="21"/>
  <c r="R70" i="26"/>
  <c r="T39" i="21"/>
  <c r="S39" i="21"/>
  <c r="R39" i="21"/>
  <c r="Q39" i="21"/>
  <c r="F79" i="21"/>
  <c r="P39" i="21"/>
  <c r="O39" i="21"/>
  <c r="V39" i="21"/>
  <c r="N39" i="21"/>
  <c r="U39" i="21"/>
  <c r="X70" i="26"/>
  <c r="H21" i="21"/>
  <c r="R45" i="30"/>
  <c r="G80" i="21"/>
  <c r="AB72" i="26"/>
  <c r="AB17" i="26" s="1"/>
  <c r="AB43" i="26" s="1"/>
  <c r="G75" i="21"/>
  <c r="S32" i="38"/>
  <c r="O31" i="38"/>
  <c r="O29" i="49"/>
  <c r="O30" i="59"/>
  <c r="O31" i="59" s="1"/>
  <c r="P33" i="59" s="1"/>
  <c r="V35" i="21"/>
  <c r="N35" i="21"/>
  <c r="U35" i="21"/>
  <c r="M35" i="21"/>
  <c r="T35" i="21"/>
  <c r="L35" i="21"/>
  <c r="S35" i="21"/>
  <c r="K35" i="21"/>
  <c r="R35" i="21"/>
  <c r="J35" i="21"/>
  <c r="E79" i="21"/>
  <c r="Q35" i="21"/>
  <c r="P35" i="21"/>
  <c r="O35" i="21"/>
  <c r="T70" i="26"/>
  <c r="W10" i="21"/>
  <c r="I15" i="21"/>
  <c r="S71" i="26"/>
  <c r="S29" i="21"/>
  <c r="K29" i="21"/>
  <c r="R29" i="21"/>
  <c r="J29" i="21"/>
  <c r="Q29" i="21"/>
  <c r="I29" i="21"/>
  <c r="P29" i="21"/>
  <c r="H29" i="21"/>
  <c r="O29" i="21"/>
  <c r="G29" i="21"/>
  <c r="V29" i="21"/>
  <c r="N29" i="21"/>
  <c r="F29" i="21"/>
  <c r="U29" i="21"/>
  <c r="M29" i="21"/>
  <c r="E29" i="21"/>
  <c r="T29" i="21"/>
  <c r="L29" i="21"/>
  <c r="D29" i="21"/>
  <c r="D28" i="21" s="1"/>
  <c r="N70" i="26"/>
  <c r="F80" i="21"/>
  <c r="X72" i="26"/>
  <c r="X17" i="26" s="1"/>
  <c r="X43" i="26" s="1"/>
  <c r="K23" i="21"/>
  <c r="U41" i="30" s="1"/>
  <c r="U24" i="30" s="1"/>
  <c r="S34" i="21"/>
  <c r="K34" i="21"/>
  <c r="R34" i="21"/>
  <c r="J34" i="21"/>
  <c r="Q34" i="21"/>
  <c r="I34" i="21"/>
  <c r="P34" i="21"/>
  <c r="O34" i="21"/>
  <c r="V34" i="21"/>
  <c r="N34" i="21"/>
  <c r="U34" i="21"/>
  <c r="M34" i="21"/>
  <c r="T34" i="21"/>
  <c r="L34" i="21"/>
  <c r="S70" i="26"/>
  <c r="K15" i="21"/>
  <c r="U71" i="26"/>
  <c r="O15" i="21"/>
  <c r="Y71" i="26"/>
  <c r="Y68" i="26" s="1"/>
  <c r="E16" i="35"/>
  <c r="F18" i="55" s="1"/>
  <c r="U51" i="21"/>
  <c r="U50" i="21"/>
  <c r="E82" i="21"/>
  <c r="F23" i="21"/>
  <c r="P41" i="30" s="1"/>
  <c r="P24" i="30" s="1"/>
  <c r="E6" i="21"/>
  <c r="C76" i="21" s="1"/>
  <c r="S40" i="21"/>
  <c r="I32" i="21"/>
  <c r="M32" i="21"/>
  <c r="D75" i="21"/>
  <c r="P17" i="59"/>
  <c r="I4" i="50" s="1"/>
  <c r="N11" i="38"/>
  <c r="P23" i="21"/>
  <c r="C23" i="21"/>
  <c r="M41" i="30" s="1"/>
  <c r="I67" i="48"/>
  <c r="I84" i="48"/>
  <c r="I91" i="48" s="1"/>
  <c r="J63" i="48"/>
  <c r="H93" i="55"/>
  <c r="H67" i="55"/>
  <c r="N16" i="40"/>
  <c r="R16" i="40"/>
  <c r="R15" i="40"/>
  <c r="L71" i="38"/>
  <c r="U23" i="48"/>
  <c r="C20" i="35" s="1"/>
  <c r="D22" i="55" s="1"/>
  <c r="L135" i="48"/>
  <c r="S150" i="48"/>
  <c r="S163" i="48"/>
  <c r="L150" i="48"/>
  <c r="F51" i="49"/>
  <c r="G51" i="49" s="1"/>
  <c r="H51" i="49" s="1"/>
  <c r="I51" i="49" s="1"/>
  <c r="X12" i="49" s="1"/>
  <c r="T68" i="20"/>
  <c r="M9" i="50"/>
  <c r="L14" i="59"/>
  <c r="L82" i="59" s="1"/>
  <c r="L83" i="59" s="1"/>
  <c r="AC68" i="20"/>
  <c r="K3" i="35"/>
  <c r="L5" i="55" s="1"/>
  <c r="P38" i="20"/>
  <c r="E81" i="55"/>
  <c r="E55" i="55"/>
  <c r="P36" i="30"/>
  <c r="I71" i="38"/>
  <c r="I73" i="38"/>
  <c r="D4" i="35"/>
  <c r="E6" i="55" s="1"/>
  <c r="R14" i="21"/>
  <c r="G83" i="21"/>
  <c r="I21" i="21"/>
  <c r="S45" i="30"/>
  <c r="D15" i="21"/>
  <c r="N71" i="26"/>
  <c r="AD66" i="26"/>
  <c r="M28" i="49"/>
  <c r="V44" i="21"/>
  <c r="U44" i="21"/>
  <c r="T44" i="21"/>
  <c r="S44" i="21"/>
  <c r="AC70" i="26"/>
  <c r="N4" i="21"/>
  <c r="Q4" i="21"/>
  <c r="AA18" i="59" s="1"/>
  <c r="AA24" i="59" s="1"/>
  <c r="P4" i="21"/>
  <c r="Z18" i="59" s="1"/>
  <c r="Z24" i="59" s="1"/>
  <c r="O4" i="21"/>
  <c r="Y18" i="59" s="1"/>
  <c r="Y24" i="59" s="1"/>
  <c r="G74" i="21"/>
  <c r="AB18" i="59"/>
  <c r="AB24" i="59" s="1"/>
  <c r="H15" i="21"/>
  <c r="R71" i="26"/>
  <c r="K20" i="21"/>
  <c r="U38" i="30" s="1"/>
  <c r="I23" i="21"/>
  <c r="S41" i="30" s="1"/>
  <c r="S24" i="30" s="1"/>
  <c r="H86" i="48"/>
  <c r="H93" i="48" s="1"/>
  <c r="H69" i="48"/>
  <c r="H85" i="48"/>
  <c r="H92" i="48" s="1"/>
  <c r="H68" i="48"/>
  <c r="S15" i="21"/>
  <c r="AC71" i="26"/>
  <c r="T51" i="21"/>
  <c r="T50" i="21"/>
  <c r="V17" i="6"/>
  <c r="D21" i="21"/>
  <c r="N45" i="30"/>
  <c r="M22" i="21"/>
  <c r="W40" i="30" s="1"/>
  <c r="W39" i="30"/>
  <c r="G82" i="21"/>
  <c r="F76" i="21"/>
  <c r="X45" i="30"/>
  <c r="F7" i="35" s="1"/>
  <c r="G9" i="55" s="1"/>
  <c r="D24" i="21"/>
  <c r="N42" i="30" s="1"/>
  <c r="I67" i="55"/>
  <c r="I93" i="55"/>
  <c r="J70" i="38"/>
  <c r="M25" i="38"/>
  <c r="O25" i="38" s="1"/>
  <c r="S26" i="38"/>
  <c r="M26" i="38" s="1"/>
  <c r="O26" i="38" s="1"/>
  <c r="R68" i="20"/>
  <c r="K9" i="50"/>
  <c r="G29" i="49"/>
  <c r="G30" i="59"/>
  <c r="G31" i="59" s="1"/>
  <c r="T43" i="38"/>
  <c r="P42" i="38"/>
  <c r="N29" i="49"/>
  <c r="N30" i="59"/>
  <c r="N31" i="59" s="1"/>
  <c r="F20" i="49"/>
  <c r="V26" i="49" s="1"/>
  <c r="AA68" i="20"/>
  <c r="I3" i="35"/>
  <c r="J5" i="55" s="1"/>
  <c r="I69" i="48"/>
  <c r="W68" i="20"/>
  <c r="E3" i="35"/>
  <c r="F5" i="55" s="1"/>
  <c r="AD65" i="26"/>
  <c r="M14" i="59"/>
  <c r="P63" i="26"/>
  <c r="O15" i="26"/>
  <c r="O111" i="26"/>
  <c r="O62" i="26"/>
  <c r="K69" i="20"/>
  <c r="K70" i="20" s="1"/>
  <c r="D2" i="50"/>
  <c r="M62" i="26"/>
  <c r="D80" i="21"/>
  <c r="P72" i="26"/>
  <c r="P17" i="26" s="1"/>
  <c r="D16" i="35"/>
  <c r="E18" i="55" s="1"/>
  <c r="I59" i="55"/>
  <c r="I85" i="55"/>
  <c r="M17" i="59"/>
  <c r="F4" i="50" s="1"/>
  <c r="F75" i="21"/>
  <c r="X17" i="59"/>
  <c r="F15" i="35" s="1"/>
  <c r="G17" i="55" s="1"/>
  <c r="X49" i="70"/>
  <c r="X20" i="70" s="1"/>
  <c r="X27" i="70" s="1"/>
  <c r="E6" i="71" s="1"/>
  <c r="R36" i="21"/>
  <c r="Q36" i="21"/>
  <c r="P36" i="21"/>
  <c r="O36" i="21"/>
  <c r="V36" i="21"/>
  <c r="N36" i="21"/>
  <c r="U36" i="21"/>
  <c r="M36" i="21"/>
  <c r="T36" i="21"/>
  <c r="L36" i="21"/>
  <c r="S36" i="21"/>
  <c r="K36" i="21"/>
  <c r="U70" i="26"/>
  <c r="C80" i="21"/>
  <c r="E76" i="21"/>
  <c r="J21" i="21"/>
  <c r="T45" i="30"/>
  <c r="P31" i="21"/>
  <c r="H31" i="21"/>
  <c r="O31" i="21"/>
  <c r="G31" i="21"/>
  <c r="V31" i="21"/>
  <c r="N31" i="21"/>
  <c r="F31" i="21"/>
  <c r="U31" i="21"/>
  <c r="M31" i="21"/>
  <c r="T31" i="21"/>
  <c r="L31" i="21"/>
  <c r="S31" i="21"/>
  <c r="K31" i="21"/>
  <c r="D79" i="21"/>
  <c r="R31" i="21"/>
  <c r="J31" i="21"/>
  <c r="Q31" i="21"/>
  <c r="I31" i="21"/>
  <c r="P70" i="26"/>
  <c r="P15" i="21"/>
  <c r="Z71" i="26"/>
  <c r="H20" i="21"/>
  <c r="R38" i="30" s="1"/>
  <c r="T40" i="21"/>
  <c r="O37" i="21"/>
  <c r="V37" i="21"/>
  <c r="N37" i="21"/>
  <c r="U37" i="21"/>
  <c r="M37" i="21"/>
  <c r="T37" i="21"/>
  <c r="L37" i="21"/>
  <c r="S37" i="21"/>
  <c r="R37" i="21"/>
  <c r="Q37" i="21"/>
  <c r="P37" i="21"/>
  <c r="V70" i="26"/>
  <c r="E9" i="21"/>
  <c r="E4" i="21"/>
  <c r="O18" i="59" s="1"/>
  <c r="O24" i="59" s="1"/>
  <c r="H5" i="50" s="1"/>
  <c r="E12" i="21"/>
  <c r="C82" i="21" s="1"/>
  <c r="E7" i="21"/>
  <c r="E10" i="21"/>
  <c r="O72" i="26" s="1"/>
  <c r="O17" i="26" s="1"/>
  <c r="E5" i="21"/>
  <c r="O17" i="59" s="1"/>
  <c r="H4" i="50" s="1"/>
  <c r="E11" i="21"/>
  <c r="E3" i="21"/>
  <c r="W3" i="21" s="1"/>
  <c r="O48" i="21"/>
  <c r="G48" i="21"/>
  <c r="G47" i="21" s="1"/>
  <c r="V48" i="21"/>
  <c r="N48" i="21"/>
  <c r="F48" i="21"/>
  <c r="F47" i="21" s="1"/>
  <c r="P118" i="26" s="1"/>
  <c r="U48" i="21"/>
  <c r="M48" i="21"/>
  <c r="E48" i="21"/>
  <c r="E47" i="21" s="1"/>
  <c r="O118" i="26" s="1"/>
  <c r="T48" i="21"/>
  <c r="L48" i="21"/>
  <c r="D48" i="21"/>
  <c r="D47" i="21" s="1"/>
  <c r="N118" i="26" s="1"/>
  <c r="S48" i="21"/>
  <c r="K48" i="21"/>
  <c r="R48" i="21"/>
  <c r="J48" i="21"/>
  <c r="H8" i="21"/>
  <c r="Q48" i="21"/>
  <c r="I48" i="21"/>
  <c r="P48" i="21"/>
  <c r="H48" i="21"/>
  <c r="D82" i="21"/>
  <c r="J20" i="21"/>
  <c r="T38" i="30" s="1"/>
  <c r="L21" i="21"/>
  <c r="V45" i="30"/>
  <c r="D7" i="35" s="1"/>
  <c r="E9" i="55" s="1"/>
  <c r="L15" i="21"/>
  <c r="V71" i="26"/>
  <c r="Q15" i="21"/>
  <c r="AA71" i="26"/>
  <c r="C81" i="21"/>
  <c r="W11" i="21"/>
  <c r="G21" i="21"/>
  <c r="Q45" i="30"/>
  <c r="H23" i="21"/>
  <c r="R41" i="30" s="1"/>
  <c r="R24" i="30" s="1"/>
  <c r="G19" i="21"/>
  <c r="Q37" i="30" s="1"/>
  <c r="U40" i="21"/>
  <c r="E75" i="21"/>
  <c r="J32" i="21"/>
  <c r="N32" i="21"/>
  <c r="N23" i="21"/>
  <c r="X41" i="30" s="1"/>
  <c r="X24" i="30" s="1"/>
  <c r="J59" i="55"/>
  <c r="J85" i="55"/>
  <c r="C19" i="21"/>
  <c r="M37" i="30" s="1"/>
  <c r="C18" i="21"/>
  <c r="AC18" i="70"/>
  <c r="AC26" i="70" s="1"/>
  <c r="J5" i="71" s="1"/>
  <c r="AC49" i="70"/>
  <c r="AC20" i="70" s="1"/>
  <c r="AC27" i="70" s="1"/>
  <c r="J6" i="71" s="1"/>
  <c r="J67" i="55"/>
  <c r="J93" i="55"/>
  <c r="K69" i="38"/>
  <c r="K66" i="38"/>
  <c r="J16" i="40"/>
  <c r="V14" i="40"/>
  <c r="J15" i="40"/>
  <c r="I87" i="48"/>
  <c r="I94" i="48" s="1"/>
  <c r="I70" i="48"/>
  <c r="J66" i="48"/>
  <c r="E20" i="49"/>
  <c r="K163" i="48"/>
  <c r="K150" i="48"/>
  <c r="Q13" i="30"/>
  <c r="Q12" i="30" s="1"/>
  <c r="R163" i="48"/>
  <c r="R150" i="48"/>
  <c r="P28" i="49"/>
  <c r="P29" i="49" s="1"/>
  <c r="C78" i="26"/>
  <c r="E80" i="26"/>
  <c r="S68" i="20"/>
  <c r="L9" i="50"/>
  <c r="J68" i="48"/>
  <c r="K64" i="48"/>
  <c r="J85" i="48"/>
  <c r="J92" i="48" s="1"/>
  <c r="L108" i="26"/>
  <c r="U68" i="20"/>
  <c r="N9" i="50"/>
  <c r="C3" i="35"/>
  <c r="D5" i="55" s="1"/>
  <c r="C9" i="35"/>
  <c r="C8" i="35"/>
  <c r="D10" i="55" s="1"/>
  <c r="R14" i="59"/>
  <c r="E30" i="59"/>
  <c r="E31" i="59" s="1"/>
  <c r="E33" i="59" s="1"/>
  <c r="E29" i="49"/>
  <c r="C10" i="35"/>
  <c r="D12" i="55" s="1"/>
  <c r="U30" i="59"/>
  <c r="AD55" i="59" s="1"/>
  <c r="U29" i="49"/>
  <c r="C11" i="35"/>
  <c r="V11" i="25" l="1"/>
  <c r="V19" i="25" s="1"/>
  <c r="D8" i="35" s="1"/>
  <c r="E10" i="55" s="1"/>
  <c r="X12" i="25"/>
  <c r="W14" i="25"/>
  <c r="W13" i="25" s="1"/>
  <c r="W11" i="25" s="1"/>
  <c r="W19" i="25" s="1"/>
  <c r="E8" i="35" s="1"/>
  <c r="F10" i="55" s="1"/>
  <c r="F100" i="55"/>
  <c r="J86" i="48"/>
  <c r="J93" i="48" s="1"/>
  <c r="J69" i="48"/>
  <c r="U17" i="48" s="1"/>
  <c r="V17" i="48" s="1"/>
  <c r="V26" i="48"/>
  <c r="N8" i="50"/>
  <c r="D24" i="55"/>
  <c r="Y151" i="48"/>
  <c r="X27" i="48"/>
  <c r="X150" i="48"/>
  <c r="W26" i="48"/>
  <c r="X149" i="48"/>
  <c r="W25" i="48"/>
  <c r="W87" i="59"/>
  <c r="W89" i="59" s="1"/>
  <c r="W88" i="59"/>
  <c r="X87" i="59" s="1"/>
  <c r="X89" i="59" s="1"/>
  <c r="X88" i="59" s="1"/>
  <c r="Y87" i="59" s="1"/>
  <c r="Y89" i="59" s="1"/>
  <c r="Z49" i="70"/>
  <c r="Z20" i="70" s="1"/>
  <c r="Z27" i="70" s="1"/>
  <c r="G6" i="71" s="1"/>
  <c r="Z18" i="70"/>
  <c r="Z26" i="70" s="1"/>
  <c r="G5" i="71" s="1"/>
  <c r="T82" i="59"/>
  <c r="T83" i="59" s="1"/>
  <c r="R82" i="59"/>
  <c r="R83" i="59" s="1"/>
  <c r="M82" i="59"/>
  <c r="M83" i="59" s="1"/>
  <c r="N33" i="59"/>
  <c r="F33" i="59"/>
  <c r="X112" i="26"/>
  <c r="X42" i="26"/>
  <c r="V112" i="26"/>
  <c r="V42" i="26"/>
  <c r="W112" i="26"/>
  <c r="W42" i="26"/>
  <c r="U112" i="26"/>
  <c r="U42" i="26"/>
  <c r="E78" i="26"/>
  <c r="AD72" i="26"/>
  <c r="AE16" i="26" s="1"/>
  <c r="R68" i="26"/>
  <c r="H81" i="55"/>
  <c r="H55" i="55"/>
  <c r="I81" i="55"/>
  <c r="U68" i="26"/>
  <c r="G92" i="59"/>
  <c r="G23" i="59" s="1"/>
  <c r="G27" i="59" s="1"/>
  <c r="F92" i="59"/>
  <c r="F23" i="59" s="1"/>
  <c r="F27" i="59" s="1"/>
  <c r="F58" i="55"/>
  <c r="F84" i="55"/>
  <c r="Y88" i="59"/>
  <c r="F81" i="55"/>
  <c r="F55" i="55"/>
  <c r="G16" i="35"/>
  <c r="H18" i="55" s="1"/>
  <c r="I22" i="21"/>
  <c r="S40" i="30" s="1"/>
  <c r="S39" i="30"/>
  <c r="L55" i="55"/>
  <c r="L81" i="55"/>
  <c r="U13" i="30"/>
  <c r="U12" i="30" s="1"/>
  <c r="U15" i="30"/>
  <c r="O32" i="38"/>
  <c r="Q32" i="38" s="1"/>
  <c r="S33" i="38"/>
  <c r="X39" i="26"/>
  <c r="O25" i="21"/>
  <c r="Y43" i="30" s="1"/>
  <c r="Y41" i="30"/>
  <c r="Y24" i="30" s="1"/>
  <c r="V20" i="59"/>
  <c r="W70" i="59"/>
  <c r="C15" i="21"/>
  <c r="C84" i="21"/>
  <c r="W14" i="21"/>
  <c r="X10" i="33"/>
  <c r="W15" i="59"/>
  <c r="E12" i="35"/>
  <c r="F14" i="55" s="1"/>
  <c r="G19" i="33"/>
  <c r="F117" i="59"/>
  <c r="F114" i="59"/>
  <c r="F115" i="59" s="1"/>
  <c r="N25" i="21"/>
  <c r="X43" i="30" s="1"/>
  <c r="K25" i="21"/>
  <c r="W39" i="26"/>
  <c r="W68" i="26"/>
  <c r="D9" i="35"/>
  <c r="E11" i="55" s="1"/>
  <c r="J6" i="50"/>
  <c r="Q46" i="30"/>
  <c r="Q118" i="26"/>
  <c r="E94" i="55"/>
  <c r="E68" i="55"/>
  <c r="K40" i="20"/>
  <c r="K13" i="20"/>
  <c r="G85" i="55"/>
  <c r="G59" i="55"/>
  <c r="H16" i="35"/>
  <c r="I18" i="55" s="1"/>
  <c r="S68" i="26"/>
  <c r="J40" i="20"/>
  <c r="J13" i="20"/>
  <c r="AA49" i="70"/>
  <c r="AA20" i="70" s="1"/>
  <c r="AA27" i="70" s="1"/>
  <c r="H6" i="71" s="1"/>
  <c r="AA18" i="70"/>
  <c r="AA26" i="70" s="1"/>
  <c r="H5" i="71" s="1"/>
  <c r="I82" i="59"/>
  <c r="I83" i="59" s="1"/>
  <c r="I84" i="59"/>
  <c r="J69" i="38"/>
  <c r="J66" i="38"/>
  <c r="W4" i="21"/>
  <c r="X15" i="30"/>
  <c r="Y17" i="30"/>
  <c r="X13" i="30"/>
  <c r="X11" i="30" s="1"/>
  <c r="X46" i="30" s="1"/>
  <c r="F6" i="35" s="1"/>
  <c r="G8" i="55" s="1"/>
  <c r="E92" i="59"/>
  <c r="E23" i="59" s="1"/>
  <c r="E27" i="59" s="1"/>
  <c r="R15" i="30"/>
  <c r="R13" i="30"/>
  <c r="R12" i="30" s="1"/>
  <c r="V47" i="21"/>
  <c r="G22" i="21"/>
  <c r="Q40" i="30" s="1"/>
  <c r="Q39" i="30"/>
  <c r="Q30" i="21"/>
  <c r="I30" i="21"/>
  <c r="P30" i="21"/>
  <c r="P28" i="21" s="1"/>
  <c r="Z116" i="26" s="1"/>
  <c r="H30" i="21"/>
  <c r="H28" i="21" s="1"/>
  <c r="O30" i="21"/>
  <c r="G30" i="21"/>
  <c r="G28" i="21" s="1"/>
  <c r="V30" i="21"/>
  <c r="N30" i="21"/>
  <c r="N28" i="21" s="1"/>
  <c r="X116" i="26" s="1"/>
  <c r="F30" i="21"/>
  <c r="U30" i="21"/>
  <c r="U28" i="21" s="1"/>
  <c r="M30" i="21"/>
  <c r="M28" i="21" s="1"/>
  <c r="W116" i="26" s="1"/>
  <c r="E30" i="21"/>
  <c r="E28" i="21" s="1"/>
  <c r="T30" i="21"/>
  <c r="L30" i="21"/>
  <c r="S30" i="21"/>
  <c r="K30" i="21"/>
  <c r="K28" i="21" s="1"/>
  <c r="R30" i="21"/>
  <c r="R28" i="21" s="1"/>
  <c r="AB116" i="26" s="1"/>
  <c r="J30" i="21"/>
  <c r="O70" i="26"/>
  <c r="O68" i="26" s="1"/>
  <c r="C79" i="21"/>
  <c r="O20" i="26"/>
  <c r="O113" i="26" s="1"/>
  <c r="O108" i="26" s="1"/>
  <c r="I16" i="35"/>
  <c r="J18" i="55" s="1"/>
  <c r="G84" i="21"/>
  <c r="G87" i="21" s="1"/>
  <c r="R15" i="21"/>
  <c r="G85" i="21" s="1"/>
  <c r="AB71" i="26"/>
  <c r="AB68" i="26" s="1"/>
  <c r="AA39" i="26"/>
  <c r="AA68" i="26"/>
  <c r="U52" i="21"/>
  <c r="M52" i="21"/>
  <c r="T52" i="21"/>
  <c r="L52" i="21"/>
  <c r="L47" i="21" s="1"/>
  <c r="V118" i="26" s="1"/>
  <c r="S52" i="21"/>
  <c r="K52" i="21"/>
  <c r="D78" i="21"/>
  <c r="R52" i="21"/>
  <c r="J52" i="21"/>
  <c r="Q52" i="21"/>
  <c r="Q47" i="21" s="1"/>
  <c r="AA118" i="26" s="1"/>
  <c r="I52" i="21"/>
  <c r="I47" i="21" s="1"/>
  <c r="S118" i="26" s="1"/>
  <c r="P52" i="21"/>
  <c r="H52" i="21"/>
  <c r="H47" i="21" s="1"/>
  <c r="O52" i="21"/>
  <c r="V52" i="21"/>
  <c r="N52" i="21"/>
  <c r="N47" i="21" s="1"/>
  <c r="X118" i="26" s="1"/>
  <c r="P111" i="26"/>
  <c r="P62" i="26"/>
  <c r="P15" i="26"/>
  <c r="P20" i="26" s="1"/>
  <c r="P113" i="26" s="1"/>
  <c r="Q63" i="26"/>
  <c r="N68" i="26"/>
  <c r="N6" i="50"/>
  <c r="C7" i="35"/>
  <c r="D9" i="55" s="1"/>
  <c r="U46" i="30"/>
  <c r="C6" i="35" s="1"/>
  <c r="D8" i="55" s="1"/>
  <c r="AD17" i="26"/>
  <c r="J47" i="21"/>
  <c r="T118" i="26" s="1"/>
  <c r="M47" i="21"/>
  <c r="W118" i="26" s="1"/>
  <c r="Y12" i="49"/>
  <c r="Z12" i="49" s="1"/>
  <c r="AA12" i="49" s="1"/>
  <c r="AB12" i="49" s="1"/>
  <c r="AC12" i="49" s="1"/>
  <c r="AC39" i="26"/>
  <c r="AC68" i="26"/>
  <c r="E82" i="55"/>
  <c r="E56" i="55"/>
  <c r="D98" i="55"/>
  <c r="D72" i="55"/>
  <c r="W9" i="21"/>
  <c r="J28" i="21"/>
  <c r="O33" i="59"/>
  <c r="M46" i="38"/>
  <c r="M47" i="38" s="1"/>
  <c r="M25" i="21"/>
  <c r="F87" i="21"/>
  <c r="K22" i="21"/>
  <c r="U40" i="30" s="1"/>
  <c r="U39" i="30"/>
  <c r="W12" i="21"/>
  <c r="O47" i="21"/>
  <c r="Y118" i="26" s="1"/>
  <c r="G93" i="55"/>
  <c r="G67" i="55"/>
  <c r="F74" i="21"/>
  <c r="X18" i="59"/>
  <c r="X24" i="59" s="1"/>
  <c r="Z68" i="26"/>
  <c r="Z39" i="26"/>
  <c r="AB39" i="26"/>
  <c r="I6" i="50"/>
  <c r="P46" i="30"/>
  <c r="R47" i="21"/>
  <c r="AB118" i="26" s="1"/>
  <c r="U47" i="21"/>
  <c r="C75" i="21"/>
  <c r="J55" i="55"/>
  <c r="J81" i="55"/>
  <c r="P43" i="38"/>
  <c r="R43" i="38" s="1"/>
  <c r="T44" i="38"/>
  <c r="V28" i="21"/>
  <c r="K6" i="50"/>
  <c r="R46" i="30"/>
  <c r="Q82" i="59"/>
  <c r="Q83" i="59" s="1"/>
  <c r="D84" i="59"/>
  <c r="D25" i="59" s="1"/>
  <c r="D82" i="59"/>
  <c r="D83" i="59" s="1"/>
  <c r="G100" i="55"/>
  <c r="G74" i="55"/>
  <c r="O82" i="59"/>
  <c r="O83" i="59" s="1"/>
  <c r="F22" i="21"/>
  <c r="P39" i="30"/>
  <c r="H82" i="59"/>
  <c r="H83" i="59" s="1"/>
  <c r="H84" i="59"/>
  <c r="E57" i="55"/>
  <c r="E83" i="55"/>
  <c r="E84" i="21"/>
  <c r="E87" i="21" s="1"/>
  <c r="J15" i="21"/>
  <c r="E85" i="21" s="1"/>
  <c r="T71" i="26"/>
  <c r="T68" i="26" s="1"/>
  <c r="I25" i="21"/>
  <c r="D11" i="55"/>
  <c r="L33" i="73"/>
  <c r="K71" i="38"/>
  <c r="K73" i="38"/>
  <c r="D62" i="55"/>
  <c r="D88" i="55"/>
  <c r="J87" i="48"/>
  <c r="J94" i="48" s="1"/>
  <c r="J70" i="48"/>
  <c r="U20" i="48" s="1"/>
  <c r="K66" i="48"/>
  <c r="E85" i="55"/>
  <c r="E59" i="55"/>
  <c r="T47" i="21"/>
  <c r="S13" i="30"/>
  <c r="S12" i="30" s="1"/>
  <c r="S15" i="30"/>
  <c r="G81" i="55"/>
  <c r="G55" i="55"/>
  <c r="D94" i="55"/>
  <c r="D68" i="55"/>
  <c r="S18" i="38"/>
  <c r="L17" i="38"/>
  <c r="L22" i="21"/>
  <c r="V40" i="30" s="1"/>
  <c r="V39" i="30"/>
  <c r="V39" i="26"/>
  <c r="V68" i="26"/>
  <c r="J84" i="48"/>
  <c r="J91" i="48" s="1"/>
  <c r="J67" i="48"/>
  <c r="K63" i="48"/>
  <c r="F28" i="21"/>
  <c r="N15" i="21"/>
  <c r="F85" i="21" s="1"/>
  <c r="F84" i="21"/>
  <c r="X71" i="26"/>
  <c r="X68" i="26" s="1"/>
  <c r="N20" i="26"/>
  <c r="N113" i="26" s="1"/>
  <c r="N108" i="26" s="1"/>
  <c r="D86" i="55"/>
  <c r="D60" i="55"/>
  <c r="K47" i="21"/>
  <c r="U118" i="26" s="1"/>
  <c r="M6" i="50"/>
  <c r="T46" i="30"/>
  <c r="W5" i="21"/>
  <c r="G33" i="59"/>
  <c r="G6" i="50"/>
  <c r="N46" i="30"/>
  <c r="J16" i="35"/>
  <c r="K18" i="55" s="1"/>
  <c r="L6" i="50"/>
  <c r="S46" i="30"/>
  <c r="E4" i="35"/>
  <c r="F6" i="55" s="1"/>
  <c r="E21" i="21"/>
  <c r="O45" i="30"/>
  <c r="E18" i="21"/>
  <c r="E23" i="21"/>
  <c r="O41" i="30" s="1"/>
  <c r="E20" i="21"/>
  <c r="O38" i="30" s="1"/>
  <c r="E24" i="21"/>
  <c r="O42" i="30" s="1"/>
  <c r="E19" i="21"/>
  <c r="O37" i="30" s="1"/>
  <c r="L28" i="21"/>
  <c r="V116" i="26" s="1"/>
  <c r="H22" i="21"/>
  <c r="R40" i="30" s="1"/>
  <c r="R39" i="30"/>
  <c r="Z152" i="48"/>
  <c r="Y28" i="48"/>
  <c r="G22" i="35" s="1"/>
  <c r="H24" i="55" s="1"/>
  <c r="E90" i="55"/>
  <c r="E64" i="55"/>
  <c r="D74" i="21"/>
  <c r="P18" i="59"/>
  <c r="P24" i="59" s="1"/>
  <c r="I5" i="50" s="1"/>
  <c r="M5" i="50"/>
  <c r="K59" i="55"/>
  <c r="K85" i="55"/>
  <c r="S82" i="59"/>
  <c r="S83" i="59" s="1"/>
  <c r="L69" i="20"/>
  <c r="L70" i="20" s="1"/>
  <c r="E2" i="50"/>
  <c r="P47" i="21"/>
  <c r="Z118" i="26" s="1"/>
  <c r="D55" i="55"/>
  <c r="D81" i="55"/>
  <c r="K68" i="48"/>
  <c r="L64" i="48"/>
  <c r="K85" i="48"/>
  <c r="K92" i="48" s="1"/>
  <c r="I28" i="21"/>
  <c r="H25" i="21"/>
  <c r="V46" i="30"/>
  <c r="D6" i="35" s="1"/>
  <c r="E8" i="55" s="1"/>
  <c r="F94" i="55"/>
  <c r="F68" i="55"/>
  <c r="Q28" i="21"/>
  <c r="AA116" i="26" s="1"/>
  <c r="F15" i="21"/>
  <c r="D85" i="21" s="1"/>
  <c r="D84" i="21"/>
  <c r="D87" i="21" s="1"/>
  <c r="P71" i="26"/>
  <c r="P68" i="26" s="1"/>
  <c r="Y49" i="70"/>
  <c r="Y20" i="70" s="1"/>
  <c r="Y27" i="70" s="1"/>
  <c r="F6" i="71" s="1"/>
  <c r="Y18" i="70"/>
  <c r="Y26" i="70" s="1"/>
  <c r="F5" i="71" s="1"/>
  <c r="W8" i="21"/>
  <c r="V30" i="59"/>
  <c r="W26" i="49"/>
  <c r="V28" i="49"/>
  <c r="V29" i="49" s="1"/>
  <c r="D11" i="35"/>
  <c r="E13" i="55" s="1"/>
  <c r="U136" i="48"/>
  <c r="V136" i="48" s="1"/>
  <c r="W136" i="48" s="1"/>
  <c r="X136" i="48" s="1"/>
  <c r="Y136" i="48" s="1"/>
  <c r="Z136" i="48" s="1"/>
  <c r="AA136" i="48" s="1"/>
  <c r="AB136" i="48" s="1"/>
  <c r="AC136" i="48" s="1"/>
  <c r="C25" i="21"/>
  <c r="M43" i="30" s="1"/>
  <c r="M36" i="30"/>
  <c r="D13" i="55"/>
  <c r="L32" i="73"/>
  <c r="U14" i="59"/>
  <c r="L65" i="48"/>
  <c r="K69" i="48"/>
  <c r="K86" i="48"/>
  <c r="K93" i="48" s="1"/>
  <c r="V23" i="48"/>
  <c r="D20" i="35" s="1"/>
  <c r="E22" i="55" s="1"/>
  <c r="S47" i="21"/>
  <c r="AC118" i="26" s="1"/>
  <c r="C77" i="21"/>
  <c r="W7" i="21"/>
  <c r="J22" i="21"/>
  <c r="T39" i="30"/>
  <c r="D22" i="21"/>
  <c r="N39" i="30"/>
  <c r="P25" i="21"/>
  <c r="Z43" i="30" s="1"/>
  <c r="Z41" i="30"/>
  <c r="Z24" i="30" s="1"/>
  <c r="P13" i="30"/>
  <c r="P12" i="30" s="1"/>
  <c r="P15" i="30"/>
  <c r="T28" i="21"/>
  <c r="O28" i="21"/>
  <c r="Y116" i="26" s="1"/>
  <c r="S28" i="21"/>
  <c r="AC116" i="26" s="1"/>
  <c r="W14" i="74"/>
  <c r="W13" i="74" s="1"/>
  <c r="X12" i="74"/>
  <c r="W11" i="74"/>
  <c r="W19" i="74" s="1"/>
  <c r="M112" i="26"/>
  <c r="M108" i="26" s="1"/>
  <c r="AD16" i="26"/>
  <c r="D67" i="55"/>
  <c r="D93" i="55"/>
  <c r="F6" i="50"/>
  <c r="M46" i="30"/>
  <c r="L94" i="55"/>
  <c r="L68" i="55"/>
  <c r="X39" i="20"/>
  <c r="E5" i="35"/>
  <c r="F7" i="55" s="1"/>
  <c r="H33" i="59"/>
  <c r="G25" i="21"/>
  <c r="E86" i="55" l="1"/>
  <c r="E60" i="55"/>
  <c r="X14" i="25"/>
  <c r="X13" i="25" s="1"/>
  <c r="X11" i="25" s="1"/>
  <c r="X19" i="25" s="1"/>
  <c r="F8" i="35" s="1"/>
  <c r="G10" i="55" s="1"/>
  <c r="Y12" i="25"/>
  <c r="V20" i="48"/>
  <c r="W20" i="48" s="1"/>
  <c r="U19" i="48"/>
  <c r="C21" i="35" s="1"/>
  <c r="D74" i="55"/>
  <c r="D100" i="55"/>
  <c r="Y27" i="48"/>
  <c r="Z151" i="48"/>
  <c r="X26" i="48"/>
  <c r="Y150" i="48"/>
  <c r="W23" i="48"/>
  <c r="E20" i="35" s="1"/>
  <c r="F22" i="55" s="1"/>
  <c r="Y149" i="48"/>
  <c r="X25" i="48"/>
  <c r="AD99" i="59"/>
  <c r="AD98" i="59"/>
  <c r="U82" i="59"/>
  <c r="U83" i="59" s="1"/>
  <c r="AD39" i="59"/>
  <c r="U31" i="59"/>
  <c r="AD56" i="59" s="1"/>
  <c r="P82" i="59"/>
  <c r="P83" i="59" s="1"/>
  <c r="P108" i="26"/>
  <c r="I2" i="50" s="1"/>
  <c r="H92" i="59"/>
  <c r="H23" i="59" s="1"/>
  <c r="V14" i="59"/>
  <c r="R118" i="26"/>
  <c r="W47" i="21"/>
  <c r="Z87" i="59"/>
  <c r="Z89" i="59" s="1"/>
  <c r="Z88" i="59" s="1"/>
  <c r="F86" i="55"/>
  <c r="F60" i="55"/>
  <c r="E98" i="55"/>
  <c r="E72" i="55"/>
  <c r="N40" i="30"/>
  <c r="D25" i="21"/>
  <c r="D63" i="55"/>
  <c r="D89" i="55"/>
  <c r="D59" i="55"/>
  <c r="D85" i="55"/>
  <c r="Q62" i="26"/>
  <c r="Q15" i="26"/>
  <c r="Q20" i="26" s="1"/>
  <c r="Q113" i="26" s="1"/>
  <c r="R63" i="26"/>
  <c r="Q111" i="26"/>
  <c r="I25" i="59"/>
  <c r="J84" i="59"/>
  <c r="O69" i="20"/>
  <c r="O70" i="20" s="1"/>
  <c r="H2" i="50"/>
  <c r="F90" i="55"/>
  <c r="F64" i="55"/>
  <c r="F57" i="55"/>
  <c r="F83" i="55"/>
  <c r="R43" i="30"/>
  <c r="H26" i="21"/>
  <c r="H100" i="55"/>
  <c r="H74" i="55"/>
  <c r="I92" i="59"/>
  <c r="I23" i="59" s="1"/>
  <c r="Y39" i="20"/>
  <c r="F5" i="35"/>
  <c r="G7" i="55" s="1"/>
  <c r="AA152" i="48"/>
  <c r="Z28" i="48"/>
  <c r="H22" i="35" s="1"/>
  <c r="I24" i="55" s="1"/>
  <c r="N17" i="38"/>
  <c r="J68" i="55"/>
  <c r="J94" i="55"/>
  <c r="I68" i="55"/>
  <c r="I94" i="55"/>
  <c r="E61" i="55"/>
  <c r="E87" i="55"/>
  <c r="T40" i="30"/>
  <c r="J25" i="21"/>
  <c r="W17" i="48"/>
  <c r="V16" i="48"/>
  <c r="O24" i="30"/>
  <c r="N69" i="20"/>
  <c r="N70" i="20" s="1"/>
  <c r="G2" i="50"/>
  <c r="V11" i="48"/>
  <c r="H25" i="59"/>
  <c r="D92" i="59"/>
  <c r="D23" i="59" s="1"/>
  <c r="D27" i="59" s="1"/>
  <c r="P44" i="38"/>
  <c r="R44" i="38" s="1"/>
  <c r="T45" i="38"/>
  <c r="P45" i="38" s="1"/>
  <c r="R45" i="38" s="1"/>
  <c r="R46" i="38" s="1"/>
  <c r="R47" i="38" s="1"/>
  <c r="AD71" i="26"/>
  <c r="AE14" i="26" s="1"/>
  <c r="AD70" i="26"/>
  <c r="AE13" i="26" s="1"/>
  <c r="W14" i="59"/>
  <c r="E9" i="35"/>
  <c r="F11" i="55" s="1"/>
  <c r="O33" i="38"/>
  <c r="S34" i="38"/>
  <c r="P46" i="38"/>
  <c r="P47" i="38" s="1"/>
  <c r="L25" i="21"/>
  <c r="F82" i="55"/>
  <c r="F56" i="55"/>
  <c r="F16" i="35"/>
  <c r="G18" i="55" s="1"/>
  <c r="W43" i="30"/>
  <c r="M26" i="21"/>
  <c r="G84" i="55"/>
  <c r="G58" i="55"/>
  <c r="U43" i="30"/>
  <c r="K26" i="21"/>
  <c r="M69" i="20"/>
  <c r="M70" i="20" s="1"/>
  <c r="F2" i="50"/>
  <c r="F4" i="35"/>
  <c r="G6" i="55" s="1"/>
  <c r="K84" i="48"/>
  <c r="K91" i="48" s="1"/>
  <c r="K67" i="48"/>
  <c r="L63" i="48"/>
  <c r="S19" i="38"/>
  <c r="L18" i="38"/>
  <c r="N18" i="38" s="1"/>
  <c r="AD68" i="26"/>
  <c r="Z17" i="30"/>
  <c r="Y13" i="30"/>
  <c r="Y11" i="30" s="1"/>
  <c r="Y46" i="30" s="1"/>
  <c r="G6" i="35" s="1"/>
  <c r="H8" i="55" s="1"/>
  <c r="Y15" i="30"/>
  <c r="L69" i="48"/>
  <c r="L86" i="48"/>
  <c r="E89" i="55"/>
  <c r="E63" i="55"/>
  <c r="E58" i="55"/>
  <c r="E84" i="55"/>
  <c r="L66" i="48"/>
  <c r="K87" i="48"/>
  <c r="K94" i="48" s="1"/>
  <c r="K70" i="48"/>
  <c r="D87" i="55"/>
  <c r="D61" i="55"/>
  <c r="X14" i="74"/>
  <c r="X13" i="74" s="1"/>
  <c r="X11" i="74" s="1"/>
  <c r="X19" i="74" s="1"/>
  <c r="Y12" i="74"/>
  <c r="V10" i="26"/>
  <c r="V36" i="26" s="1"/>
  <c r="D10" i="35"/>
  <c r="E12" i="55" s="1"/>
  <c r="H6" i="50"/>
  <c r="O46" i="30"/>
  <c r="K94" i="55"/>
  <c r="K68" i="55"/>
  <c r="S43" i="30"/>
  <c r="I26" i="21"/>
  <c r="J71" i="38"/>
  <c r="J73" i="38"/>
  <c r="X70" i="59"/>
  <c r="W20" i="59"/>
  <c r="X15" i="59"/>
  <c r="Y10" i="33"/>
  <c r="F12" i="35"/>
  <c r="G14" i="55" s="1"/>
  <c r="L40" i="20"/>
  <c r="L13" i="20"/>
  <c r="O36" i="30"/>
  <c r="C85" i="21"/>
  <c r="C87" i="21" s="1"/>
  <c r="W15" i="21"/>
  <c r="Q43" i="30"/>
  <c r="G26" i="21"/>
  <c r="W29" i="49"/>
  <c r="W28" i="49"/>
  <c r="W30" i="59"/>
  <c r="E11" i="35"/>
  <c r="F13" i="55" s="1"/>
  <c r="L68" i="48"/>
  <c r="L85" i="48"/>
  <c r="E22" i="21"/>
  <c r="O40" i="30" s="1"/>
  <c r="O39" i="30"/>
  <c r="AD13" i="26"/>
  <c r="P40" i="30"/>
  <c r="F25" i="21"/>
  <c r="G18" i="49"/>
  <c r="G19" i="49" s="1"/>
  <c r="G20" i="49" s="1"/>
  <c r="X26" i="49" s="1"/>
  <c r="D58" i="55"/>
  <c r="D84" i="55"/>
  <c r="H68" i="55"/>
  <c r="H94" i="55"/>
  <c r="Y14" i="25" l="1"/>
  <c r="Y13" i="25" s="1"/>
  <c r="Y11" i="25" s="1"/>
  <c r="Y19" i="25" s="1"/>
  <c r="Z12" i="25"/>
  <c r="V19" i="48"/>
  <c r="D21" i="35" s="1"/>
  <c r="E23" i="55" s="1"/>
  <c r="E73" i="55" s="1"/>
  <c r="D23" i="55"/>
  <c r="N7" i="50"/>
  <c r="AA151" i="48"/>
  <c r="Z27" i="48"/>
  <c r="X23" i="48"/>
  <c r="F20" i="35" s="1"/>
  <c r="G22" i="55" s="1"/>
  <c r="G98" i="55" s="1"/>
  <c r="F98" i="55"/>
  <c r="F72" i="55"/>
  <c r="Y26" i="48"/>
  <c r="Z150" i="48"/>
  <c r="Z149" i="48"/>
  <c r="Y25" i="48"/>
  <c r="V31" i="59"/>
  <c r="W31" i="59" s="1"/>
  <c r="C18" i="35"/>
  <c r="D20" i="55" s="1"/>
  <c r="D70" i="55" s="1"/>
  <c r="P69" i="20"/>
  <c r="P70" i="20" s="1"/>
  <c r="P40" i="20" s="1"/>
  <c r="Q108" i="26"/>
  <c r="Q69" i="20" s="1"/>
  <c r="Q70" i="20" s="1"/>
  <c r="H27" i="59"/>
  <c r="AA87" i="59"/>
  <c r="AA89" i="59" s="1"/>
  <c r="AA88" i="59" s="1"/>
  <c r="G60" i="55"/>
  <c r="G86" i="55"/>
  <c r="X30" i="59"/>
  <c r="Y26" i="49"/>
  <c r="X28" i="49"/>
  <c r="F11" i="35"/>
  <c r="G13" i="55" s="1"/>
  <c r="L19" i="38"/>
  <c r="N19" i="38" s="1"/>
  <c r="S20" i="38"/>
  <c r="L20" i="38" s="1"/>
  <c r="N20" i="38" s="1"/>
  <c r="M40" i="20"/>
  <c r="M13" i="20"/>
  <c r="X14" i="59"/>
  <c r="F9" i="35"/>
  <c r="G11" i="55" s="1"/>
  <c r="V86" i="59"/>
  <c r="T43" i="30"/>
  <c r="J26" i="21"/>
  <c r="Z39" i="20"/>
  <c r="G5" i="35"/>
  <c r="H7" i="55" s="1"/>
  <c r="L70" i="48"/>
  <c r="L87" i="48"/>
  <c r="G56" i="55"/>
  <c r="G82" i="55"/>
  <c r="N46" i="38"/>
  <c r="N47" i="38" s="1"/>
  <c r="N43" i="30"/>
  <c r="D26" i="21"/>
  <c r="I100" i="55"/>
  <c r="I74" i="55"/>
  <c r="F89" i="55"/>
  <c r="F63" i="55"/>
  <c r="G64" i="55"/>
  <c r="G90" i="55"/>
  <c r="G8" i="35"/>
  <c r="H10" i="55" s="1"/>
  <c r="E62" i="55"/>
  <c r="E88" i="55"/>
  <c r="G68" i="55"/>
  <c r="G94" i="55"/>
  <c r="F61" i="55"/>
  <c r="F87" i="55"/>
  <c r="X17" i="48"/>
  <c r="W16" i="48"/>
  <c r="G57" i="55"/>
  <c r="G83" i="55"/>
  <c r="W10" i="26"/>
  <c r="W36" i="26" s="1"/>
  <c r="E10" i="35"/>
  <c r="F12" i="55" s="1"/>
  <c r="Y15" i="59"/>
  <c r="Z10" i="33"/>
  <c r="G12" i="35"/>
  <c r="H14" i="55" s="1"/>
  <c r="W19" i="48"/>
  <c r="E21" i="35" s="1"/>
  <c r="F23" i="55" s="1"/>
  <c r="X20" i="48"/>
  <c r="L84" i="48"/>
  <c r="L67" i="48"/>
  <c r="C19" i="35"/>
  <c r="D21" i="55" s="1"/>
  <c r="U133" i="48"/>
  <c r="V133" i="48" s="1"/>
  <c r="W133" i="48" s="1"/>
  <c r="X133" i="48" s="1"/>
  <c r="Y133" i="48" s="1"/>
  <c r="Z133" i="48" s="1"/>
  <c r="AA133" i="48" s="1"/>
  <c r="AB133" i="48" s="1"/>
  <c r="AC133" i="48" s="1"/>
  <c r="O13" i="20"/>
  <c r="O40" i="20"/>
  <c r="N13" i="20"/>
  <c r="N40" i="20"/>
  <c r="H84" i="55"/>
  <c r="H58" i="55"/>
  <c r="J2" i="50"/>
  <c r="AA17" i="30"/>
  <c r="Z13" i="30"/>
  <c r="Z11" i="30" s="1"/>
  <c r="Z46" i="30" s="1"/>
  <c r="H6" i="35" s="1"/>
  <c r="I8" i="55" s="1"/>
  <c r="Z15" i="30"/>
  <c r="S35" i="38"/>
  <c r="O34" i="38"/>
  <c r="Q34" i="38" s="1"/>
  <c r="O15" i="30"/>
  <c r="O13" i="30"/>
  <c r="O12" i="30" s="1"/>
  <c r="R62" i="26"/>
  <c r="S63" i="26"/>
  <c r="R111" i="26"/>
  <c r="R15" i="26"/>
  <c r="R20" i="26" s="1"/>
  <c r="R113" i="26" s="1"/>
  <c r="P43" i="30"/>
  <c r="F26" i="21"/>
  <c r="Y70" i="59"/>
  <c r="X20" i="59"/>
  <c r="G4" i="35"/>
  <c r="H6" i="55" s="1"/>
  <c r="Q33" i="38"/>
  <c r="AB152" i="48"/>
  <c r="AA28" i="48"/>
  <c r="I22" i="35" s="1"/>
  <c r="J24" i="55" s="1"/>
  <c r="W11" i="48"/>
  <c r="V10" i="48"/>
  <c r="V9" i="48" s="1"/>
  <c r="D19" i="35" s="1"/>
  <c r="E21" i="55" s="1"/>
  <c r="J25" i="59"/>
  <c r="K84" i="59"/>
  <c r="J92" i="59"/>
  <c r="J23" i="59" s="1"/>
  <c r="E25" i="21"/>
  <c r="Y14" i="74"/>
  <c r="Y13" i="74" s="1"/>
  <c r="Y11" i="74"/>
  <c r="Y19" i="74" s="1"/>
  <c r="Z12" i="74"/>
  <c r="V43" i="30"/>
  <c r="L26" i="21"/>
  <c r="L46" i="38"/>
  <c r="L47" i="38" s="1"/>
  <c r="I27" i="59"/>
  <c r="Z14" i="25" l="1"/>
  <c r="Z13" i="25" s="1"/>
  <c r="Z11" i="25" s="1"/>
  <c r="Z19" i="25" s="1"/>
  <c r="H8" i="35" s="1"/>
  <c r="I10" i="55" s="1"/>
  <c r="AA12" i="25"/>
  <c r="E99" i="55"/>
  <c r="G72" i="55"/>
  <c r="D99" i="55"/>
  <c r="D73" i="55"/>
  <c r="AA27" i="48"/>
  <c r="AB151" i="48"/>
  <c r="Z26" i="48"/>
  <c r="AA150" i="48"/>
  <c r="Y23" i="48"/>
  <c r="G20" i="35" s="1"/>
  <c r="H22" i="55" s="1"/>
  <c r="H98" i="55" s="1"/>
  <c r="AA149" i="48"/>
  <c r="Z25" i="48"/>
  <c r="D96" i="55"/>
  <c r="D18" i="35"/>
  <c r="E20" i="55" s="1"/>
  <c r="E96" i="55" s="1"/>
  <c r="P13" i="20"/>
  <c r="AB87" i="59"/>
  <c r="AB89" i="59" s="1"/>
  <c r="AB88" i="59" s="1"/>
  <c r="Z14" i="74"/>
  <c r="Z13" i="74" s="1"/>
  <c r="AA12" i="74"/>
  <c r="Z11" i="74"/>
  <c r="Z19" i="74" s="1"/>
  <c r="K25" i="59"/>
  <c r="L84" i="59"/>
  <c r="K92" i="59"/>
  <c r="K23" i="59" s="1"/>
  <c r="H56" i="55"/>
  <c r="H82" i="55"/>
  <c r="R108" i="26"/>
  <c r="S36" i="38"/>
  <c r="O36" i="38" s="1"/>
  <c r="O35" i="38"/>
  <c r="Q35" i="38" s="1"/>
  <c r="H64" i="55"/>
  <c r="H90" i="55"/>
  <c r="X10" i="26"/>
  <c r="X36" i="26" s="1"/>
  <c r="F10" i="35"/>
  <c r="G12" i="55" s="1"/>
  <c r="Y28" i="49"/>
  <c r="Y30" i="59"/>
  <c r="Y29" i="49"/>
  <c r="G11" i="35"/>
  <c r="H13" i="55" s="1"/>
  <c r="Z26" i="49"/>
  <c r="T63" i="26"/>
  <c r="S15" i="26"/>
  <c r="S20" i="26" s="1"/>
  <c r="S113" i="26" s="1"/>
  <c r="S111" i="26"/>
  <c r="S62" i="26"/>
  <c r="V85" i="59"/>
  <c r="W86" i="59"/>
  <c r="E97" i="55"/>
  <c r="E71" i="55"/>
  <c r="I84" i="55"/>
  <c r="I58" i="55"/>
  <c r="H60" i="55"/>
  <c r="H86" i="55"/>
  <c r="X19" i="48"/>
  <c r="F21" i="35" s="1"/>
  <c r="G23" i="55" s="1"/>
  <c r="Y20" i="48"/>
  <c r="J27" i="59"/>
  <c r="C3" i="50" s="1"/>
  <c r="Z15" i="59"/>
  <c r="AA10" i="33"/>
  <c r="H12" i="35"/>
  <c r="I14" i="55" s="1"/>
  <c r="H19" i="33"/>
  <c r="G114" i="59"/>
  <c r="G115" i="59" s="1"/>
  <c r="G117" i="59"/>
  <c r="X11" i="48"/>
  <c r="W10" i="48"/>
  <c r="AB17" i="30"/>
  <c r="AA13" i="30"/>
  <c r="AA11" i="30" s="1"/>
  <c r="AA46" i="30" s="1"/>
  <c r="I6" i="35" s="1"/>
  <c r="J8" i="55" s="1"/>
  <c r="AA15" i="30"/>
  <c r="F62" i="55"/>
  <c r="F88" i="55"/>
  <c r="X16" i="48"/>
  <c r="Y17" i="48"/>
  <c r="G61" i="55"/>
  <c r="G87" i="55"/>
  <c r="G89" i="55"/>
  <c r="G63" i="55"/>
  <c r="AC152" i="48"/>
  <c r="AC28" i="48" s="1"/>
  <c r="K22" i="35" s="1"/>
  <c r="L24" i="55" s="1"/>
  <c r="AB28" i="48"/>
  <c r="J22" i="35" s="1"/>
  <c r="K24" i="55" s="1"/>
  <c r="AA39" i="20"/>
  <c r="H5" i="35"/>
  <c r="I7" i="55" s="1"/>
  <c r="F73" i="55"/>
  <c r="F99" i="55"/>
  <c r="D71" i="55"/>
  <c r="D97" i="55"/>
  <c r="H4" i="35"/>
  <c r="I6" i="55" s="1"/>
  <c r="X31" i="59"/>
  <c r="E18" i="35"/>
  <c r="F20" i="55" s="1"/>
  <c r="O43" i="30"/>
  <c r="E26" i="21"/>
  <c r="J100" i="55"/>
  <c r="J74" i="55"/>
  <c r="Z70" i="59"/>
  <c r="Y20" i="59"/>
  <c r="Q13" i="20"/>
  <c r="Q40" i="20"/>
  <c r="H57" i="55"/>
  <c r="H83" i="55"/>
  <c r="Y14" i="59"/>
  <c r="G9" i="35"/>
  <c r="H11" i="55" s="1"/>
  <c r="X29" i="49"/>
  <c r="AB12" i="25" l="1"/>
  <c r="AA14" i="25"/>
  <c r="AA13" i="25" s="1"/>
  <c r="AA11" i="25" s="1"/>
  <c r="AA19" i="25" s="1"/>
  <c r="H72" i="55"/>
  <c r="AB27" i="48"/>
  <c r="AC151" i="48"/>
  <c r="AC27" i="48" s="1"/>
  <c r="Z23" i="48"/>
  <c r="H20" i="35" s="1"/>
  <c r="I22" i="55" s="1"/>
  <c r="I98" i="55" s="1"/>
  <c r="AA26" i="48"/>
  <c r="AB150" i="48"/>
  <c r="AA25" i="48"/>
  <c r="AB149" i="48"/>
  <c r="E70" i="55"/>
  <c r="I60" i="55"/>
  <c r="I86" i="55"/>
  <c r="AC87" i="59"/>
  <c r="AC89" i="59" s="1"/>
  <c r="AC88" i="59" s="1"/>
  <c r="U63" i="26"/>
  <c r="T15" i="26"/>
  <c r="T62" i="26"/>
  <c r="T111" i="26"/>
  <c r="I56" i="55"/>
  <c r="I82" i="55"/>
  <c r="H89" i="55"/>
  <c r="H63" i="55"/>
  <c r="AB39" i="20"/>
  <c r="I5" i="35"/>
  <c r="J7" i="55" s="1"/>
  <c r="Z14" i="59"/>
  <c r="H9" i="35"/>
  <c r="I11" i="55" s="1"/>
  <c r="Y31" i="59"/>
  <c r="F18" i="35"/>
  <c r="G20" i="55" s="1"/>
  <c r="Y11" i="48"/>
  <c r="X10" i="48"/>
  <c r="X9" i="48" s="1"/>
  <c r="F19" i="35" s="1"/>
  <c r="G21" i="55" s="1"/>
  <c r="Z30" i="59"/>
  <c r="Z29" i="49"/>
  <c r="Z28" i="49"/>
  <c r="AA26" i="49"/>
  <c r="H11" i="35"/>
  <c r="I13" i="55" s="1"/>
  <c r="AA70" i="59"/>
  <c r="Z20" i="59"/>
  <c r="K74" i="55"/>
  <c r="K100" i="55"/>
  <c r="Z20" i="48"/>
  <c r="Y19" i="48"/>
  <c r="G21" i="35" s="1"/>
  <c r="H23" i="55" s="1"/>
  <c r="W85" i="59"/>
  <c r="X86" i="59"/>
  <c r="Q36" i="38"/>
  <c r="Q46" i="38" s="1"/>
  <c r="Q47" i="38" s="1"/>
  <c r="O46" i="38"/>
  <c r="O47" i="38" s="1"/>
  <c r="AA14" i="74"/>
  <c r="AA13" i="74" s="1"/>
  <c r="AB12" i="74"/>
  <c r="AA11" i="74"/>
  <c r="AA19" i="74" s="1"/>
  <c r="AB13" i="30"/>
  <c r="AB11" i="30" s="1"/>
  <c r="AB46" i="30" s="1"/>
  <c r="J6" i="35" s="1"/>
  <c r="K8" i="55" s="1"/>
  <c r="AC17" i="30"/>
  <c r="AB15" i="30"/>
  <c r="K27" i="59"/>
  <c r="D3" i="50" s="1"/>
  <c r="I4" i="35"/>
  <c r="J6" i="55" s="1"/>
  <c r="L74" i="55"/>
  <c r="L100" i="55"/>
  <c r="G73" i="55"/>
  <c r="G99" i="55"/>
  <c r="R69" i="20"/>
  <c r="R70" i="20" s="1"/>
  <c r="K2" i="50"/>
  <c r="H61" i="55"/>
  <c r="H87" i="55"/>
  <c r="F70" i="55"/>
  <c r="F96" i="55"/>
  <c r="W9" i="48"/>
  <c r="E19" i="35" s="1"/>
  <c r="F21" i="55" s="1"/>
  <c r="I64" i="55"/>
  <c r="I90" i="55"/>
  <c r="Y10" i="26"/>
  <c r="Y36" i="26" s="1"/>
  <c r="G10" i="35"/>
  <c r="H12" i="55" s="1"/>
  <c r="M84" i="59"/>
  <c r="L25" i="59"/>
  <c r="L92" i="59"/>
  <c r="L23" i="59" s="1"/>
  <c r="Y16" i="48"/>
  <c r="Z17" i="48"/>
  <c r="I8" i="35"/>
  <c r="J10" i="55" s="1"/>
  <c r="I83" i="55"/>
  <c r="I57" i="55"/>
  <c r="J84" i="55"/>
  <c r="J58" i="55"/>
  <c r="AB10" i="33"/>
  <c r="I12" i="35"/>
  <c r="J14" i="55" s="1"/>
  <c r="AA15" i="59"/>
  <c r="S108" i="26"/>
  <c r="G88" i="55"/>
  <c r="G62" i="55"/>
  <c r="AC12" i="25" l="1"/>
  <c r="AB14" i="25"/>
  <c r="AB13" i="25" s="1"/>
  <c r="AB11" i="25" s="1"/>
  <c r="AB19" i="25" s="1"/>
  <c r="J8" i="35" s="1"/>
  <c r="K10" i="55" s="1"/>
  <c r="I72" i="55"/>
  <c r="AA23" i="48"/>
  <c r="I20" i="35" s="1"/>
  <c r="J22" i="55" s="1"/>
  <c r="J98" i="55" s="1"/>
  <c r="AB26" i="48"/>
  <c r="AC150" i="48"/>
  <c r="AC26" i="48" s="1"/>
  <c r="AB25" i="48"/>
  <c r="AB23" i="48" s="1"/>
  <c r="J20" i="35" s="1"/>
  <c r="K22" i="55" s="1"/>
  <c r="AC149" i="48"/>
  <c r="AC25" i="48" s="1"/>
  <c r="AC23" i="48" s="1"/>
  <c r="K20" i="35" s="1"/>
  <c r="L22" i="55" s="1"/>
  <c r="T20" i="26"/>
  <c r="T41" i="26"/>
  <c r="L27" i="59"/>
  <c r="E3" i="50" s="1"/>
  <c r="X85" i="59"/>
  <c r="Y86" i="59"/>
  <c r="N84" i="59"/>
  <c r="M25" i="59"/>
  <c r="M92" i="59"/>
  <c r="M23" i="59" s="1"/>
  <c r="F97" i="55"/>
  <c r="F71" i="55"/>
  <c r="AC15" i="30"/>
  <c r="AC13" i="30"/>
  <c r="AC11" i="30" s="1"/>
  <c r="AC46" i="30" s="1"/>
  <c r="K6" i="35" s="1"/>
  <c r="L8" i="55" s="1"/>
  <c r="AB70" i="59"/>
  <c r="AA20" i="59"/>
  <c r="G97" i="55"/>
  <c r="G71" i="55"/>
  <c r="J83" i="55"/>
  <c r="J57" i="55"/>
  <c r="S69" i="20"/>
  <c r="S70" i="20" s="1"/>
  <c r="L2" i="50"/>
  <c r="Y10" i="48"/>
  <c r="Y9" i="48" s="1"/>
  <c r="G19" i="35" s="1"/>
  <c r="H21" i="55" s="1"/>
  <c r="Z11" i="48"/>
  <c r="H88" i="55"/>
  <c r="H62" i="55"/>
  <c r="V63" i="26"/>
  <c r="U15" i="26"/>
  <c r="U111" i="26"/>
  <c r="U62" i="26"/>
  <c r="J64" i="55"/>
  <c r="J90" i="55"/>
  <c r="J56" i="55"/>
  <c r="J82" i="55"/>
  <c r="AC12" i="74"/>
  <c r="AB14" i="74"/>
  <c r="AB13" i="74" s="1"/>
  <c r="AB11" i="74" s="1"/>
  <c r="AB19" i="74" s="1"/>
  <c r="I63" i="55"/>
  <c r="I89" i="55"/>
  <c r="Z31" i="59"/>
  <c r="G18" i="35"/>
  <c r="H20" i="55" s="1"/>
  <c r="J60" i="55"/>
  <c r="J86" i="55"/>
  <c r="H73" i="55"/>
  <c r="H99" i="55"/>
  <c r="AA20" i="48"/>
  <c r="Z19" i="48"/>
  <c r="H21" i="35" s="1"/>
  <c r="I23" i="55" s="1"/>
  <c r="J4" i="35"/>
  <c r="K6" i="55" s="1"/>
  <c r="AA30" i="59"/>
  <c r="AA28" i="49"/>
  <c r="AA29" i="49" s="1"/>
  <c r="AB26" i="49"/>
  <c r="I11" i="35"/>
  <c r="J13" i="55" s="1"/>
  <c r="I87" i="55"/>
  <c r="I61" i="55"/>
  <c r="K58" i="55"/>
  <c r="K84" i="55"/>
  <c r="AC39" i="20"/>
  <c r="J5" i="35"/>
  <c r="K7" i="55" s="1"/>
  <c r="G96" i="55"/>
  <c r="G70" i="55"/>
  <c r="AB15" i="59"/>
  <c r="AC10" i="33"/>
  <c r="J12" i="35"/>
  <c r="K14" i="55" s="1"/>
  <c r="Z16" i="48"/>
  <c r="AA17" i="48"/>
  <c r="Z10" i="26"/>
  <c r="Z36" i="26" s="1"/>
  <c r="H10" i="35"/>
  <c r="I12" i="55" s="1"/>
  <c r="AA14" i="59"/>
  <c r="I9" i="35"/>
  <c r="J11" i="55" s="1"/>
  <c r="R40" i="20"/>
  <c r="R13" i="20"/>
  <c r="AC14" i="25" l="1"/>
  <c r="AC13" i="25" s="1"/>
  <c r="AC11" i="25"/>
  <c r="AC19" i="25" s="1"/>
  <c r="J72" i="55"/>
  <c r="L98" i="55"/>
  <c r="L72" i="55"/>
  <c r="K98" i="55"/>
  <c r="K72" i="55"/>
  <c r="U20" i="26"/>
  <c r="U41" i="26"/>
  <c r="T113" i="26"/>
  <c r="T108" i="26" s="1"/>
  <c r="T46" i="26"/>
  <c r="K8" i="35"/>
  <c r="L10" i="55" s="1"/>
  <c r="K86" i="55"/>
  <c r="K60" i="55"/>
  <c r="K83" i="55"/>
  <c r="K57" i="55"/>
  <c r="M27" i="59"/>
  <c r="F3" i="50" s="1"/>
  <c r="AA10" i="26"/>
  <c r="AA36" i="26" s="1"/>
  <c r="I10" i="35"/>
  <c r="J12" i="55" s="1"/>
  <c r="AC15" i="59"/>
  <c r="K12" i="35"/>
  <c r="L14" i="55" s="1"/>
  <c r="AC14" i="74"/>
  <c r="AC13" i="74" s="1"/>
  <c r="AC11" i="74" s="1"/>
  <c r="AC19" i="74" s="1"/>
  <c r="AC70" i="59"/>
  <c r="AC20" i="59" s="1"/>
  <c r="AB20" i="59"/>
  <c r="AB14" i="59"/>
  <c r="J9" i="35"/>
  <c r="K11" i="55" s="1"/>
  <c r="K82" i="55"/>
  <c r="K56" i="55"/>
  <c r="L58" i="55"/>
  <c r="L84" i="55"/>
  <c r="Y85" i="59"/>
  <c r="Z86" i="59"/>
  <c r="AA16" i="48"/>
  <c r="AB17" i="48"/>
  <c r="K5" i="35"/>
  <c r="L7" i="55" s="1"/>
  <c r="Z10" i="48"/>
  <c r="Z9" i="48" s="1"/>
  <c r="H19" i="35" s="1"/>
  <c r="I21" i="55" s="1"/>
  <c r="AA11" i="48"/>
  <c r="J87" i="55"/>
  <c r="J61" i="55"/>
  <c r="I19" i="33"/>
  <c r="K4" i="35"/>
  <c r="L6" i="55" s="1"/>
  <c r="H96" i="55"/>
  <c r="H70" i="55"/>
  <c r="S40" i="20"/>
  <c r="S13" i="20"/>
  <c r="AB28" i="49"/>
  <c r="AB29" i="49" s="1"/>
  <c r="AC26" i="49"/>
  <c r="AB30" i="59"/>
  <c r="J11" i="35"/>
  <c r="K13" i="55" s="1"/>
  <c r="O84" i="59"/>
  <c r="N25" i="59"/>
  <c r="N92" i="59"/>
  <c r="N23" i="59" s="1"/>
  <c r="T69" i="20"/>
  <c r="T70" i="20" s="1"/>
  <c r="M2" i="50"/>
  <c r="AA31" i="59"/>
  <c r="H18" i="35"/>
  <c r="I20" i="55" s="1"/>
  <c r="AB20" i="48"/>
  <c r="AA19" i="48"/>
  <c r="I21" i="35" s="1"/>
  <c r="J23" i="55" s="1"/>
  <c r="K90" i="55"/>
  <c r="K64" i="55"/>
  <c r="H97" i="55"/>
  <c r="H71" i="55"/>
  <c r="I88" i="55"/>
  <c r="I62" i="55"/>
  <c r="J63" i="55"/>
  <c r="J89" i="55"/>
  <c r="I99" i="55"/>
  <c r="I73" i="55"/>
  <c r="W63" i="26"/>
  <c r="V15" i="26"/>
  <c r="V41" i="26" s="1"/>
  <c r="V111" i="26"/>
  <c r="V62" i="26"/>
  <c r="U46" i="26" l="1"/>
  <c r="V20" i="26"/>
  <c r="V46" i="26" s="1"/>
  <c r="U113" i="26"/>
  <c r="AD126" i="26"/>
  <c r="U108" i="26"/>
  <c r="AD121" i="26" s="1"/>
  <c r="N27" i="59"/>
  <c r="G3" i="50" s="1"/>
  <c r="AA86" i="59"/>
  <c r="Z85" i="59"/>
  <c r="X63" i="26"/>
  <c r="W15" i="26"/>
  <c r="W41" i="26" s="1"/>
  <c r="W111" i="26"/>
  <c r="W62" i="26"/>
  <c r="L86" i="55"/>
  <c r="L60" i="55"/>
  <c r="L82" i="55"/>
  <c r="L56" i="55"/>
  <c r="AB10" i="26"/>
  <c r="AB36" i="26" s="1"/>
  <c r="J10" i="35"/>
  <c r="K12" i="55" s="1"/>
  <c r="L90" i="55"/>
  <c r="L64" i="55"/>
  <c r="O25" i="59"/>
  <c r="P84" i="59"/>
  <c r="O92" i="59"/>
  <c r="O23" i="59" s="1"/>
  <c r="I96" i="55"/>
  <c r="I70" i="55"/>
  <c r="AB31" i="59"/>
  <c r="I18" i="35"/>
  <c r="J20" i="55" s="1"/>
  <c r="J99" i="55"/>
  <c r="J73" i="55"/>
  <c r="AC17" i="48"/>
  <c r="AC16" i="48" s="1"/>
  <c r="AB16" i="48"/>
  <c r="K87" i="55"/>
  <c r="K61" i="55"/>
  <c r="K63" i="55"/>
  <c r="K89" i="55"/>
  <c r="AA10" i="48"/>
  <c r="AA9" i="48" s="1"/>
  <c r="I19" i="35" s="1"/>
  <c r="J21" i="55" s="1"/>
  <c r="AB11" i="48"/>
  <c r="I71" i="55"/>
  <c r="I97" i="55"/>
  <c r="K11" i="35"/>
  <c r="L13" i="55" s="1"/>
  <c r="AC28" i="49"/>
  <c r="AC30" i="59"/>
  <c r="L83" i="55"/>
  <c r="L57" i="55"/>
  <c r="T13" i="20"/>
  <c r="T40" i="20"/>
  <c r="AC20" i="48"/>
  <c r="AC19" i="48" s="1"/>
  <c r="K21" i="35" s="1"/>
  <c r="L23" i="55" s="1"/>
  <c r="AB19" i="48"/>
  <c r="J21" i="35" s="1"/>
  <c r="K23" i="55" s="1"/>
  <c r="AC14" i="59"/>
  <c r="K9" i="35"/>
  <c r="L11" i="55" s="1"/>
  <c r="J88" i="55"/>
  <c r="J62" i="55"/>
  <c r="V11" i="26" l="1"/>
  <c r="V37" i="26" s="1"/>
  <c r="V113" i="26"/>
  <c r="V108" i="26" s="1"/>
  <c r="V69" i="20" s="1"/>
  <c r="V70" i="20" s="1"/>
  <c r="W20" i="26"/>
  <c r="W46" i="26" s="1"/>
  <c r="C2" i="35"/>
  <c r="D4" i="55" s="1"/>
  <c r="D54" i="55" s="1"/>
  <c r="N2" i="50"/>
  <c r="U69" i="20"/>
  <c r="U70" i="20" s="1"/>
  <c r="U13" i="20" s="1"/>
  <c r="V9" i="26"/>
  <c r="V35" i="26" s="1"/>
  <c r="J71" i="55"/>
  <c r="J97" i="55"/>
  <c r="O27" i="59"/>
  <c r="H3" i="50" s="1"/>
  <c r="AC10" i="26"/>
  <c r="AC36" i="26" s="1"/>
  <c r="K10" i="35"/>
  <c r="L12" i="55" s="1"/>
  <c r="AB86" i="59"/>
  <c r="AA85" i="59"/>
  <c r="J96" i="55"/>
  <c r="J70" i="55"/>
  <c r="AC29" i="49"/>
  <c r="AC11" i="48"/>
  <c r="AC10" i="48" s="1"/>
  <c r="AC9" i="48" s="1"/>
  <c r="K19" i="35" s="1"/>
  <c r="L21" i="55" s="1"/>
  <c r="AB10" i="48"/>
  <c r="AB9" i="48" s="1"/>
  <c r="J19" i="35" s="1"/>
  <c r="K21" i="55" s="1"/>
  <c r="K99" i="55"/>
  <c r="K73" i="55"/>
  <c r="L99" i="55"/>
  <c r="L73" i="55"/>
  <c r="K62" i="55"/>
  <c r="K88" i="55"/>
  <c r="P25" i="59"/>
  <c r="Q84" i="59"/>
  <c r="P92" i="59"/>
  <c r="P23" i="59" s="1"/>
  <c r="L87" i="55"/>
  <c r="L61" i="55"/>
  <c r="D118" i="59"/>
  <c r="L63" i="55"/>
  <c r="L89" i="55"/>
  <c r="AC31" i="59"/>
  <c r="K18" i="35" s="1"/>
  <c r="L20" i="55" s="1"/>
  <c r="J18" i="35"/>
  <c r="K20" i="55" s="1"/>
  <c r="X111" i="26"/>
  <c r="X62" i="26"/>
  <c r="AD62" i="26" s="1"/>
  <c r="X15" i="26"/>
  <c r="X41" i="26" s="1"/>
  <c r="AD63" i="26"/>
  <c r="AE15" i="26" s="1"/>
  <c r="X20" i="26" l="1"/>
  <c r="X46" i="26" s="1"/>
  <c r="W11" i="26"/>
  <c r="W9" i="26" s="1"/>
  <c r="W35" i="26" s="1"/>
  <c r="W113" i="26"/>
  <c r="W108" i="26" s="1"/>
  <c r="W69" i="20" s="1"/>
  <c r="W70" i="20" s="1"/>
  <c r="D2" i="35"/>
  <c r="E4" i="55" s="1"/>
  <c r="E80" i="55" s="1"/>
  <c r="U40" i="20"/>
  <c r="D80" i="55"/>
  <c r="AC86" i="59"/>
  <c r="AC85" i="59" s="1"/>
  <c r="AB85" i="59"/>
  <c r="L62" i="55"/>
  <c r="L88" i="55"/>
  <c r="P27" i="59"/>
  <c r="I3" i="50" s="1"/>
  <c r="L71" i="55"/>
  <c r="L97" i="55"/>
  <c r="X113" i="26"/>
  <c r="X108" i="26" s="1"/>
  <c r="Y20" i="26"/>
  <c r="Y46" i="26" s="1"/>
  <c r="Q25" i="59"/>
  <c r="R84" i="59"/>
  <c r="Q92" i="59"/>
  <c r="Q23" i="59" s="1"/>
  <c r="L70" i="55"/>
  <c r="L96" i="55"/>
  <c r="E54" i="55"/>
  <c r="K70" i="55"/>
  <c r="K96" i="55"/>
  <c r="AD15" i="26"/>
  <c r="K71" i="55"/>
  <c r="K97" i="55"/>
  <c r="V40" i="20"/>
  <c r="V13" i="20"/>
  <c r="W37" i="26" l="1"/>
  <c r="E2" i="35"/>
  <c r="F4" i="55" s="1"/>
  <c r="F80" i="55" s="1"/>
  <c r="X11" i="26"/>
  <c r="X9" i="26" s="1"/>
  <c r="X35" i="26" s="1"/>
  <c r="Q27" i="59"/>
  <c r="J3" i="50" s="1"/>
  <c r="X69" i="20"/>
  <c r="X70" i="20" s="1"/>
  <c r="F2" i="35"/>
  <c r="G4" i="55" s="1"/>
  <c r="W40" i="20"/>
  <c r="W13" i="20"/>
  <c r="R25" i="59"/>
  <c r="S84" i="59"/>
  <c r="R92" i="59"/>
  <c r="R23" i="59" s="1"/>
  <c r="Y113" i="26"/>
  <c r="Y108" i="26" s="1"/>
  <c r="Z20" i="26"/>
  <c r="Z46" i="26" s="1"/>
  <c r="Y11" i="26"/>
  <c r="X37" i="26" l="1"/>
  <c r="F54" i="55"/>
  <c r="R27" i="59"/>
  <c r="K3" i="50" s="1"/>
  <c r="Y9" i="26"/>
  <c r="Y35" i="26" s="1"/>
  <c r="Y37" i="26"/>
  <c r="Z113" i="26"/>
  <c r="Z108" i="26" s="1"/>
  <c r="AA20" i="26"/>
  <c r="AA46" i="26" s="1"/>
  <c r="Z11" i="26"/>
  <c r="Y69" i="20"/>
  <c r="Y70" i="20" s="1"/>
  <c r="G2" i="35"/>
  <c r="H4" i="55" s="1"/>
  <c r="G80" i="55"/>
  <c r="G54" i="55"/>
  <c r="S25" i="59"/>
  <c r="T84" i="59"/>
  <c r="AD97" i="59" s="1"/>
  <c r="S92" i="59"/>
  <c r="S23" i="59" s="1"/>
  <c r="X40" i="20"/>
  <c r="X13" i="20"/>
  <c r="Z9" i="26" l="1"/>
  <c r="Z35" i="26" s="1"/>
  <c r="Z37" i="26"/>
  <c r="Y13" i="20"/>
  <c r="Y40" i="20"/>
  <c r="S27" i="59"/>
  <c r="L3" i="50" s="1"/>
  <c r="E118" i="59"/>
  <c r="AB20" i="26"/>
  <c r="AB46" i="26" s="1"/>
  <c r="AA113" i="26"/>
  <c r="AA108" i="26" s="1"/>
  <c r="AA11" i="26"/>
  <c r="H80" i="55"/>
  <c r="H54" i="55"/>
  <c r="T25" i="59"/>
  <c r="T92" i="59"/>
  <c r="T23" i="59" s="1"/>
  <c r="H2" i="35"/>
  <c r="I4" i="55" s="1"/>
  <c r="Z69" i="20"/>
  <c r="Z70" i="20" s="1"/>
  <c r="T27" i="59" l="1"/>
  <c r="AA9" i="26"/>
  <c r="AA35" i="26" s="1"/>
  <c r="AA37" i="26"/>
  <c r="Z13" i="20"/>
  <c r="Z40" i="20"/>
  <c r="AA69" i="20"/>
  <c r="AA70" i="20" s="1"/>
  <c r="I2" i="35"/>
  <c r="J4" i="55" s="1"/>
  <c r="AC20" i="26"/>
  <c r="AC46" i="26" s="1"/>
  <c r="AB113" i="26"/>
  <c r="AB108" i="26" s="1"/>
  <c r="AB11" i="26"/>
  <c r="I80" i="55"/>
  <c r="I54" i="55"/>
  <c r="V84" i="59"/>
  <c r="U25" i="59"/>
  <c r="U92" i="59"/>
  <c r="AD105" i="59" s="1"/>
  <c r="AD50" i="59" l="1"/>
  <c r="AB9" i="26"/>
  <c r="AB35" i="26" s="1"/>
  <c r="AB37" i="26"/>
  <c r="W84" i="59"/>
  <c r="V25" i="59"/>
  <c r="J80" i="55"/>
  <c r="J54" i="55"/>
  <c r="V92" i="59"/>
  <c r="U23" i="59"/>
  <c r="U27" i="59" s="1"/>
  <c r="AC113" i="26"/>
  <c r="AC108" i="26" s="1"/>
  <c r="AC11" i="26"/>
  <c r="AA13" i="20"/>
  <c r="AA40" i="20"/>
  <c r="AB69" i="20"/>
  <c r="AB70" i="20" s="1"/>
  <c r="J2" i="35"/>
  <c r="K4" i="55" s="1"/>
  <c r="M3" i="50"/>
  <c r="AD48" i="59" l="1"/>
  <c r="AD52" i="59"/>
  <c r="AC9" i="26"/>
  <c r="AC35" i="26" s="1"/>
  <c r="AC37" i="26"/>
  <c r="W92" i="59"/>
  <c r="V23" i="59"/>
  <c r="V12" i="59" s="1"/>
  <c r="K54" i="55"/>
  <c r="K80" i="55"/>
  <c r="AB13" i="20"/>
  <c r="AB40" i="20"/>
  <c r="X84" i="59"/>
  <c r="W25" i="59"/>
  <c r="F118" i="59" s="1"/>
  <c r="AC69" i="20"/>
  <c r="AC70" i="20" s="1"/>
  <c r="K2" i="35"/>
  <c r="L4" i="55" s="1"/>
  <c r="V27" i="59"/>
  <c r="D17" i="35" s="1"/>
  <c r="E19" i="55" s="1"/>
  <c r="N3" i="50" l="1"/>
  <c r="C17" i="35"/>
  <c r="D19" i="55" s="1"/>
  <c r="D95" i="55" s="1"/>
  <c r="E69" i="55"/>
  <c r="E95" i="55"/>
  <c r="L54" i="55"/>
  <c r="L80" i="55"/>
  <c r="X92" i="59"/>
  <c r="W23" i="59"/>
  <c r="W12" i="59" s="1"/>
  <c r="F116" i="59" s="1"/>
  <c r="F120" i="59" s="1"/>
  <c r="AC40" i="20"/>
  <c r="AC13" i="20"/>
  <c r="X25" i="59"/>
  <c r="Y84" i="59"/>
  <c r="D69" i="55" l="1"/>
  <c r="W27" i="59"/>
  <c r="E17" i="35" s="1"/>
  <c r="F19" i="55" s="1"/>
  <c r="F69" i="55" s="1"/>
  <c r="Y25" i="59"/>
  <c r="Z84" i="59"/>
  <c r="Y92" i="59"/>
  <c r="X23" i="59"/>
  <c r="X12" i="59" s="1"/>
  <c r="F95" i="55" l="1"/>
  <c r="Z25" i="59"/>
  <c r="AA84" i="59"/>
  <c r="X27" i="59"/>
  <c r="F17" i="35" s="1"/>
  <c r="G19" i="55" s="1"/>
  <c r="Z92" i="59"/>
  <c r="Y23" i="59"/>
  <c r="Y12" i="59" s="1"/>
  <c r="AA92" i="59" l="1"/>
  <c r="Z23" i="59"/>
  <c r="Z12" i="59" s="1"/>
  <c r="G69" i="55"/>
  <c r="G95" i="55"/>
  <c r="AA25" i="59"/>
  <c r="AB84" i="59"/>
  <c r="Y27" i="59"/>
  <c r="G17" i="35" s="1"/>
  <c r="H19" i="55" s="1"/>
  <c r="G118" i="59" l="1"/>
  <c r="AC84" i="59"/>
  <c r="AC25" i="59" s="1"/>
  <c r="AB25" i="59"/>
  <c r="AB92" i="59"/>
  <c r="AA23" i="59"/>
  <c r="AA12" i="59" s="1"/>
  <c r="G116" i="59" s="1"/>
  <c r="G120" i="59" s="1"/>
  <c r="H69" i="55"/>
  <c r="H95" i="55"/>
  <c r="Z27" i="59"/>
  <c r="H17" i="35" s="1"/>
  <c r="I19" i="55" s="1"/>
  <c r="AB23" i="59" l="1"/>
  <c r="AB12" i="59" s="1"/>
  <c r="AC92" i="59"/>
  <c r="AC23" i="59" s="1"/>
  <c r="AC12" i="59" s="1"/>
  <c r="I95" i="55"/>
  <c r="I69" i="55"/>
  <c r="AA27" i="59"/>
  <c r="I17" i="35" s="1"/>
  <c r="J19" i="55" s="1"/>
  <c r="AC27" i="59" l="1"/>
  <c r="K17" i="35" s="1"/>
  <c r="L19" i="55" s="1"/>
  <c r="L95" i="55" s="1"/>
  <c r="AB27" i="59"/>
  <c r="J17" i="35" s="1"/>
  <c r="K19" i="55" s="1"/>
  <c r="K95" i="55" s="1"/>
  <c r="J95" i="55"/>
  <c r="J69" i="55"/>
  <c r="K69" i="55" l="1"/>
  <c r="L69" i="5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tc={E01C7D51-1793-4A61-9FD5-357953FC571D}</author>
  </authors>
  <commentList>
    <comment ref="L10" authorId="0" shapeId="0" xr:uid="{00000000-0006-0000-0C00-000001000000}">
      <text>
        <t>[Threaded comment]
Your version of Excel allows you to read this threaded comment; however, any edits to it will get removed if the file is opened in a newer version of Excel. Learn more: https://go.microsoft.com/fwlink/?linkid=870924
Comment:
    Q10, Q11, and Q12 mpcs were changed from 0% to 3.0%</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tc={3D2D0DDD-7B5A-43DF-B8EA-F946232323B5}</author>
  </authors>
  <commentList>
    <comment ref="B52" authorId="0" shapeId="0" xr:uid="{00000000-0006-0000-1A00-000001000000}">
      <text>
        <t>[Threaded comment]
Your version of Excel allows you to read this threaded comment; however, any edits to it will get removed if the file is opened in a newer version of Excel. Learn more: https://go.microsoft.com/fwlink/?linkid=870924
Comment:
    These series are in inst/extdata/projections.xlsx. See the dictionary sheet in that workbook to locate these in CBO. When there's a new baseline, update projections.xlsx and pull in the variables here as well.</t>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tc={C1427567-6345-422C-950F-10556EB5D1E6}</author>
    <author>tc={B5B608FF-A23A-451F-86C6-28ACC63CADC5}</author>
    <author>tc={4AAC6232-3E4B-4973-BC84-7713D4977FB9}</author>
    <author>tc={243F39CE-3C6A-4AE1-8287-465CC79E4879}</author>
    <author>tc={47AA49B4-DCE6-46E1-8830-816689FA1935}</author>
    <author>tc={54F6D9F3-8868-417E-999A-B95E2C1FC589}</author>
    <author>tc={1FB99C5A-E921-4C2B-94A6-469F8368DE8C}</author>
    <author>tc={CE0F5DCB-3CCE-4E3D-A6E4-2AC8A4A5F19D}</author>
    <author>tc={B0E96582-484F-445D-8FF5-3592B5A172FA}</author>
    <author>tc={E6B5A35A-07FA-4F2B-9A9E-866D21A47917}</author>
    <author>tc={BAC4C9C5-057D-4522-9D5B-345501733B13}</author>
    <author>tc={903D683D-E956-41A0-87A0-4A0ACF2A3EC0}</author>
    <author>tc={3EBCE0D2-6A48-4CE9-BC8C-5855F5261D1F}</author>
    <author>tc={48184811-5BD0-438A-8E38-4FDE0C8DFA8F}</author>
    <author>tc={D2748782-D0E6-49AC-8A19-1F2FBF9255CC}</author>
    <author>tc={A46F7C4F-6912-4219-A6BF-9B291D29572E}</author>
    <author>tc={76E953CB-BD49-43CF-8F2D-8BFB47D725D7}</author>
    <author>tc={8FB584A5-2B54-4AD8-94A1-F46A717E4FE5}</author>
    <author>tc={65B2F617-D738-4757-983D-98D9DB3870FB}</author>
    <author>tc={3DA40B3D-4A5D-452E-A72D-B2030842DDB4}</author>
    <author>tc={D99B9B54-6076-41EB-BC07-437AE218B08B}</author>
    <author>tc={623F5CCB-51DE-44FD-917A-D45F49A14B56}</author>
    <author>tc={76D39B51-9B45-4C9D-BC1F-F3C52C7844F2}</author>
    <author>tc={261212D0-3270-4BCA-9A94-F5349DB2897B}</author>
    <author>tc={093CFE5E-1370-4B7D-A6E3-831D81F9257A}</author>
    <author>tc={8471787A-6E7E-4D0B-B7B0-44BB3DD67EEC}</author>
    <author>tc={C0761490-DB03-459E-80D6-455B0C07D430}</author>
  </authors>
  <commentList>
    <comment ref="R8" authorId="0" shapeId="0" xr:uid="{00000000-0006-0000-1600-000001000000}">
      <text>
        <t>[Threaded comment]
Your version of Excel allows you to read this threaded comment; however, any edits to it will get removed if the file is opened in a newer version of Excel. Learn more: https://go.microsoft.com/fwlink/?linkid=870924
Comment:
    The levels are a lot lower!</t>
      </text>
    </comment>
    <comment ref="D11" authorId="1" shapeId="0" xr:uid="{00000000-0006-0000-1600-000003000000}">
      <text>
        <t>[Threaded comment]
Your version of Excel allows you to read this threaded comment; however, any edits to it will get removed if the file is opened in a newer version of Excel. Learn more: https://go.microsoft.com/fwlink/?linkid=870924
Comment:
    This row, along with rows 14, 16, and 19 need their forecast periods to be updated quarterly</t>
      </text>
    </comment>
    <comment ref="U26" authorId="2" shapeId="0" xr:uid="{00000000-0006-0000-1600-000005000000}">
      <text>
        <t>[Threaded comment]
Your version of Excel allows you to read this threaded comment; however, any edits to it will get removed if the file is opened in a newer version of Excel. Learn more: https://go.microsoft.com/fwlink/?linkid=870924
Comment:
    This cell is dark green. Should I override it by dragging across?</t>
      </text>
    </comment>
    <comment ref="U32" authorId="3" shapeId="0" xr:uid="{243F39CE-3C6A-4AE1-8287-465CC79E4879}">
      <text>
        <t>[Threaded comment]
Your version of Excel allows you to read this threaded comment; however, any edits to it will get removed if the file is opened in a newer version of Excel. Learn more: https://go.microsoft.com/fwlink/?linkid=870924
Comment:
    This # has come in higher in the monthly personal income, so we're likely going to miss it when Q1 comes out. We've decided to wait to discuss with Louise before changing this forecast.
As it stands, it's about 200 higher than the numbers that are coming in on the MPI, so this should be revisited in April.</t>
      </text>
    </comment>
    <comment ref="P33" authorId="4" shapeId="0" xr:uid="{47AA49B4-DCE6-46E1-8830-816689FA1935}">
      <text>
        <t>[Threaded comment]
Your version of Excel allows you to read this threaded comment; however, any edits to it will get removed if the file is opened in a newer version of Excel. Learn more: https://go.microsoft.com/fwlink/?linkid=870924
Comment:
    This row, along with rows 14, 16, and 19 need their forecast periods to be updated quarterly</t>
      </text>
    </comment>
    <comment ref="D76" authorId="5" shapeId="0" xr:uid="{00000000-0006-0000-1600-000006000000}">
      <text>
        <t>[Threaded comment]
Your version of Excel allows you to read this threaded comment; however, any edits to it will get removed if the file is opened in a newer version of Excel. Learn more: https://go.microsoft.com/fwlink/?linkid=870924
Comment:
    February 2023 CBO Budget Projections Table 1-1 Row 11</t>
      </text>
    </comment>
    <comment ref="D77" authorId="6" shapeId="0" xr:uid="{00000000-0006-0000-1600-000007000000}">
      <text>
        <t>[Threaded comment]
Your version of Excel allows you to read this threaded comment; however, any edits to it will get removed if the file is opened in a newer version of Excel. Learn more: https://go.microsoft.com/fwlink/?linkid=870924
Comment:
    February 2023 Budget Projections Table 1-1 Row 12</t>
      </text>
    </comment>
    <comment ref="D79" authorId="7" shapeId="0" xr:uid="{00000000-0006-0000-1600-000008000000}">
      <text>
        <t>[Threaded comment]
Your version of Excel allows you to read this threaded comment; however, any edits to it will get removed if the file is opened in a newer version of Excel. Learn more: https://go.microsoft.com/fwlink/?linkid=870924
Comment:
    February 2023 CBO Budget Projections Table 1-6 Row 14</t>
      </text>
    </comment>
    <comment ref="D80" authorId="8" shapeId="0" xr:uid="{00000000-0006-0000-1600-000009000000}">
      <text>
        <t>[Threaded comment]
Your version of Excel allows you to read this threaded comment; however, any edits to it will get removed if the file is opened in a newer version of Excel. Learn more: https://go.microsoft.com/fwlink/?linkid=870924
Comment:
    February 2023 CBO Budget Projections Table 1-6 Row 16</t>
      </text>
    </comment>
    <comment ref="D81" authorId="9" shapeId="0" xr:uid="{00000000-0006-0000-1600-00000A000000}">
      <text>
        <t>[Threaded comment]
Your version of Excel allows you to read this threaded comment; however, any edits to it will get removed if the file is opened in a newer version of Excel. Learn more: https://go.microsoft.com/fwlink/?linkid=870924
Comment:
    February 2023 CBO Budget Projections Table 1-1 Row 13</t>
      </text>
    </comment>
    <comment ref="D99" authorId="10" shapeId="0" xr:uid="{00000000-0006-0000-1600-00000B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Fiscal Year Table row 92</t>
      </text>
    </comment>
    <comment ref="D100" authorId="11" shapeId="0" xr:uid="{00000000-0006-0000-1600-00000C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Fiscal Year Table row 96</t>
      </text>
    </comment>
    <comment ref="D101" authorId="12" shapeId="0" xr:uid="{00000000-0006-0000-1600-00000D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Fiscal Year Table row 116</t>
      </text>
    </comment>
    <comment ref="D102" authorId="13" shapeId="0" xr:uid="{00000000-0006-0000-1600-00000E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Fiscal Year Table row 110</t>
      </text>
    </comment>
    <comment ref="D123" authorId="14" shapeId="0" xr:uid="{00000000-0006-0000-1600-00000F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Quarterly Table, row 96</t>
      </text>
    </comment>
    <comment ref="D124" authorId="15" shapeId="0" xr:uid="{00000000-0006-0000-1600-000010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quarterly tables, row 98</t>
      </text>
    </comment>
    <comment ref="D125" authorId="16" shapeId="0" xr:uid="{00000000-0006-0000-1600-000011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quarterly table, row 116</t>
      </text>
    </comment>
    <comment ref="D126" authorId="17" shapeId="0" xr:uid="{00000000-0006-0000-1600-000012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quarterly table row 112</t>
      </text>
    </comment>
    <comment ref="U149" authorId="18" shapeId="0" xr:uid="{00000000-0006-0000-1600-000013000000}">
      <text>
        <t>[Threaded comment]
Your version of Excel allows you to read this threaded comment; however, any edits to it will get removed if the file is opened in a newer version of Excel. Learn more: https://go.microsoft.com/fwlink/?linkid=870924
Comment:
    I can't drag these over because of circular references.</t>
      </text>
    </comment>
    <comment ref="D173" authorId="19" shapeId="0" xr:uid="{00000000-0006-0000-1600-000014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96</t>
      </text>
    </comment>
    <comment ref="D175" authorId="20" shapeId="0" xr:uid="{00000000-0006-0000-1600-000015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98</t>
      </text>
    </comment>
    <comment ref="D177" authorId="21" shapeId="0" xr:uid="{00000000-0006-0000-1600-000016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116</t>
      </text>
    </comment>
    <comment ref="D179" authorId="22" shapeId="0" xr:uid="{00000000-0006-0000-1600-000017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112</t>
      </text>
    </comment>
    <comment ref="D185" authorId="23" shapeId="0" xr:uid="{00000000-0006-0000-1600-000018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96</t>
      </text>
    </comment>
    <comment ref="D187" authorId="24" shapeId="0" xr:uid="{00000000-0006-0000-1600-000019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98</t>
      </text>
    </comment>
    <comment ref="D189" authorId="25" shapeId="0" xr:uid="{00000000-0006-0000-1600-00001A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116</t>
      </text>
    </comment>
    <comment ref="D191" authorId="26" shapeId="0" xr:uid="{00000000-0006-0000-1600-00001B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112</t>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tc={932956EA-9A05-4B8D-ABE8-9A5A953CB2B6}</author>
  </authors>
  <commentList>
    <comment ref="B4" authorId="0" shapeId="0" xr:uid="{00000000-0006-0000-1D00-000001000000}">
      <text>
        <t>[Threaded comment]
Your version of Excel allows you to read this threaded comment; however, any edits to it will get removed if the file is opened in a newer version of Excel. Learn more: https://go.microsoft.com/fwlink/?linkid=870924
Comment:
    CRFB assumes 8% of forgivable loans will bee repaid, So they actually have $261 in their score</t>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tc={DC73AD49-B7D6-4667-A66E-8EE403D2E997}</author>
    <author>tc={DF115210-C3D9-4849-892E-0C642306D5B7}</author>
  </authors>
  <commentList>
    <comment ref="L5" authorId="0" shapeId="0" xr:uid="{00000000-0006-0000-1E00-000001000000}">
      <text>
        <t>[Threaded comment]
Your version of Excel allows you to read this threaded comment; however, any edits to it will get removed if the file is opened in a newer version of Excel. Learn more: https://go.microsoft.com/fwlink/?linkid=870924
Comment:
    BEA categorizes rental assistance as capital transfer payments. 203 was disbursed in 2021Q1; 100 of that was from the December legislation, 103 of that was from ARP.</t>
      </text>
    </comment>
    <comment ref="O5" authorId="1" shapeId="0" xr:uid="{00000000-0006-0000-1E00-000002000000}">
      <text>
        <t>[Threaded comment]
Your version of Excel allows you to read this threaded comment; however, any edits to it will get removed if the file is opened in a newer version of Excel. Learn more: https://go.microsoft.com/fwlink/?linkid=870924
Comment:
    We changed the CBO score to reflect that more money was going out in 2021 than anticipated as of July 2021</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tc={8BCD2D6E-E5B2-4670-B5B5-84790E4FF7D9}</author>
    <author>tc={D9A1C32B-382A-44CE-B60A-7CEFD093B9EC}</author>
    <author>tc={2738E40F-5E63-45A6-A7D0-04539F543CE4}</author>
    <author>tc={0473C0E7-DE2B-40B0-BF4F-7A2570691114}</author>
    <author>tc={F0491475-4A43-40D1-AD53-54816BF84468}</author>
    <author>tc={09D713F4-49EF-4073-923F-9EC26FE84282}</author>
  </authors>
  <commentList>
    <comment ref="W19" authorId="0" shapeId="0" xr:uid="{8BCD2D6E-E5B2-4670-B5B5-84790E4FF7D9}">
      <text>
        <t>[Threaded comment]
Your version of Excel allows you to read this threaded comment; however, any edits to it will get removed if the file is opened in a newer version of Excel. Learn more: https://go.microsoft.com/fwlink/?linkid=870924
Comment:
    We've hard coded these in as zeros. Do we want to keep that?</t>
      </text>
    </comment>
    <comment ref="B22" authorId="1" shapeId="0" xr:uid="{D9A1C32B-382A-44CE-B60A-7CEFD093B9EC}">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68
Reply:
    This is now Feb 2023 CBO Ten Year Economic Projections, Quarterly Table, Row 68, from 2023 Q1 onwards</t>
      </text>
    </comment>
    <comment ref="S23" authorId="2" shapeId="0" xr:uid="{2738E40F-5E63-45A6-A7D0-04539F543CE4}">
      <text>
        <t>[Threaded comment]
Your version of Excel allows you to read this threaded comment; however, any edits to it will get removed if the file is opened in a newer version of Excel. Learn more: https://go.microsoft.com/fwlink/?linkid=870924
Comment:
    Cannot pull forward -- make sure to update the formula from the monthly ur from BLS below</t>
      </text>
    </comment>
    <comment ref="W38" authorId="3" shapeId="0" xr:uid="{0473C0E7-DE2B-40B0-BF4F-7A2570691114}">
      <text>
        <t>[Threaded comment]
Your version of Excel allows you to read this threaded comment; however, any edits to it will get removed if the file is opened in a newer version of Excel. Learn more: https://go.microsoft.com/fwlink/?linkid=870924
Comment:
    We've hard coded these in as zeros. Do we want to keep that?</t>
      </text>
    </comment>
    <comment ref="B41" authorId="4" shapeId="0" xr:uid="{F0491475-4A43-40D1-AD53-54816BF84468}">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68
Reply:
    This is now Feb 2023 CBO Ten Year Economic Projections, Quarterly Table, Row 68, from 2023 Q1 onwards</t>
      </text>
    </comment>
    <comment ref="S42" authorId="5" shapeId="0" xr:uid="{09D713F4-49EF-4073-923F-9EC26FE84282}">
      <text>
        <t>[Threaded comment]
Your version of Excel allows you to read this threaded comment; however, any edits to it will get removed if the file is opened in a newer version of Excel. Learn more: https://go.microsoft.com/fwlink/?linkid=870924
Comment:
    Cannot pull forward -- make sure to update the formula from the monthly ur from BLS below</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tc={D946413E-762D-4FFC-9209-11EBCBD51016}</author>
    <author>tc={E1041433-BA01-41BE-A250-949526A70696}</author>
    <author>tc={094D651B-B0D2-4E5E-BE0F-3F7EDDB28A27}</author>
  </authors>
  <commentList>
    <comment ref="W19" authorId="0" shapeId="0" xr:uid="{00000000-0006-0000-0E00-000001000000}">
      <text>
        <t>[Threaded comment]
Your version of Excel allows you to read this threaded comment; however, any edits to it will get removed if the file is opened in a newer version of Excel. Learn more: https://go.microsoft.com/fwlink/?linkid=870924
Comment:
    We've hard coded these in as zeros. Do we want to keep that?</t>
      </text>
    </comment>
    <comment ref="B22" authorId="1" shapeId="0" xr:uid="{00000000-0006-0000-0E00-000002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68
Reply:
    This is now Feb 2023 CBO Ten Year Economic Projections, Quarterly Table, Row 68, from 2023 Q1 onwards</t>
      </text>
    </comment>
    <comment ref="S23" authorId="2" shapeId="0" xr:uid="{00000000-0006-0000-0E00-000003000000}">
      <text>
        <t>[Threaded comment]
Your version of Excel allows you to read this threaded comment; however, any edits to it will get removed if the file is opened in a newer version of Excel. Learn more: https://go.microsoft.com/fwlink/?linkid=870924
Comment:
    Cannot pull forward -- make sure to update the formula from the monthly ur from BLS below</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tc={F234B5B6-B19D-4AC0-9DB4-A48A2D200CCC}</author>
    <author>tc={8D2135C1-1504-4F9B-942F-01E6B6321912}</author>
    <author>tc={52B73EBC-59DE-4AFE-A4BC-5DCFD4E527B4}</author>
    <author>tc={BB2BD600-D27D-45BD-8287-F361E12EE9C4}</author>
    <author>tc={EC883E67-97AD-460D-B658-F12FDD429342}</author>
    <author>tc={57CD4897-BB4E-42F1-89BB-E63A5874F81B}</author>
    <author>tc={9D68663E-7375-4798-AF31-C3B40AF84CDB}</author>
    <author>tc={4D719FE1-A97C-46FC-9D71-7ECFBB4F6D87}</author>
    <author>tc={FB35C3A5-FAF0-40A0-A59C-2A2E105BE996}</author>
    <author>tc={E702D61C-4760-4164-BD3F-5AB302CA98ED}</author>
    <author>tc={776019CE-8128-450F-A25E-EF6C5707CFC6}</author>
    <author>tc={EF6EC7A7-A475-49DC-B77E-29BB35266C5E}</author>
  </authors>
  <commentList>
    <comment ref="J12" authorId="0" shapeId="0" xr:uid="{00000000-0006-0000-0F00-000001000000}">
      <text>
        <t>[Threaded comment]
Your version of Excel allows you to read this threaded comment; however, any edits to it will get removed if the file is opened in a newer version of Excel. Learn more: https://go.microsoft.com/fwlink/?linkid=870924
Comment:
    This series is continued in row 19, "Coronavirus Fiscal Recovery Fund." It is not a mistake that there are blanks here!!</t>
      </text>
    </comment>
    <comment ref="U13" authorId="1" shapeId="0" xr:uid="{8D2135C1-1504-4F9B-942F-01E6B6321912}">
      <text>
        <t>[Threaded comment]
Your version of Excel allows you to read this threaded comment; however, any edits to it will get removed if the file is opened in a newer version of Excel. Learn more: https://go.microsoft.com/fwlink/?linkid=870924
Comment:
    Despite the fact that BEA has stopped reporting this as a separate line item, we've decided to still include it in our calculations because we believe that our assumptions about the ESF diminishing are close to the truth.</t>
      </text>
    </comment>
    <comment ref="S60" authorId="2" shapeId="0" xr:uid="{00000000-0006-0000-0F00-000003000000}">
      <text>
        <t>[Threaded comment]
Your version of Excel allows you to read this threaded comment; however, any edits to it will get removed if the file is opened in a newer version of Excel. Learn more: https://go.microsoft.com/fwlink/?linkid=870924
Comment:
    Add factor to match data</t>
      </text>
    </comment>
    <comment ref="C88" authorId="3" shapeId="0" xr:uid="{00000000-0006-0000-0F00-000004000000}">
      <text>
        <t>[Threaded comment]
Your version of Excel allows you to read this threaded comment; however, any edits to it will get removed if the file is opened in a newer version of Excel. Learn more: https://go.microsoft.com/fwlink/?linkid=870924
Comment:
    https://www.cbo.gov/system/files/2020-04/hr748.pdf</t>
      </text>
    </comment>
    <comment ref="C89" authorId="4" shapeId="0" xr:uid="{00000000-0006-0000-0F00-000005000000}">
      <text>
        <t>[Threaded comment]
Your version of Excel allows you to read this threaded comment; however, any edits to it will get removed if the file is opened in a newer version of Excel. Learn more: https://go.microsoft.com/fwlink/?linkid=870924
Comment:
    The total Education Stabilization Fund is 30 billion; we lower by 8 billion to account for parts of the fund that go to private universities (which we wouldn't classify as a grant to state and local governments).</t>
      </text>
    </comment>
    <comment ref="C90" authorId="5" shapeId="0" xr:uid="{00000000-0006-0000-0F00-000006000000}">
      <text>
        <t>[Threaded comment]
Your version of Excel allows you to read this threaded comment; however, any edits to it will get removed if the file is opened in a newer version of Excel. Learn more: https://go.microsoft.com/fwlink/?linkid=870924
Comment:
    Total provider relief fund is 100, but we assume that 27% is in the form of grants based on the BEA data that came in.</t>
      </text>
    </comment>
    <comment ref="B114" authorId="6" shapeId="0" xr:uid="{00000000-0006-0000-0F00-000007000000}">
      <text>
        <t>[Threaded comment]
Your version of Excel allows you to read this threaded comment; however, any edits to it will get removed if the file is opened in a newer version of Excel. Learn more: https://go.microsoft.com/fwlink/?linkid=870924
Comment:
    This is a policy update since May 2022 CBO update, but the Grants number was not updated by CBO. So do we delete this line or is it still included?</t>
      </text>
    </comment>
    <comment ref="J116" authorId="7" shapeId="0" xr:uid="{00000000-0006-0000-0F00-000008000000}">
      <text>
        <t>[Threaded comment]
Your version of Excel allows you to read this threaded comment; however, any edits to it will get removed if the file is opened in a newer version of Excel. Learn more: https://go.microsoft.com/fwlink/?linkid=870924
Comment:
    Using data -- not a different spending pattern</t>
      </text>
    </comment>
    <comment ref="B127" authorId="8" shapeId="0" xr:uid="{FB35C3A5-FAF0-40A0-A59C-2A2E105BE996}">
      <text>
        <t>[Threaded comment]
Your version of Excel allows you to read this threaded comment; however, any edits to it will get removed if the file is opened in a newer version of Excel. Learn more: https://go.microsoft.com/fwlink/?linkid=870924
Comment:
    This is a policy update since May 2022 CBO update, but the Grants number was not updated by CBO. So do we delete this line or is it still included?</t>
      </text>
    </comment>
    <comment ref="R140" authorId="9" shapeId="0" xr:uid="{00000000-0006-0000-0F00-000009000000}">
      <text>
        <t>[Threaded comment]
Your version of Excel allows you to read this threaded comment; however, any edits to it will get removed if the file is opened in a newer version of Excel. Learn more: https://go.microsoft.com/fwlink/?linkid=870924
Comment:
    Using previous forecast because of reallocation by the BEA</t>
      </text>
    </comment>
    <comment ref="S140" authorId="10" shapeId="0" xr:uid="{00000000-0006-0000-0F00-00000A000000}">
      <text>
        <t>[Threaded comment]
Your version of Excel allows you to read this threaded comment; however, any edits to it will get removed if the file is opened in a newer version of Excel. Learn more: https://go.microsoft.com/fwlink/?linkid=870924
Comment:
    Don't pull again</t>
      </text>
    </comment>
    <comment ref="B141" authorId="11" shapeId="0" xr:uid="{00000000-0006-0000-0F00-00000B000000}">
      <text>
        <t>[Threaded comment]
Your version of Excel allows you to read this threaded comment; however, any edits to it will get removed if the file is opened in a newer version of Excel. Learn more: https://go.microsoft.com/fwlink/?linkid=870924
Comment:
    Similar question to row 85</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tc={976B723C-4211-4969-882A-4B89C4902055}</author>
    <author>tc={02F35ABE-CA0E-4752-B4BE-50C4C795E703}</author>
    <author>tc={3D5BBFAC-4E76-4F2A-B34F-264D54111B07}</author>
    <author>tc={83D811F6-0D96-4C08-95F4-56B25068EEA9}</author>
  </authors>
  <commentList>
    <comment ref="B9" authorId="0" shapeId="0" xr:uid="{00000000-0006-0000-1000-000001000000}">
      <text>
        <t>[Threaded comment]
Your version of Excel allows you to read this threaded comment; however, any edits to it will get removed if the file is opened in a newer version of Excel. Learn more: https://go.microsoft.com/fwlink/?linkid=870924
Comment:
    May 2022 CBO economic projections row 127 quarterly table
Reply:
    This is now February 2023 CBO economic projections row 127 quarterly table</t>
      </text>
    </comment>
    <comment ref="B10" authorId="1" shapeId="0" xr:uid="{00000000-0006-0000-1000-000002000000}">
      <text>
        <t>[Threaded comment]
Your version of Excel allows you to read this threaded comment; however, any edits to it will get removed if the file is opened in a newer version of Excel. Learn more: https://go.microsoft.com/fwlink/?linkid=870924
Comment:
    May 2022 CBO economic projections row 128 quarterly table
Reply:
    This is now February 2023 CBO economic projections row 128 quarterly table</t>
      </text>
    </comment>
    <comment ref="B37" authorId="2" shapeId="0" xr:uid="{00000000-0006-0000-1000-000003000000}">
      <text>
        <t>[Threaded comment]
Your version of Excel allows you to read this threaded comment; however, any edits to it will get removed if the file is opened in a newer version of Excel. Learn more: https://go.microsoft.com/fwlink/?linkid=870924
Comment:
    May 2022 CBO economic projections row 129 quarterly table
Reply:
    This is now February 2023 CBO economic projections row 129 quarterly table</t>
      </text>
    </comment>
    <comment ref="U38" authorId="3" shapeId="0" xr:uid="{00000000-0006-0000-1000-000004000000}">
      <text>
        <t>[Threaded comment]
Your version of Excel allows you to read this threaded comment; however, any edits to it will get removed if the file is opened in a newer version of Excel. Learn more: https://go.microsoft.com/fwlink/?linkid=870924
Comment:
    Is something wrong here? Why is it -100?</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tc={3E7AAE05-9E76-4CF3-873B-76FF197F21FE}</author>
    <author>tc={7767431F-C6C3-4B53-95B9-8445F0C48EAA}</author>
    <author>tc={B5E978D5-CE65-4AE2-8DD7-1EF95BA9E399}</author>
    <author>tc={DB908DB8-ED36-4713-AE3C-B9DFD0F93D1E}</author>
    <author>tc={531C2B30-B748-4992-BA59-32A200D8CA7B}</author>
    <author>tc={02CD4DDF-2C52-45CC-A7C0-F81AC2D1A26A}</author>
    <author>tc={7010EE95-CECC-419E-AEDA-DD810575C98C}</author>
  </authors>
  <commentList>
    <comment ref="R19" authorId="0" shapeId="0" xr:uid="{00000000-0006-0000-1100-000001000000}">
      <text>
        <t>[Threaded comment]
Your version of Excel allows you to read this threaded comment; however, any edits to it will get removed if the file is opened in a newer version of Excel. Learn more: https://go.microsoft.com/fwlink/?linkid=870924
Comment:
    We had these coming in at 21 and 6 respectively</t>
      </text>
    </comment>
    <comment ref="U20" authorId="1" shapeId="0" xr:uid="{00000000-0006-0000-1100-000002000000}">
      <text>
        <t>[Threaded comment]
Your version of Excel allows you to read this threaded comment; however, any edits to it will get removed if the file is opened in a newer version of Excel. Learn more: https://go.microsoft.com/fwlink/?linkid=870924
Comment:
    Hard coded to account for higher data. Rest of forecast formulas maintained.
Reply:
    Didn't drag over b/c hard coded</t>
      </text>
    </comment>
    <comment ref="R22" authorId="2" shapeId="0" xr:uid="{00000000-0006-0000-1100-000003000000}">
      <text>
        <t>[Threaded comment]
Your version of Excel allows you to read this threaded comment; however, any edits to it will get removed if the file is opened in a newer version of Excel. Learn more: https://go.microsoft.com/fwlink/?linkid=870924
Comment:
    There was no total amount authorized for this program, and the SBA has stopped accepting applications as of January 2022.
https://www.sba.gov/funding-programs/loans/covid-19-relief-options/covid-19-economic-injury-disaster-loan/about-targeted-eidl-advance-supplemental-targeted-advance</t>
      </text>
    </comment>
    <comment ref="P25" authorId="3" shapeId="0" xr:uid="{00000000-0006-0000-1100-000004000000}">
      <text>
        <t>[Threaded comment]
Your version of Excel allows you to read this threaded comment; however, any edits to it will get removed if the file is opened in a newer version of Excel. Learn more: https://go.microsoft.com/fwlink/?linkid=870924
Comment:
    This is used to keep line 12 (non-leg subsidies) at a consistent level</t>
      </text>
    </comment>
    <comment ref="B26" authorId="4" shapeId="0" xr:uid="{00000000-0006-0000-1100-000005000000}">
      <text>
        <t>[Threaded comment]
Your version of Excel allows you to read this threaded comment; however, any edits to it will get removed if the file is opened in a newer version of Excel. Learn more: https://go.microsoft.com/fwlink/?linkid=870924
Comment:
    This row and the next are policy lines since the May 2022 CBO update, but we don't get a CBO line for Total Federal Subsidies. So do we delete these rows?</t>
      </text>
    </comment>
    <comment ref="R45" authorId="5" shapeId="0" xr:uid="{00000000-0006-0000-1100-000006000000}">
      <text>
        <t>[Threaded comment]
Your version of Excel allows you to read this threaded comment; however, any edits to it will get removed if the file is opened in a newer version of Excel. Learn more: https://go.microsoft.com/fwlink/?linkid=870924
Comment:
    Flag because ARP subsidies come in 100 lower based on ARP score, non-ARP subsidies now much higher going forward.</t>
      </text>
    </comment>
    <comment ref="S46" authorId="6" shapeId="0" xr:uid="{00000000-0006-0000-1100-000007000000}">
      <text>
        <t>[Threaded comment]
Your version of Excel allows you to read this threaded comment; however, any edits to it will get removed if the file is opened in a newer version of Excel. Learn more: https://go.microsoft.com/fwlink/?linkid=870924
Comment:
    Should we forecast a negative number for this item?</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tc={6F7D0E44-45B2-4003-8249-3888890A6B9B}</author>
    <author>tc={D4EE9B6B-23C3-4504-A8C7-B8A1C3F6D675}</author>
    <author>tc={C3958D6E-5D0B-4757-8548-DC4AB51469BE}</author>
  </authors>
  <commentList>
    <comment ref="V12" authorId="0" shapeId="0" xr:uid="{00000000-0006-0000-1200-000001000000}">
      <text>
        <t>[Threaded comment]
Your version of Excel allows you to read this threaded comment; however, any edits to it will get removed if the file is opened in a newer version of Excel. Learn more: https://go.microsoft.com/fwlink/?linkid=870924
Comment:
    End of public health emergency,  April 2023, so FMAP share goes down.</t>
      </text>
    </comment>
    <comment ref="V16" authorId="1" shapeId="0" xr:uid="{D4EE9B6B-23C3-4504-A8C7-B8A1C3F6D675}">
      <text>
        <t>[Threaded comment]
Your version of Excel allows you to read this threaded comment; however, any edits to it will get removed if the file is opened in a newer version of Excel. Learn more: https://go.microsoft.com/fwlink/?linkid=870924
Comment:
    End of public health emergency,  April 2023, so FMAP share goes down.</t>
      </text>
    </comment>
    <comment ref="B17" authorId="2" shapeId="0" xr:uid="{00000000-0006-0000-1200-000004000000}">
      <text>
        <t>[Threaded comment]
Your version of Excel allows you to read this threaded comment; however, any edits to it will get removed if the file is opened in a newer version of Excel. Learn more: https://go.microsoft.com/fwlink/?linkid=870924
Comment:
    May 2022 CBO 10-year budget projections Table 3-2 Mandatory Outlays Projected in CBO's baseline, adjusted to exclude effects of timing shifts, Row 18
Reply:
    This is now February 2023 CBO 10-year budget projections table 1-4 Mandatory Outlays Adjusted to Exclude the Effect of Timing Shifts, row 15, starting from 2022</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tc={FBCF6AFF-3308-4DB2-931F-AB1BC267CB41}</author>
  </authors>
  <commentList>
    <comment ref="B18" authorId="0" shapeId="0" xr:uid="{00000000-0006-0000-1300-000001000000}">
      <text>
        <t>[Threaded comment]
Your version of Excel allows you to read this threaded comment; however, any edits to it will get removed if the file is opened in a newer version of Excel. Learn more: https://go.microsoft.com/fwlink/?linkid=870924
Comment:
    May 2022 CBO 10-year budget projections Table 3-2 Mandatory Outlays Projected in CBO's baseline, adjusted to exclude effects of timing shifts, Row 17
Reply:
    This is now February 2023 10-year budget projections table 1-4 Mandatory Outlays adjusted to exclude effect of timing shifts, row 14, from 2022</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tc={36E0E18E-822C-4DD6-8410-5E4C883D1836}</author>
    <author>tc={3012ED06-42B4-440E-92A9-D4BCE51A80AC}</author>
    <author>tc={581A763D-69E7-4316-A641-33877C6ED334}</author>
    <author>tc={88370A64-FBDF-4CF1-9910-136364F7D354}</author>
    <author>tc={9CD67460-E1CB-4B53-9C37-E18E4A204770}</author>
    <author>tc={A31EA57F-7996-44C1-AB78-CC91DB6F6574}</author>
    <author>tc={8624CBF8-0C25-4544-B55E-7210BBE07E41}</author>
    <author>tc={B38BAE8E-DF30-49E2-9F96-90A1041E4DF0}</author>
    <author>tc={96427D88-0329-491C-A939-11D66B55F1C3}</author>
    <author>tc={8AABB420-F73D-4E8A-8DF7-F245078D4E11}</author>
    <author>tc={41707468-7438-4BC6-B704-F002DDD23F47}</author>
    <author>tc={768266C3-5F6F-4B4B-A0F2-5FE77F7C9D9D}</author>
    <author>tc={CEF813AA-D4CC-411F-B865-86A64AC5EEB6}</author>
    <author>tc={DDFF41A6-D6EC-4A60-A3F9-0AF92DDF8C11}</author>
    <author>tc={6AF7CFB2-704D-4104-831C-CFDBBA2AEEEB}</author>
  </authors>
  <commentList>
    <comment ref="V12" authorId="0" shapeId="0" xr:uid="{00000000-0006-0000-1500-000001000000}">
      <text>
        <t>[Threaded comment]
Your version of Excel allows you to read this threaded comment; however, any edits to it will get removed if the file is opened in a newer version of Excel. Learn more: https://go.microsoft.com/fwlink/?linkid=870924
Comment:
    Why are the projected #s so different from the historical #s?</t>
      </text>
    </comment>
    <comment ref="T17" authorId="1" shapeId="0" xr:uid="{00000000-0006-0000-1500-000002000000}">
      <text>
        <t>[Threaded comment]
Your version of Excel allows you to read this threaded comment; however, any edits to it will get removed if the file is opened in a newer version of Excel. Learn more: https://go.microsoft.com/fwlink/?linkid=870924
Comment:
    Hard coded, formulas otherwise maintained.</t>
      </text>
    </comment>
    <comment ref="S21" authorId="2" shapeId="0" xr:uid="{00000000-0006-0000-1500-000003000000}">
      <text>
        <t>[Threaded comment]
Your version of Excel allows you to read this threaded comment; however, any edits to it will get removed if the file is opened in a newer version of Excel. Learn more: https://go.microsoft.com/fwlink/?linkid=870924
Comment:
    This didn't get automatically pulled in by Haver. Run Haver pull tomorrow.</t>
      </text>
    </comment>
    <comment ref="S24" authorId="3" shapeId="0" xr:uid="{00000000-0006-0000-1500-000004000000}">
      <text>
        <t>[Threaded comment]
Your version of Excel allows you to read this threaded comment; however, any edits to it will get removed if the file is opened in a newer version of Excel. Learn more: https://go.microsoft.com/fwlink/?linkid=870924
Comment:
    Another prediction ARP will crash. Do we still want this?</t>
      </text>
    </comment>
    <comment ref="B26" authorId="4" shapeId="0" xr:uid="{00000000-0006-0000-1500-000005000000}">
      <text>
        <t>[Threaded comment]
Your version of Excel allows you to read this threaded comment; however, any edits to it will get removed if the file is opened in a newer version of Excel. Learn more: https://go.microsoft.com/fwlink/?linkid=870924
Comment:
    Same issue as previous--we have policies but they don't feed into anything we get from the CBO. So what do we do?</t>
      </text>
    </comment>
    <comment ref="B51" authorId="5" shapeId="0" xr:uid="{A31EA57F-7996-44C1-AB78-CC91DB6F6574}">
      <text>
        <t>[Threaded comment]
Your version of Excel allows you to read this threaded comment; however, any edits to it will get removed if the file is opened in a newer version of Excel. Learn more: https://go.microsoft.com/fwlink/?linkid=870924
Comment:
    Same issue as previous--we have policies but they don't feed into anything we get from the CBO. So what do we do?</t>
      </text>
    </comment>
    <comment ref="J84" authorId="6" shapeId="0" xr:uid="{00000000-0006-0000-1500-000006000000}">
      <text>
        <t>[Threaded comment]
Your version of Excel allows you to read this threaded comment; however, any edits to it will get removed if the file is opened in a newer version of Excel. Learn more: https://go.microsoft.com/fwlink/?linkid=870924
Comment:
    Formula changes to grow by counterfactual pre-covid growth rate</t>
      </text>
    </comment>
    <comment ref="M84" authorId="7" shapeId="0" xr:uid="{00000000-0006-0000-1500-000007000000}">
      <text>
        <t>[Threaded comment]
Your version of Excel allows you to read this threaded comment; however, any edits to it will get removed if the file is opened in a newer version of Excel. Learn more: https://go.microsoft.com/fwlink/?linkid=870924
Comment:
    Accounting for step up in social security
Reply:
    every Q1</t>
      </text>
    </comment>
    <comment ref="U84" authorId="8" shapeId="0" xr:uid="{00000000-0006-0000-1500-000008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Y84" authorId="9" shapeId="0" xr:uid="{00000000-0006-0000-1500-000009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AC84" authorId="10" shapeId="0" xr:uid="{00000000-0006-0000-1500-00000A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U97" authorId="11" shapeId="0" xr:uid="{768266C3-5F6F-4B4B-A0F2-5FE77F7C9D9D}">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Y97" authorId="12" shapeId="0" xr:uid="{CEF813AA-D4CC-411F-B865-86A64AC5EEB6}">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AC97" authorId="13" shapeId="0" xr:uid="{DDFF41A6-D6EC-4A60-A3F9-0AF92DDF8C11}">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B109" authorId="14" shapeId="0" xr:uid="{00000000-0006-0000-1500-00000B000000}">
      <text>
        <t>[Threaded comment]
Your version of Excel allows you to read this threaded comment; however, any edits to it will get removed if the file is opened in a newer version of Excel. Learn more: https://go.microsoft.com/fwlink/?linkid=870924
Comment:
    CBO Feb 2023 budget projections table 1-4, social security subtotal</t>
      </text>
    </comment>
  </commentList>
</comments>
</file>

<file path=xl/sharedStrings.xml><?xml version="1.0" encoding="utf-8"?>
<sst xmlns="http://schemas.openxmlformats.org/spreadsheetml/2006/main" count="4752" uniqueCount="2245">
  <si>
    <t>Guide to the FIM Forecast Spreadsheet</t>
  </si>
  <si>
    <t>Sheets:</t>
  </si>
  <si>
    <t>Checklist (New Quarter Release)</t>
  </si>
  <si>
    <t>Checklist of steps to follow when the BEA releases its advance estimate of a new quarter's data</t>
  </si>
  <si>
    <t>Checklist (Monthly Revision)</t>
  </si>
  <si>
    <t>Checklist of steps to follow for BEA's two revisions of a quarter's data</t>
  </si>
  <si>
    <t>Checklist (CBO Budget Release)</t>
  </si>
  <si>
    <t>Checklist of steps to follow when the CBO releases a new Ten-Year Economic and Budget Projections</t>
  </si>
  <si>
    <t>Revisions</t>
  </si>
  <si>
    <t>Forecast Comparison</t>
  </si>
  <si>
    <t>This sheet shows how our forecast has changed since the last update.</t>
  </si>
  <si>
    <t>Monthly BEA Personal Income data we use to help us forecast the upcoming quarter of data before BEA's advance estimate comes out.</t>
  </si>
  <si>
    <t>Forecast</t>
  </si>
  <si>
    <t>Historical Overrides</t>
  </si>
  <si>
    <t>Calls from the Grants forecast sheet. We override BEA data for 2020 consumption grants because BEA puts it all in the first quarter; we spread it out over four. This also is read into the code.</t>
  </si>
  <si>
    <t>MPC</t>
  </si>
  <si>
    <t>MPCs for the spending out of our forecast variables, where applicable. We edit them here and the sheet is read into the code.</t>
  </si>
  <si>
    <t>Haver Pivoted</t>
  </si>
  <si>
    <t>Cares Act Scores</t>
  </si>
  <si>
    <t>This is the CBO ten-year score for three pieces of Covid legislation not incorporated in CBO's March 2020 baseline. It's mainly CARES. Generally you won't touch this.</t>
  </si>
  <si>
    <t>Response and Relief Act Score</t>
  </si>
  <si>
    <t>This is the CFRB's ten-year score of the Response and Relief Act from December 2020; in this sheet we group the score into our FIM categories. Generally you won't touch this.</t>
  </si>
  <si>
    <t>ARP Score</t>
  </si>
  <si>
    <t>CBO's ten-year score of the ARP; annual spending and revenues by fiscal year. Generally you won't touch this without Louise.</t>
  </si>
  <si>
    <t>ARP Timing</t>
  </si>
  <si>
    <t>ARP Quarterly</t>
  </si>
  <si>
    <t xml:space="preserve">Deflators </t>
  </si>
  <si>
    <t>The deflators we use, for reference. Similar to the MPC sheet I think we should either delete or edit for the whole FIM in here.</t>
  </si>
  <si>
    <t xml:space="preserve">Conventions (please stick to these when editing the sheet to keep things organized) </t>
  </si>
  <si>
    <t>Italicized rows in the forecast spreadsheets are called by "forecast" and read into the code; they are the "final output" of each sheet.</t>
  </si>
  <si>
    <t xml:space="preserve">NEVER drag forward a formula without checking how the row's formulas work-- at the moment, sometimes they change within a row. </t>
  </si>
  <si>
    <t xml:space="preserve">Any rows with haver codes next to the variable call from Haver Pivoted in the historical period. </t>
  </si>
  <si>
    <t>Year-quarters in all the main tables of the forecast sheets are in the same columns across sheets (i.e. 2021 Q2 is in column N across sheets for the main forecast tables).</t>
  </si>
  <si>
    <t>Checklist</t>
  </si>
  <si>
    <t xml:space="preserve">Methodology </t>
  </si>
  <si>
    <t>How to execute</t>
  </si>
  <si>
    <t xml:space="preserve">Done? </t>
  </si>
  <si>
    <t>Setting up</t>
  </si>
  <si>
    <t>This sheet we only use for monthly revisions, and not for a new quarter release. However we do need to update what quarter in Haver Pivoted is called in the "Current Update" column.</t>
  </si>
  <si>
    <t xml:space="preserve">Clear contents in the Last Update column. Change the formula in the first cell that calls Haver Pivoted in the Current Update column to call from one column over in Haver Pivoted (this is where the next quarter's data will be when we read in the new data). Drag the changed formula down the whole column. Don't worry about DIV0 or REF errors, everything will fill in when Haver Pivoted is updated. </t>
  </si>
  <si>
    <t>This sheet shows us how much our forecast (what is read into the code) has changed since the last update, in level and percent differences.</t>
  </si>
  <si>
    <t>Copy past the forecast table from the most recent update (Past Values Only) into the "Previous Forecast" table.</t>
  </si>
  <si>
    <t>Read the BEA news release for the new quarter</t>
  </si>
  <si>
    <t>The BEA's news release can be really helpful for broadly understanding the BEA's released data for the new quarter, which affects the assumptions we make about the components of the FIM. The technical note is the most useful for detailed information. You'll want to take note of GDP growth, as well as any  large components that they note. Sometimes the BEA tables can be useful for finding specific values too.</t>
  </si>
  <si>
    <t>https://www.bea.gov/news/current-releases</t>
  </si>
  <si>
    <t>Pulling in the new data from Haver</t>
  </si>
  <si>
    <t>We pull in the latest historical BEA data by running a script to replace the data in Haver Pivoted. This will autofill the spreadsheets where we make our forecast assumptions with the new BEA data. This will also autofill the "Current Update" column in Revisions.</t>
  </si>
  <si>
    <t>Monthly Personal Income Sheet</t>
  </si>
  <si>
    <t xml:space="preserve">Before the BEA releases data on a quarter, we can use their monthly estimates of "Effects of Selected Federal Pandemic Response Programs on Personal Income" to inform our assumptions about the quarter. </t>
  </si>
  <si>
    <t>Provider Relief</t>
  </si>
  <si>
    <t>PPP</t>
  </si>
  <si>
    <t>Grants</t>
  </si>
  <si>
    <t>Subsidies</t>
  </si>
  <si>
    <t>Unemployment Insurance</t>
  </si>
  <si>
    <t>Medicaid</t>
  </si>
  <si>
    <t>Medicare</t>
  </si>
  <si>
    <t>Rebate Checks</t>
  </si>
  <si>
    <t>Social Benefits</t>
  </si>
  <si>
    <t>Taxes</t>
  </si>
  <si>
    <t>Calculating contributions</t>
  </si>
  <si>
    <t>Calculating the FIM</t>
  </si>
  <si>
    <t>Generating comparison tables between the previous and new FIMs</t>
  </si>
  <si>
    <t>Publishing the FIM</t>
  </si>
  <si>
    <t>Drafting the text</t>
  </si>
  <si>
    <t>Former write ups can be found in Hutchins Center Documents/Projects/Fiscal Impact/Write Ups</t>
  </si>
  <si>
    <t>Fact checking</t>
  </si>
  <si>
    <t xml:space="preserve">A different RA should go through the text of the write up and confirm every number/statement using the FIM output files and graphics. </t>
  </si>
  <si>
    <t xml:space="preserve">The fim-interactive-month-year.xlsx file and fim-month-year.xlsx files are a good place to look (make sure they are the most up to date version!) and also look at the FIM interactive graphic that we are posting to ensure that our write up is consistent with it. </t>
  </si>
  <si>
    <t>Wordpress</t>
  </si>
  <si>
    <t xml:space="preserve">The FIM interactive and write up is posted on the Brookings website through Wordpress. </t>
  </si>
  <si>
    <t>Newsletter</t>
  </si>
  <si>
    <t xml:space="preserve">We send out a newsletter alerting people that the FIM is updated. This gets updated in Hubspot. We typically use a shorter version of the full write up that's posted on the website for this. </t>
  </si>
  <si>
    <t xml:space="preserve">Typically an RA will make the initial cut and then run it by David and Stephanie. Ask an RA or someone from Comms to onboard you for using Hubspot if you haven't already. We don't send the email ourselves-- first email a test email to Taylor Kelly from Comms, and once it's approved and edited, Comms will send it out for us. </t>
  </si>
  <si>
    <t>Read the BEA news release for the revision</t>
  </si>
  <si>
    <t>The BEA's news release can be really helpful for broadly understanding what data has changed between revisions and why, which affects the assumptions we make about the components of the FIM. The technical note is the most useful for detailed information. You'll want to take note of GDP growth, as well as any relevant explanations for revisions. In a new quarter this will be more extensive. Sometimes the BEA tables can be useful for finding specific values too.</t>
  </si>
  <si>
    <t>Revisions Sheet</t>
  </si>
  <si>
    <t xml:space="preserve">This sheet provides a quick look at how the BEA revised the variables that we use to make our forecast, and where they are used. It is helpful to anticipate changes in our forecast where the data automatically updates, and to consider when we decide whether to change our forecast assumptions sheet by sheet. </t>
  </si>
  <si>
    <t>Look through the revisions sheet. Which variables have changed, and which sheets are they called by? What are the biggest changes? Anything surprising? Go over this with Louise, and take note of what has changed to adjust our forecast sheets accordingly.</t>
  </si>
  <si>
    <t xml:space="preserve">For a revision, we'll typically just edit the write up from the first release of quarterly data. </t>
  </si>
  <si>
    <t>Prepare the Forecast Comparison sheet</t>
  </si>
  <si>
    <t>Updating the spreadsheet</t>
  </si>
  <si>
    <t>Run the code</t>
  </si>
  <si>
    <t>Run fiscal_impact.R (the main FIM script). The output will incorporate both the CBO changes to the spreadsheet and the new inflation and GDP forecast.</t>
  </si>
  <si>
    <t>Run fiscal_impact.R</t>
  </si>
  <si>
    <t>Look at the comparison graphs</t>
  </si>
  <si>
    <t>Sheet Using</t>
  </si>
  <si>
    <t>Variable</t>
  </si>
  <si>
    <t>Haver Code</t>
  </si>
  <si>
    <t>Last Update</t>
  </si>
  <si>
    <t>Current Update</t>
  </si>
  <si>
    <t>Change</t>
  </si>
  <si>
    <t>GDP</t>
  </si>
  <si>
    <t>Real GDP</t>
  </si>
  <si>
    <t>GDP Deflator</t>
  </si>
  <si>
    <t>Consumption</t>
  </si>
  <si>
    <t>Real Consumption</t>
  </si>
  <si>
    <t>Consumption Deflator</t>
  </si>
  <si>
    <t>Federal Purchases Deflator</t>
  </si>
  <si>
    <t>State Purchases Deflator</t>
  </si>
  <si>
    <t>Consumption Grants Deflator</t>
  </si>
  <si>
    <t>Investment Grants Deflator</t>
  </si>
  <si>
    <t>Total Medicaid Spending</t>
  </si>
  <si>
    <t>Unemployment Insurance (NIPA Definition)</t>
  </si>
  <si>
    <t>Personal Payments</t>
  </si>
  <si>
    <t>Personal Taxes</t>
  </si>
  <si>
    <t>Production Taxes</t>
  </si>
  <si>
    <t>Corporate Taxes</t>
  </si>
  <si>
    <t>Government purchases</t>
  </si>
  <si>
    <t>Social Insurance Payment</t>
  </si>
  <si>
    <t>Purchases</t>
  </si>
  <si>
    <t>Federal Purchases (NIPA consistent)</t>
  </si>
  <si>
    <t>State Purchases (NIPA consistent)</t>
  </si>
  <si>
    <t>Real Federal Purchases</t>
  </si>
  <si>
    <t>Real State Purchases</t>
  </si>
  <si>
    <t>Federal Personal Income Taxes</t>
  </si>
  <si>
    <t>gfrpt</t>
  </si>
  <si>
    <t>Federal Production Taxes</t>
  </si>
  <si>
    <t>gfrpri</t>
  </si>
  <si>
    <t>Federal Corporate Income Taxes</t>
  </si>
  <si>
    <t>gfrcp</t>
  </si>
  <si>
    <t>Federal Social Insurance</t>
  </si>
  <si>
    <t>gfrs</t>
  </si>
  <si>
    <t xml:space="preserve">Social Benefits </t>
  </si>
  <si>
    <t>Federal Social Benefits</t>
  </si>
  <si>
    <t>Gross Consumption Grants (BEA includes Medicaid grants; we deal with them separately)</t>
  </si>
  <si>
    <t>State Personal Income Taxes</t>
  </si>
  <si>
    <t>State Production Taxes</t>
  </si>
  <si>
    <t>State Corporate Income Taxes</t>
  </si>
  <si>
    <t>State Social Insurance</t>
  </si>
  <si>
    <t>State Social Benefits</t>
  </si>
  <si>
    <t>State Expenditures</t>
  </si>
  <si>
    <t>Health Grants</t>
  </si>
  <si>
    <t>Grants, Medicaid</t>
  </si>
  <si>
    <t>Medicaid Grants</t>
  </si>
  <si>
    <t>Investment Grants</t>
  </si>
  <si>
    <t>Federal Subsidies</t>
  </si>
  <si>
    <t>State Subsidies</t>
  </si>
  <si>
    <t>Medicare Reimbursement Increase</t>
  </si>
  <si>
    <t>Paycheck Protection Program Loans to NPISH (Social Benefits)</t>
  </si>
  <si>
    <t>Provider Relief Fund to Nonprofits (NPISH) (Social Benefits)</t>
  </si>
  <si>
    <t>Subsidies, PPP</t>
  </si>
  <si>
    <t xml:space="preserve">Paycheck Protection Program loans to businesses </t>
  </si>
  <si>
    <t>Grants to air carriers</t>
  </si>
  <si>
    <t>Employee Retention Tax Credit</t>
  </si>
  <si>
    <t xml:space="preserve">Support for public transit agencies </t>
  </si>
  <si>
    <t>Coronavirus Food Assistance Program</t>
  </si>
  <si>
    <t>Subsidies, Provider Relief Fund</t>
  </si>
  <si>
    <t>Provider Relief Fund (Subsidies)</t>
  </si>
  <si>
    <t xml:space="preserve">Tax credits to fund paid sick leave </t>
  </si>
  <si>
    <t>Coronavirus Relief Fund</t>
  </si>
  <si>
    <t>Education Stabilization Fund</t>
  </si>
  <si>
    <t>Grants, Provider Relief</t>
  </si>
  <si>
    <t>Provider Relief Fund</t>
  </si>
  <si>
    <t>Pandemic Emergency Unemployment Compensation</t>
  </si>
  <si>
    <t>Pandemic Unemployment Assistance</t>
  </si>
  <si>
    <t>Pandemic Unemployment Compensation Payments</t>
  </si>
  <si>
    <t>UI Expansion</t>
  </si>
  <si>
    <t>Extended Unemployment Benefits (Federal Share)</t>
  </si>
  <si>
    <t>Lost wages supplemental payments (Federal)</t>
  </si>
  <si>
    <t>Capital Transfer Payments</t>
  </si>
  <si>
    <t>Total SNAP</t>
  </si>
  <si>
    <t>CPI</t>
  </si>
  <si>
    <t xml:space="preserve">Real Potential GDP </t>
  </si>
  <si>
    <t>Potential GDP</t>
  </si>
  <si>
    <t>Recession Shading</t>
  </si>
  <si>
    <t>State Purchases</t>
  </si>
  <si>
    <t>State government employment</t>
  </si>
  <si>
    <t>Local government employment</t>
  </si>
  <si>
    <t xml:space="preserve">Construction </t>
  </si>
  <si>
    <t>GDP Deflator Growth</t>
  </si>
  <si>
    <t>Consumption Deflator Growth</t>
  </si>
  <si>
    <t>Federal Purchases Deflator Growth</t>
  </si>
  <si>
    <t>State Purchases Deflator Growth</t>
  </si>
  <si>
    <t>Consumption Grants Deflator Growth</t>
  </si>
  <si>
    <t>Investment Grants Deflator Growth</t>
  </si>
  <si>
    <t>2024 Q3</t>
  </si>
  <si>
    <t>2024 Q4</t>
  </si>
  <si>
    <t>2025 Q1</t>
  </si>
  <si>
    <t>name</t>
  </si>
  <si>
    <t>variable</t>
  </si>
  <si>
    <t>2021 Q3</t>
  </si>
  <si>
    <t>2021 Q4</t>
  </si>
  <si>
    <t>2022 Q1</t>
  </si>
  <si>
    <t>2022 Q2</t>
  </si>
  <si>
    <t>2022 Q3</t>
  </si>
  <si>
    <t>2022 Q4</t>
  </si>
  <si>
    <t>2023 Q1</t>
  </si>
  <si>
    <t>2023 Q2</t>
  </si>
  <si>
    <t>2023 Q3</t>
  </si>
  <si>
    <t>2023 Q4</t>
  </si>
  <si>
    <t>2024 Q1</t>
  </si>
  <si>
    <t>2024 Q2</t>
  </si>
  <si>
    <t>Consumption Grants</t>
  </si>
  <si>
    <t>consumption_grants</t>
  </si>
  <si>
    <t>investment_grants</t>
  </si>
  <si>
    <t>Federal Purchases (NIPA Consistent)</t>
  </si>
  <si>
    <t>federal_purchases</t>
  </si>
  <si>
    <t>State Purchases (NIPA Consistent)</t>
  </si>
  <si>
    <t>state_purchases</t>
  </si>
  <si>
    <t>Non-ARP Subsidies + ARP Provider Relief and PPP</t>
  </si>
  <si>
    <t>federal_subsidies</t>
  </si>
  <si>
    <t>ARP Subsidies less Provider Relief and PPP</t>
  </si>
  <si>
    <t>federal_aid_to_small_businesses_arp</t>
  </si>
  <si>
    <t>Federal UI</t>
  </si>
  <si>
    <t>federal_ui</t>
  </si>
  <si>
    <t>State UI</t>
  </si>
  <si>
    <t>state_ui</t>
  </si>
  <si>
    <t>Federal Medicaid</t>
  </si>
  <si>
    <t>medicaid_grants</t>
  </si>
  <si>
    <t>Total Medicaid</t>
  </si>
  <si>
    <t>medicaid</t>
  </si>
  <si>
    <t>medicare</t>
  </si>
  <si>
    <t>Non-ARP Rebate Checks</t>
  </si>
  <si>
    <t>rebate_checks</t>
  </si>
  <si>
    <t>ARP Rebate Checks</t>
  </si>
  <si>
    <t>rebate_checks_arp</t>
  </si>
  <si>
    <t>ARP Other Vulnerable</t>
  </si>
  <si>
    <t>federal_other_vulnerable_arp</t>
  </si>
  <si>
    <t>ARP Other Direct Aid</t>
  </si>
  <si>
    <t>federal_other_direct_aid_arp</t>
  </si>
  <si>
    <t>Other Federal Social Benefits (including all SNAP)</t>
  </si>
  <si>
    <t>federal_social_benefits</t>
  </si>
  <si>
    <t>State Social Benefits ex Medicaid</t>
  </si>
  <si>
    <t>state_social_benefits</t>
  </si>
  <si>
    <t>Federal Non-Corporate Taxes</t>
  </si>
  <si>
    <t>federal_non_corporate_taxes</t>
  </si>
  <si>
    <t>State Non-Corporate Taxes</t>
  </si>
  <si>
    <t>state_non_corporate_taxes</t>
  </si>
  <si>
    <t>Federal Corporate Taxes</t>
  </si>
  <si>
    <t>federal_corporate_taxes</t>
  </si>
  <si>
    <t>State Corporate Taxes</t>
  </si>
  <si>
    <t>state_corporate_taxes</t>
  </si>
  <si>
    <t>Level Differences</t>
  </si>
  <si>
    <t>Percent Differences</t>
  </si>
  <si>
    <t>Jan.</t>
  </si>
  <si>
    <t>Feb.</t>
  </si>
  <si>
    <t>Mar.</t>
  </si>
  <si>
    <t>Apr.</t>
  </si>
  <si>
    <t>Q3</t>
  </si>
  <si>
    <t>Personal income</t>
  </si>
  <si>
    <t>q1</t>
  </si>
  <si>
    <t>q2</t>
  </si>
  <si>
    <t>Less: Personal current taxes</t>
  </si>
  <si>
    <t>Less: Personal outlays</t>
  </si>
  <si>
    <t>Equals: Personal saving</t>
  </si>
  <si>
    <t>Data on this table will be superseded by updated estimates.</t>
  </si>
  <si>
    <t>Source: U.S. Bureau of Economic Analysis</t>
  </si>
  <si>
    <t>2020 Q2</t>
  </si>
  <si>
    <t>2020 Q3</t>
  </si>
  <si>
    <t>2020 Q4</t>
  </si>
  <si>
    <t>2021 Q1</t>
  </si>
  <si>
    <t>2021 Q2</t>
  </si>
  <si>
    <t>Consumption Grants Historical Override</t>
  </si>
  <si>
    <t>consumption_grants_override</t>
  </si>
  <si>
    <t>MPC Lag Structure</t>
  </si>
  <si>
    <t>Total over 3 years</t>
  </si>
  <si>
    <t>Medicare, Medicaid, CHIP (all)</t>
  </si>
  <si>
    <t>health_outlays</t>
  </si>
  <si>
    <t>Corporate</t>
  </si>
  <si>
    <t>corporate_taxes</t>
  </si>
  <si>
    <t>Non-corporate</t>
  </si>
  <si>
    <t>non_corporate_taxes</t>
  </si>
  <si>
    <t>Rebate checks</t>
  </si>
  <si>
    <t>Unemployment insurance</t>
  </si>
  <si>
    <t>ui</t>
  </si>
  <si>
    <t>Social Benefits net of  Medicare, Medicaid, UI, SNAP and  Rebate Checks non-ARP</t>
  </si>
  <si>
    <t>social_benefits</t>
  </si>
  <si>
    <t>Subsidies (non-ARP) + ARP PPP and Provider Relief</t>
  </si>
  <si>
    <t>subsidies</t>
  </si>
  <si>
    <t>Rebate checks ARP</t>
  </si>
  <si>
    <t>Unemployment insurance ARP</t>
  </si>
  <si>
    <t>ui_arp</t>
  </si>
  <si>
    <t>ARP Aid to Vulnerable Households: , Premium Tax Credits, Ratepayer protection, Assistance for older Americans, COBRA, Emergency Assistance</t>
  </si>
  <si>
    <t>other_vulnerable_arp</t>
  </si>
  <si>
    <t>ARP Direct Aid to Families: Child tax credit, EITC,  Childcare for workers,  Dependent  care for families</t>
  </si>
  <si>
    <t>other_direct_aid_arp</t>
  </si>
  <si>
    <t>ARP: Subsidies ex PPP,  Child care stabilization, grants to small businesses, paid sick leave, employee retention tax credit, pensions, transit and  aviation  support</t>
  </si>
  <si>
    <t>aid_to_small_businesses_arp</t>
  </si>
  <si>
    <r>
      <t xml:space="preserve">Methodology: </t>
    </r>
    <r>
      <rPr>
        <sz val="11"/>
        <color theme="1"/>
        <rFont val="Arial"/>
        <family val="2"/>
      </rPr>
      <t>CBO and NIPA attribute almost all UI to the federal government, regardless of who pays for it. The FIM attributes UI to whichever level of government finances it. In normal times, that's the states. In recessions, emergency unemployment compensation (EUC) kicks in; the federal government covers 50% of this in addition to any legislative changes, which typically increase the federal share of the extended benefits. In particular, the CARES Act increased the federal share of EUC to 100%. We split UI into federal and state by subtracting the sum of legislative UI changes (BEA gives us the pieces) from total unemployment insurance (also from BEA) plus Trump's lost wages supplemental payments.</t>
    </r>
    <r>
      <rPr>
        <b/>
        <sz val="11"/>
        <color theme="1"/>
        <rFont val="Arial"/>
        <family val="2"/>
      </rPr>
      <t xml:space="preserve"> </t>
    </r>
    <r>
      <rPr>
        <sz val="11"/>
        <color theme="1"/>
        <rFont val="Arial"/>
        <family val="2"/>
      </rPr>
      <t>We forecast normal federal UI and state UI using the growth in the unemployment rate and federal UI legislation with a few judgemental changes (see below).
We get our unemployment rate projection from the CBO Economic Projections.</t>
    </r>
  </si>
  <si>
    <t>NIPA DATA (Millions)</t>
  </si>
  <si>
    <t>HISTORY</t>
  </si>
  <si>
    <t>PROJECTION</t>
  </si>
  <si>
    <t>Q4</t>
  </si>
  <si>
    <t>Q1</t>
  </si>
  <si>
    <t>Q2</t>
  </si>
  <si>
    <t>yptu</t>
  </si>
  <si>
    <t>Sum of Federal and State UI (Not including the Lost Wages supplemental payment)</t>
  </si>
  <si>
    <t xml:space="preserve">    Extended Unemployment Benefits (Federal Share)</t>
  </si>
  <si>
    <t>yptub</t>
  </si>
  <si>
    <t xml:space="preserve">    Federal Increase due to Legislation</t>
  </si>
  <si>
    <t xml:space="preserve">         Extended Benefits (Would be state without legislation) </t>
  </si>
  <si>
    <t xml:space="preserve">         Pandemic Emergency Unemployment Compensation</t>
  </si>
  <si>
    <t>yptue</t>
  </si>
  <si>
    <t xml:space="preserve">         Pandemic Unemployment Assistance</t>
  </si>
  <si>
    <t>yptup</t>
  </si>
  <si>
    <t xml:space="preserve">         Pandemic Unemployment Compensation Payments</t>
  </si>
  <si>
    <t>yptuc</t>
  </si>
  <si>
    <t>yptol</t>
  </si>
  <si>
    <t>Total Federal (FIM) - includes lost wages supplemental</t>
  </si>
  <si>
    <t>Total State (FIM)</t>
  </si>
  <si>
    <t>Use change in projected unemployment rate to project state UI</t>
  </si>
  <si>
    <t>.</t>
  </si>
  <si>
    <t>Monthly Unemployment Rate from the BLS</t>
  </si>
  <si>
    <t>Monthly UR</t>
  </si>
  <si>
    <t>NIPA DATA (Billions)</t>
  </si>
  <si>
    <t>gftfpv</t>
  </si>
  <si>
    <t>Provider Relief Fund to Public Hospitals (Grants)</t>
  </si>
  <si>
    <t>gfegv</t>
  </si>
  <si>
    <t>Provider Relief Fund to For-Profit Hospitals (Subsidies)</t>
  </si>
  <si>
    <t>gfsubv</t>
  </si>
  <si>
    <t>Total amount legislated (our projected total should match)</t>
  </si>
  <si>
    <t>Our projected total</t>
  </si>
  <si>
    <t>Total</t>
  </si>
  <si>
    <t>Share Social Benefits</t>
  </si>
  <si>
    <t>Share Grants</t>
  </si>
  <si>
    <t>Share Subsidies</t>
  </si>
  <si>
    <t>Paycheck Protection Program (PPP)</t>
  </si>
  <si>
    <r>
      <rPr>
        <b/>
        <sz val="11"/>
        <color theme="1"/>
        <rFont val="Arial"/>
        <family val="2"/>
      </rPr>
      <t>Methodology:</t>
    </r>
    <r>
      <rPr>
        <sz val="11"/>
        <color theme="1"/>
        <rFont val="Arial"/>
        <family val="2"/>
      </rPr>
      <t xml:space="preserve"> We begin with weekly disbursement data from here: https://www.americanactionforum.org/research/tracker-paycheck-protection-program-loans/  Then we take each week's cumulative total disbursements and subtract from the previous week's cumulative total disbursements to get the new disbursement each week. We spread the each week's new disbursements over 26 weeks because we know that BEA is spreading over the term of the loan when accounting for PPP and the term is 6 months. Then with the weekly data we are able to convert to quarterly based on the share of the 6 months in each quarter. Because BEA is spreading the disbursements over 6 months and all the money has already gone out, we can derive a forecast by summing all of the weekly disbursements in their appropriate quarter, derived with the 6 month spread. This leads PPP to fall off in entirely by 2021Q4.
 </t>
    </r>
  </si>
  <si>
    <t>https://www.americanactionforum.org/research/tracker-paycheck-protection-program-loans/</t>
  </si>
  <si>
    <t>Date</t>
  </si>
  <si>
    <t>Cumulative</t>
  </si>
  <si>
    <t>New Disbursement</t>
  </si>
  <si>
    <t>Weeks left in the first quarter disbursed (total 13)</t>
  </si>
  <si>
    <t xml:space="preserve"> </t>
  </si>
  <si>
    <t>actuals</t>
  </si>
  <si>
    <t>Dividing PPP into Subsidies and Social Benefits</t>
  </si>
  <si>
    <t>PPP Loans to NPISH (Social Benefits)</t>
  </si>
  <si>
    <t>gftfpp</t>
  </si>
  <si>
    <t>PPP Loans to Businesses (Subsidies)</t>
  </si>
  <si>
    <t>gfsubp</t>
  </si>
  <si>
    <t>NPISH Share</t>
  </si>
  <si>
    <t>q3</t>
  </si>
  <si>
    <r>
      <t xml:space="preserve">Methodology:  </t>
    </r>
    <r>
      <rPr>
        <sz val="11"/>
        <color theme="1"/>
        <rFont val="Arial"/>
        <family val="2"/>
      </rPr>
      <t>Projecting consumption grants requires a few steps. From the legislation scores, we know how much money in grants should be disbursed over the next few years (Table 2). The BEA gives us data on how much money has been disbursed so far (Table 1 History), but not how much has been actually spent by state and local governments.  As new historical data comes in, we should adjust the projection so that we are always hitting the total $ amount to be disbursed (column AA). Next, we need to use our assumed disbursement schedule to project when state and local governments actually spend the money they receive (Table 4). For the majority of grants we assume spending occurs with disbursement, with the exception of the CARES Act grants, the Education Stabilization Fund, and the Coronavirus Fiscal Recovery Fund, which BEA records as disbursed in one or two quarters rather than spread out over time.</t>
    </r>
  </si>
  <si>
    <t>Table 1</t>
  </si>
  <si>
    <t>NIPA Disbursement  Data (Billions)</t>
  </si>
  <si>
    <t>Total disbursed during COVID (2020 Q1 - 2024 Q1)</t>
  </si>
  <si>
    <t>What we think the total through 2024 Q1 should be</t>
  </si>
  <si>
    <t>Gross Consumption Grants</t>
  </si>
  <si>
    <t>gfeg</t>
  </si>
  <si>
    <t>gfeghdx</t>
  </si>
  <si>
    <t>Total Non-Medicaid Consumption Grants</t>
  </si>
  <si>
    <t>gfegc</t>
  </si>
  <si>
    <t>gfege</t>
  </si>
  <si>
    <t>Transportation</t>
  </si>
  <si>
    <t>We think that BEA doesn't include transportation grants in the effects of the legislation, so we use our CFRB score here as our disbursement "data" in 2021Q1.</t>
  </si>
  <si>
    <t>Other non-ARP COVID aid to state, local and tribal governments</t>
  </si>
  <si>
    <t>Similarly to transportation grants, we add our assumptions about disbursement here as "data" in 2021 Q1 since BEA doesn't include a category for these smaller pieces.</t>
  </si>
  <si>
    <t>Other ARP aid to S&amp;L</t>
  </si>
  <si>
    <t>Coronavirus Fiscal Recovery Fund</t>
  </si>
  <si>
    <t>gfegc after 2020 Q2</t>
  </si>
  <si>
    <t>Other Grants</t>
  </si>
  <si>
    <t>We grow other grant disbursements (total non-Medicaid grants minus grants from legislation) by 0.4% every quarter.</t>
  </si>
  <si>
    <t>Table 2</t>
  </si>
  <si>
    <t>Our assumptions about disbursement (DOES NOT CHANGE WITH BEA DATA, DO NOT EDIT)</t>
  </si>
  <si>
    <t>CARES Act Grants Total</t>
  </si>
  <si>
    <t>Our CARES Act disbursements follow the BEA disbursement data until fully spent; we spread the remaining ESF money across 2021.</t>
  </si>
  <si>
    <t>December Stimulus Grants Total</t>
  </si>
  <si>
    <t>We spread all December stimulus grants (see Response and Relief Act Score) out evenly over three years, with the exception of the Education Stabilization Fund, which we lower slightly in 2021Q1 and add 7 in 2024Q1 because the 2021Q1 data came in lower than expected.</t>
  </si>
  <si>
    <t xml:space="preserve">We changed our EDF assumptions to match the BEA data that came in 2021Q2. </t>
  </si>
  <si>
    <t>COVID and Mental Health Healthcare</t>
  </si>
  <si>
    <t>Community Development Block Grant</t>
  </si>
  <si>
    <t>ARP Consumption Grants</t>
  </si>
  <si>
    <t>With the exception of the Coronavirus Fiscal Recovery Fund, our ARP disbursement assumptions come from our ARP score, timing assumptions and ARP grants MPC for spending (see ARP Score, ARP Timing and ARP Quarterly). We anticipate that BEA will add the CFRF as a separate category; until the data comes in, we assume 40% goes out in Q1, 60% the next year. See "tranching of funds" in link below.</t>
  </si>
  <si>
    <t>https://home.treasury.gov/policy-issues/coronavirus/assistance-for-state-local-and-tribal-governments/state-and-local-fiscal-recovery-funds</t>
  </si>
  <si>
    <t>Other state and local aid</t>
  </si>
  <si>
    <t>Table 3</t>
  </si>
  <si>
    <t>Grants from Legislation</t>
  </si>
  <si>
    <t>Score</t>
  </si>
  <si>
    <t>Total Disbursed</t>
  </si>
  <si>
    <t>Remainder</t>
  </si>
  <si>
    <t>BEA Categories Total</t>
  </si>
  <si>
    <t>Transportation*</t>
  </si>
  <si>
    <t>Other aid to state, local and tribal governments</t>
  </si>
  <si>
    <t>Legislation Total</t>
  </si>
  <si>
    <t>Grants to tribal governments</t>
  </si>
  <si>
    <t>Table 4</t>
  </si>
  <si>
    <t>Our Spending Assumptions</t>
  </si>
  <si>
    <t>Total Non-Medicaid Consumption Grant Spending</t>
  </si>
  <si>
    <t>Same as Disbursements</t>
  </si>
  <si>
    <t>Other non-ARP COVID grants</t>
  </si>
  <si>
    <t>Baseline (non-COVID) grants</t>
  </si>
  <si>
    <t>Different spending pattern</t>
  </si>
  <si>
    <t>Coronavirus Fiscal Recovery Fund and other ARP</t>
  </si>
  <si>
    <t>Investment Grants (FIM)</t>
  </si>
  <si>
    <t>gfeigx</t>
  </si>
  <si>
    <t>Federal Purchases</t>
  </si>
  <si>
    <r>
      <rPr>
        <b/>
        <sz val="11"/>
        <color theme="1"/>
        <rFont val="Arial"/>
        <family val="2"/>
      </rPr>
      <t xml:space="preserve">Methodology: </t>
    </r>
    <r>
      <rPr>
        <sz val="11"/>
        <color theme="1"/>
        <rFont val="Arial"/>
        <family val="2"/>
      </rPr>
      <t xml:space="preserve">We pull federal purchases from Haver and we take CBO’s projection of federal purchases to get NIPA consistent federal purchases. We read NIPA consistent federal and state purchases and grants separately into the code because we apply separate deflators to each (in particular, grants are deflated using the state purchases deflator, since inflation matters from the perspective of the states making purchases using the money). For reference in this sheet, we also look at the FIM consistent federal purchases, which attribute grants away from states and to the federal government (who initially finances them). 		</t>
    </r>
  </si>
  <si>
    <t>Federal Purchases (FIM consistent)</t>
  </si>
  <si>
    <t>Total, with grants attributed to federal spending (not used in calculations, because we use different deflators for the grants piece)</t>
  </si>
  <si>
    <r>
      <t xml:space="preserve">Methodology: </t>
    </r>
    <r>
      <rPr>
        <sz val="11"/>
        <color theme="1"/>
        <rFont val="Arial"/>
        <family val="2"/>
      </rPr>
      <t>In normal times, we forecast state purchases using CBO's projected state purchases growth rate. We think the CBO's projected growth coming out of the pandemic is too conservative, however, so we override with Louise's preferred growth rates that have state purchases recovering faster than CBO projects, and even overtaking prepandemic projections around the beginning of 2022 as states spend their extra federal funding from pandemic legislation (see comparison charts to the right).</t>
    </r>
  </si>
  <si>
    <t>gs</t>
  </si>
  <si>
    <t>Judgemental Growth Rate</t>
  </si>
  <si>
    <t>See methodology and comparison charts to the right</t>
  </si>
  <si>
    <t>NIPA Consistent Projected State Purchases</t>
  </si>
  <si>
    <t>State Purchases (FIM Consistent)</t>
  </si>
  <si>
    <t>Total, with grants removed from state spending and reattributed to federal</t>
  </si>
  <si>
    <t>State Government Employment (Thousands)</t>
  </si>
  <si>
    <t>lasgova</t>
  </si>
  <si>
    <t>Local Government Employment (Thousands)</t>
  </si>
  <si>
    <t>lalgova</t>
  </si>
  <si>
    <t>State and Local Construction (Millions)</t>
  </si>
  <si>
    <t>cpgs</t>
  </si>
  <si>
    <t>Grants Reallocation (ONLY EDIT IN SEPARATE GRANTS SPREADSHEET)</t>
  </si>
  <si>
    <r>
      <t xml:space="preserve">Methodology: </t>
    </r>
    <r>
      <rPr>
        <sz val="11"/>
        <color theme="1"/>
        <rFont val="Arial"/>
        <family val="2"/>
      </rPr>
      <t>See Grants sheet for calculations of top-line investment and consumption grants. We sum these together and reattribute them away from states and to the federal government.</t>
    </r>
  </si>
  <si>
    <t>Total Grants</t>
  </si>
  <si>
    <t>NIPA Data (Billions)</t>
  </si>
  <si>
    <t>Non-legislation subsidies</t>
  </si>
  <si>
    <t>Legislation subsidies</t>
  </si>
  <si>
    <t>Legislation ex PPP</t>
  </si>
  <si>
    <t>gfsubf</t>
  </si>
  <si>
    <t>gfsube</t>
  </si>
  <si>
    <t>gfsubg</t>
  </si>
  <si>
    <t xml:space="preserve">Provider Relief Fund </t>
  </si>
  <si>
    <t>gfsubs</t>
  </si>
  <si>
    <t>gfsubk</t>
  </si>
  <si>
    <t>Economic Injury Disaster Loan Advances</t>
  </si>
  <si>
    <t>Restaurant Revitalization Fund</t>
  </si>
  <si>
    <t>Other ARP Subsidies (not elsewhere classified)</t>
  </si>
  <si>
    <t>Other Aid to Small Business</t>
  </si>
  <si>
    <t>CRFB Score of December Legislation</t>
  </si>
  <si>
    <t>Aid to small businesses ex PPP</t>
  </si>
  <si>
    <t>Support Program for Airline Workers</t>
  </si>
  <si>
    <t>Emergency Grants to Venues</t>
  </si>
  <si>
    <t>Other Small Business Relief and Program Expenses</t>
  </si>
  <si>
    <t>CBO Score of ARPA</t>
  </si>
  <si>
    <t>Support for Transit</t>
  </si>
  <si>
    <t>Restaurant Revitalization Fund (includes grants to venues, which is small)</t>
  </si>
  <si>
    <t>Child Care Stabilization</t>
  </si>
  <si>
    <t>Pensions</t>
  </si>
  <si>
    <t>Totals to Read Into Code</t>
  </si>
  <si>
    <t>ARP Subsidies ex Provider Relief and PPP</t>
  </si>
  <si>
    <t>yptmd</t>
  </si>
  <si>
    <t>Federal Medicaid Grants</t>
  </si>
  <si>
    <t>Fiscal Years (Billions)</t>
  </si>
  <si>
    <t>Annual FMAP</t>
  </si>
  <si>
    <t>Total Medicaid (Federal/FMAP)</t>
  </si>
  <si>
    <t>Total Medicaid Annual Growth Rate</t>
  </si>
  <si>
    <t>Quarterly Projection (Billions)</t>
  </si>
  <si>
    <t xml:space="preserve">Total Medicaid </t>
  </si>
  <si>
    <t xml:space="preserve">State Medicaid </t>
  </si>
  <si>
    <t>CBO Medicaid ARP Score</t>
  </si>
  <si>
    <t>Coverage of Covid-19 vaccinations and treatments</t>
  </si>
  <si>
    <t>Coverage for pregnant women</t>
  </si>
  <si>
    <t>Bundled community-based mobile crisis intervention</t>
  </si>
  <si>
    <t>Temporary increase in FMAP for expanding ACA coverage</t>
  </si>
  <si>
    <t>100% FMAP for urban, Indian and Hawaiian organizations</t>
  </si>
  <si>
    <t>Sunset of limit on maximum rebate</t>
  </si>
  <si>
    <t>Temporary increase in FMAP for expanding HCBS</t>
  </si>
  <si>
    <t>Strike Teams for nursing facilities</t>
  </si>
  <si>
    <t>DSH allotments during public health emergency</t>
  </si>
  <si>
    <t>Total ARP Medicaid Provisions</t>
  </si>
  <si>
    <t>FMAP Provisions</t>
  </si>
  <si>
    <t>Probably some of the $ for the Medicaid expansions is increase in actual Medicaid, but this is good enough for now</t>
  </si>
  <si>
    <t>FMAP Effects</t>
  </si>
  <si>
    <t>Rough estimate of impact on FMAP</t>
  </si>
  <si>
    <t>Total Medicare</t>
  </si>
  <si>
    <t>Medicare Spending Growth Rate</t>
  </si>
  <si>
    <t>Timing shift due to COVID legislation</t>
  </si>
  <si>
    <t>BEA doesn't count the timing shift due to COVID Legislation, so we adjust the numbers to make them comparable to BEA's</t>
  </si>
  <si>
    <t>BEA's Average</t>
  </si>
  <si>
    <r>
      <t xml:space="preserve">Methodology: </t>
    </r>
    <r>
      <rPr>
        <sz val="11"/>
        <color theme="1"/>
        <rFont val="Arial"/>
        <family val="2"/>
      </rPr>
      <t>We take BEA's data on rebate checks disbursement and separate out ARP and non-ARP checks because we apply a different MPC to the ARP round of checks. All checks before 2021 Q1 are non-ARP; all in 2021 Q2 forward are ARP. In 2021 Q1 we sum the January and February disbursements as the share of non-ARP checks out of the total.</t>
    </r>
  </si>
  <si>
    <t>gftfpe</t>
  </si>
  <si>
    <t xml:space="preserve">Non-ARP Rebate Checks </t>
  </si>
  <si>
    <t>BEA Monthly Rebate Checks Data</t>
  </si>
  <si>
    <r>
      <t>Economic impact payments</t>
    </r>
    <r>
      <rPr>
        <vertAlign val="superscript"/>
        <sz val="11"/>
        <color theme="1"/>
        <rFont val="Calibri"/>
        <family val="2"/>
        <scheme val="minor"/>
      </rPr>
      <t xml:space="preserve"> </t>
    </r>
  </si>
  <si>
    <t>https://www.bea.gov/sites/default/files/2021-05/effects-of-selected-federal-pandemic-response-programs-on-personal-income-april-2021.pdf</t>
  </si>
  <si>
    <t>Remaining Social Benefits</t>
  </si>
  <si>
    <t>Federal</t>
  </si>
  <si>
    <t>Federal Social Benefits (NIPA Definition)</t>
  </si>
  <si>
    <t>gftfp</t>
  </si>
  <si>
    <t>Total Unemployment Insurance
(Federal + State)</t>
  </si>
  <si>
    <t>Total Rebate Checks
(ARP + non-ARP)</t>
  </si>
  <si>
    <t>PPP to NPISH</t>
  </si>
  <si>
    <t>Provider Relief to NPISH</t>
  </si>
  <si>
    <t>Other Vulnerable excluding SNAP</t>
  </si>
  <si>
    <t>State</t>
  </si>
  <si>
    <t>gstfp</t>
  </si>
  <si>
    <t>Social Security</t>
  </si>
  <si>
    <t>gftfbdx</t>
  </si>
  <si>
    <r>
      <rPr>
        <b/>
        <sz val="11"/>
        <color theme="1"/>
        <rFont val="Arial"/>
        <family val="2"/>
      </rPr>
      <t>Methodology</t>
    </r>
    <r>
      <rPr>
        <sz val="11"/>
        <color theme="1"/>
        <rFont val="Arial"/>
        <family val="2"/>
      </rPr>
      <t xml:space="preserve">: SNAP benefits increase both due to legislative changes and because the unemployment rate has risen. Biden extended pandemic SNAP legislation through September 2021 and increased benefits. We take BEA historical data on total SNAP payments, and use the difference between each quarter in 2020s total benefits and the average pre-pandemic (2019) amount to back out how much of the SNAP payments are due to COVID in the historical period. We judgementally phase out the benefits in the projection period based on recent BEA data, expiration of enhanced benefits, and expected economic recovery. We read SNAP due to COVID legislation into our Social Benefits sheet. </t>
    </r>
  </si>
  <si>
    <t>Calculating SNAP due to COVID</t>
  </si>
  <si>
    <t>gftffx</t>
  </si>
  <si>
    <t>Increase Relative to Pre-COVID</t>
  </si>
  <si>
    <t>Total non-corporate</t>
  </si>
  <si>
    <t>Personal Income</t>
  </si>
  <si>
    <t>Social Insurance</t>
  </si>
  <si>
    <t>Production</t>
  </si>
  <si>
    <t>Corporate Income Tax</t>
  </si>
  <si>
    <t>Personal</t>
  </si>
  <si>
    <t>gsrpt</t>
  </si>
  <si>
    <t>gsrs</t>
  </si>
  <si>
    <t>gsrpri</t>
  </si>
  <si>
    <t>gsrcp</t>
  </si>
  <si>
    <t>Individual Income</t>
  </si>
  <si>
    <t>** CBO put delayed social security payments in individual for some reason</t>
  </si>
  <si>
    <t>Payroll</t>
  </si>
  <si>
    <t>Excise + Customs</t>
  </si>
  <si>
    <t>BEA Data FY Averages</t>
  </si>
  <si>
    <t>Monthly Taxes from Personal Income Release (just to check feasibility of our forecast)</t>
  </si>
  <si>
    <t>Social Insurance Contributions</t>
  </si>
  <si>
    <t>Personal current taxes</t>
  </si>
  <si>
    <t>Comparing the BEA and CBO tax revenues</t>
  </si>
  <si>
    <t>Ratio: BEA/CBO</t>
  </si>
  <si>
    <t>CBO projection of the annual tax base</t>
  </si>
  <si>
    <t>"Taxable Personal Income"</t>
  </si>
  <si>
    <t>Wages and Salaries</t>
  </si>
  <si>
    <t>Personal Consumption</t>
  </si>
  <si>
    <t>CBO projected annual revenues over projected annual base to get projected annual tax rates.</t>
  </si>
  <si>
    <t>CBO Tax Rates</t>
  </si>
  <si>
    <t>Excise and Customs Taxes</t>
  </si>
  <si>
    <t>In the historical period, we multiply our tax rates from CBO by the ratio of CBO and BEA tax rates to get annual BEA tax rates. The projection is Louise's judgement, guided by projected CBO tax rates.</t>
  </si>
  <si>
    <t>BEA Tax Rates Actual and Projected</t>
  </si>
  <si>
    <t>Corporate Profits</t>
  </si>
  <si>
    <t>BEA Quarterly</t>
  </si>
  <si>
    <t>Federal Tax Rates</t>
  </si>
  <si>
    <t>Federal Tax Base</t>
  </si>
  <si>
    <t>BEA "Taxable Personal Income" (estimate)</t>
  </si>
  <si>
    <t>Prop Income</t>
  </si>
  <si>
    <t>Rental income</t>
  </si>
  <si>
    <t>Asset Income</t>
  </si>
  <si>
    <t>Corporate Profits with IVA and CCADJ</t>
  </si>
  <si>
    <t>State Tax Rates</t>
  </si>
  <si>
    <t>Corporate Income</t>
  </si>
  <si>
    <t>c</t>
  </si>
  <si>
    <t>gfsub</t>
  </si>
  <si>
    <t>gftfpr</t>
  </si>
  <si>
    <r>
      <t>This file reproduces the tables detailing CBO's budgetary projections that appear in the agency's September 2020 report</t>
    </r>
    <r>
      <rPr>
        <i/>
        <sz val="11"/>
        <color rgb="FF000000"/>
        <rFont val="Arial"/>
        <family val="2"/>
      </rPr>
      <t xml:space="preserve"> An Update to the Budget Outlook: 2020 to 2030</t>
    </r>
    <r>
      <rPr>
        <sz val="11"/>
        <color rgb="FF000000"/>
        <rFont val="Arial"/>
        <family val="2"/>
      </rPr>
      <t>. The file also includes data that supplement those tables.</t>
    </r>
  </si>
  <si>
    <t>www.cbo.gov/publication/56517</t>
  </si>
  <si>
    <t>Table A-2. 
Effects on Outlays of Legislation Enacted to Address the Coronavirus Pandemic and Economic Downturn</t>
  </si>
  <si>
    <t>Billions of Dollars</t>
  </si>
  <si>
    <t>2021-</t>
  </si>
  <si>
    <t>Paycheck Protection Program</t>
  </si>
  <si>
    <t>Unemployment Compensation Expansion</t>
  </si>
  <si>
    <t>UI</t>
  </si>
  <si>
    <t>FPUC - Additional $600 per week</t>
  </si>
  <si>
    <t>PUA - Eligibility expansion</t>
  </si>
  <si>
    <t>PEUC - Additional 13 weeks of coverage</t>
  </si>
  <si>
    <t>Other</t>
  </si>
  <si>
    <t>___</t>
  </si>
  <si>
    <t>Subtotal, unemployment compensation</t>
  </si>
  <si>
    <r>
      <t>Recovery Rebates</t>
    </r>
    <r>
      <rPr>
        <vertAlign val="superscript"/>
        <sz val="11"/>
        <rFont val="Arial"/>
        <family val="2"/>
      </rPr>
      <t>a</t>
    </r>
  </si>
  <si>
    <t>Checks</t>
  </si>
  <si>
    <t>HHS Public Health and Social Services Emergency Fund</t>
  </si>
  <si>
    <t>Provider Relief Grants/Transfers/Subsidies</t>
  </si>
  <si>
    <t>Medicaid Financial Assistance to States and</t>
  </si>
  <si>
    <t>Coverage Continuity for Enrollees</t>
  </si>
  <si>
    <t>Disaster Relief</t>
  </si>
  <si>
    <t>Medicare Accelerated Payments</t>
  </si>
  <si>
    <t>Increase in SNAP Beneficiaries and Average Benefits</t>
  </si>
  <si>
    <t>SNAP</t>
  </si>
  <si>
    <t>Pandemic Relief for Aviation Workers</t>
  </si>
  <si>
    <t>Education Grants/Transfers/Subsidies</t>
  </si>
  <si>
    <t>Other Programs</t>
  </si>
  <si>
    <t xml:space="preserve">Other </t>
  </si>
  <si>
    <t>Source:  Congressional Budget Office.</t>
  </si>
  <si>
    <t>The table shows the effects of the three laws enacted in response to the 2020 coronavirus pandemic that were not incorporated into CBO’s March 2020 baseline. Those three laws are the Families First Coronavirus Response Act (Public Law 116-127, enacted on March 18, 2020); the Coronavirus Aid, Relief, and Economic Security Act (CARES Act, P.L. 116-136, enacted on March 27, 2020); and the Paycheck Protection Program and Health Care Enhancement Act (P.L. 116-139, enacted on April 24, 2020). The effects of the Coronavirus Preparedness and Response Supplemental Appropriations Act, 2020 (P.L. 116-123, enacted on March 6, 2020) were included in CBO’s March 2020 baseline and thus are not reflected in the table.</t>
  </si>
  <si>
    <t>The CARES Act authorized the Secretary of the Treasury to provide up to $454 billion to fund emergency lending facilities established by the Board of Governors of the Federal Reserve System. However, because the income and costs stemming from that lending are expected to roughly offset each other, CBO estimates that the provision will have little effect on the deficit.</t>
  </si>
  <si>
    <t>FPUC = Federal Pandemic Unemployment Compensation; HHS = Health and Human Services; PEUC = Pandemic Emergency Unemployment Compensation;
PUA = Pandemic Unemployment Assistance; SNAP = Supplemental Nutrition Assistance Program.</t>
  </si>
  <si>
    <t>a. In CBO’s initial estimate of the recovery rebates, the deficit effect was split almost evenly between an increase in outlays and a reduction in revenues. Because the Treasury is recording those rebates almost entirely as outlays, CBO has adjusted its projections accordingly. That shift from an increase in outlays to a reduction in revenues has no effect on the deficit.</t>
  </si>
  <si>
    <t>Source: https://www.crfb.org/blogs/whats-final-covid-relief-deal-2020</t>
  </si>
  <si>
    <t>Provision</t>
  </si>
  <si>
    <t>Ten year cost (annualized)</t>
  </si>
  <si>
    <t>Column1</t>
  </si>
  <si>
    <t>Column2</t>
  </si>
  <si>
    <t>Aid to small businesses</t>
  </si>
  <si>
    <t>What we use for our assumptions</t>
  </si>
  <si>
    <t>Paycheck Protection Program (PPP) Second Draw </t>
  </si>
  <si>
    <t>Ten Year Cost</t>
  </si>
  <si>
    <t>Extend and Augment Unemployment Benefits (+$300/week) for 11 weeks</t>
  </si>
  <si>
    <t>Stimulus checks of $600/person</t>
  </si>
  <si>
    <t>Covid and Mental Health Healthcare Grants</t>
  </si>
  <si>
    <t>Education</t>
  </si>
  <si>
    <t xml:space="preserve">Subsidies </t>
  </si>
  <si>
    <t>Sum</t>
  </si>
  <si>
    <t>K-12 Education Grants</t>
  </si>
  <si>
    <t>Higher Education Grants</t>
  </si>
  <si>
    <t xml:space="preserve">Economic Injury Disaster Loan Advances </t>
  </si>
  <si>
    <t>Governor's Emergency Education Relief Fund</t>
  </si>
  <si>
    <t>Grants  to HBCUs, Minority Serving Institutions, and Tribal and Territories</t>
  </si>
  <si>
    <t>Grants to For-Profit  Colleges to Provide Financial Aid</t>
  </si>
  <si>
    <t>Second Round Payroll Support Program for Airline Workers</t>
  </si>
  <si>
    <t>Education Grants for Tribes and Territories</t>
  </si>
  <si>
    <t>Community Lender Support</t>
  </si>
  <si>
    <t>Health Care</t>
  </si>
  <si>
    <t>Childcare Grants</t>
  </si>
  <si>
    <t>Funding for States  for Testing, Tracing,  and COVID Mitigation</t>
  </si>
  <si>
    <t>Grant</t>
  </si>
  <si>
    <t>Vaccine Procurement</t>
  </si>
  <si>
    <t>Vaaccine Distribution Through the States &amp; CDC</t>
  </si>
  <si>
    <t>Mental Health  Funding</t>
  </si>
  <si>
    <t xml:space="preserve">Overseas Vaccine Response </t>
  </si>
  <si>
    <t>Additional Health Care Provider Grants</t>
  </si>
  <si>
    <t>Provider relief grant</t>
  </si>
  <si>
    <t>Repeal the Medicare Sequester through  March 2021</t>
  </si>
  <si>
    <t>Transfers (medicare)</t>
  </si>
  <si>
    <t>Increase Physician Pay Schedule</t>
  </si>
  <si>
    <t>Other Health Funding</t>
  </si>
  <si>
    <t>Purchase</t>
  </si>
  <si>
    <t>Transit Infrastructure Grants</t>
  </si>
  <si>
    <t>State Highway Funding</t>
  </si>
  <si>
    <t>Grants to Transportation Service Providers Like Buses and Ferries</t>
  </si>
  <si>
    <t>Airport Grants</t>
  </si>
  <si>
    <t>Amtrak Funding</t>
  </si>
  <si>
    <t>Other Spending</t>
  </si>
  <si>
    <t>Nutrition and Agriculture Programs</t>
  </si>
  <si>
    <t>Rental Assistance</t>
  </si>
  <si>
    <t>Subsidy</t>
  </si>
  <si>
    <t xml:space="preserve">I would say this is a subsidy since I think it's support for lending to small businesses? </t>
  </si>
  <si>
    <t>https://www.journalofaccountancy.com/news/2020/dec/covid-19-relief-bill-addresses-key-ppp-issues.html</t>
  </si>
  <si>
    <t>For "stabilizing the childcare industry". Subsidy, but check whether the BEA puts it into state grants</t>
  </si>
  <si>
    <t>https://www.ffyf.org/timeline-of-covid-19-relief-for-the-child-care-industry-and-working-families/</t>
  </si>
  <si>
    <t>Broadband Grants and Investment</t>
  </si>
  <si>
    <t>I think this is a purchase. Much of it goes directly to service providers and not through states as far as I can tell</t>
  </si>
  <si>
    <t>https://www.wiley.law/alert-Congress-Provides-Nearly-7-Billion-in-New-Broadband-Funding-in-the-Latest-COVID-19-Stimulus-Legislation</t>
  </si>
  <si>
    <t>Provide Additional Emergency Funding to Agencies</t>
  </si>
  <si>
    <t>Struggling to find much information on this</t>
  </si>
  <si>
    <t>Disaster Relief Funding for COVID Funeral Expenses</t>
  </si>
  <si>
    <t>Available via FEMA-- I don’t think that goes through states but not sure?</t>
  </si>
  <si>
    <t>Community Development Block Grants</t>
  </si>
  <si>
    <t>Federal government provides annual grants on a formula basis to states, cities, and counties to develop viable urban communities by providing decent housing and a suitable living environment, and by expanding economic opportunities, principally for low- and moderate-income persons</t>
  </si>
  <si>
    <t>Write-Off $10 Billion U.S. Postal Service Loan</t>
  </si>
  <si>
    <t>Congress lent USPS $10 billion in CARES Act; this was just saying they don't have to pay it back.</t>
  </si>
  <si>
    <t>Other Tax Cuts</t>
  </si>
  <si>
    <t>Extend and Expand Employee Retention Tax Credit</t>
  </si>
  <si>
    <t>Reinstate 100% Business Meals Deduction for 2021 and 2022</t>
  </si>
  <si>
    <t>Increase Earned Income and Child Tax Credit by Allowing Taxpayers to Use 2019 Income</t>
  </si>
  <si>
    <t>Extend CARES Act Charitable Provisions</t>
  </si>
  <si>
    <t>Extend CARES Act Employer-Paid Student Loan Exclusion Through 2025</t>
  </si>
  <si>
    <t>Extend Families First Paid Leave Credits Through March 2021</t>
  </si>
  <si>
    <t>Direct Aid to Families</t>
  </si>
  <si>
    <t>Aid to Financially Vulnerable Households</t>
  </si>
  <si>
    <t>Health grants</t>
  </si>
  <si>
    <t>COVID-19 Containment and Vaccination; Aid to State and Local Governments; Federal Spending</t>
  </si>
  <si>
    <t>NOT IN GDP</t>
  </si>
  <si>
    <t>T9, Sub. G, Part 2</t>
  </si>
  <si>
    <t>T9, Sub. G, Part 1</t>
  </si>
  <si>
    <t>T9, Sub. G, Part 3</t>
  </si>
  <si>
    <t xml:space="preserve">T9, Sub. I </t>
  </si>
  <si>
    <t>T9, Sub.G, Part 4</t>
  </si>
  <si>
    <t>T1, Total (Agriculture, SNAP, WIC, TANF)</t>
  </si>
  <si>
    <t>T3, Sub.B</t>
  </si>
  <si>
    <t>T9, Sub.G, P.7</t>
  </si>
  <si>
    <t>T2, Sub.K</t>
  </si>
  <si>
    <t>T2, Sub.L</t>
  </si>
  <si>
    <t>Title 9, Sub. A, first four items -&gt;</t>
  </si>
  <si>
    <t>Title 9, Sub. A, Sec. 9041 + Sec. 9042</t>
  </si>
  <si>
    <t>Rest of Sub.A</t>
  </si>
  <si>
    <t>T9, Sub. F</t>
  </si>
  <si>
    <t>T9, Sub. B C D</t>
  </si>
  <si>
    <t>T9, Sub. J</t>
  </si>
  <si>
    <t>T9, Sub. L</t>
  </si>
  <si>
    <t>T9, Sub. K</t>
  </si>
  <si>
    <t>T9, Sub. M</t>
  </si>
  <si>
    <t>T9, Sub.N, Sec.9911</t>
  </si>
  <si>
    <t>T2, Sub.A, part 1</t>
  </si>
  <si>
    <t>T2: subA, part2; subB, I, J</t>
  </si>
  <si>
    <t>T11, Total</t>
  </si>
  <si>
    <t>T6, Total</t>
  </si>
  <si>
    <t>T2, Sub. C, Sec.2203, 2204, 2205, 2206</t>
  </si>
  <si>
    <t>T3, Sub. D</t>
  </si>
  <si>
    <t>T2, Sub. C, Sec. 2201</t>
  </si>
  <si>
    <t>T2, Sub. H</t>
  </si>
  <si>
    <t>T4, Total</t>
  </si>
  <si>
    <t>T9, Sub.N, Sec. 9912</t>
  </si>
  <si>
    <t>T7 SubD,E,F</t>
  </si>
  <si>
    <t>T8, Total</t>
  </si>
  <si>
    <t>T3, Sub. A</t>
  </si>
  <si>
    <t>T9, Sub.G, Part 8</t>
  </si>
  <si>
    <t>T2, Sub. D, E, F, G</t>
  </si>
  <si>
    <t>T2, Sub. C, Sec. 2202</t>
  </si>
  <si>
    <t>T6, Sec. 6001</t>
  </si>
  <si>
    <t>T6</t>
  </si>
  <si>
    <t>T3 Sub. C Sec. 3301</t>
  </si>
  <si>
    <t>T9, SubG, part5</t>
  </si>
  <si>
    <t>T9, Part6</t>
  </si>
  <si>
    <t>T9, Sub.H</t>
  </si>
  <si>
    <t>T7, parts A B C</t>
  </si>
  <si>
    <t>T10, Total</t>
  </si>
  <si>
    <t>Fiscal Year</t>
  </si>
  <si>
    <t>UI benefits</t>
  </si>
  <si>
    <t>Other Direct Aid to Families</t>
  </si>
  <si>
    <t>Other Aid to Vulnerable HHs</t>
  </si>
  <si>
    <t>Subsidies ex Provider Relief and PPP</t>
  </si>
  <si>
    <t>Other state and local aid ex Provider Relief</t>
  </si>
  <si>
    <t>Provider Relief FUND</t>
  </si>
  <si>
    <t>child tax credit</t>
  </si>
  <si>
    <t>eitc</t>
  </si>
  <si>
    <t>rebate checks</t>
  </si>
  <si>
    <t xml:space="preserve"> child care for workers</t>
  </si>
  <si>
    <t>dependent care for families</t>
  </si>
  <si>
    <t>food</t>
  </si>
  <si>
    <t>housing assistance</t>
  </si>
  <si>
    <t>premium tax credits</t>
  </si>
  <si>
    <t>ratepayer protection</t>
  </si>
  <si>
    <t>assistance for older americans</t>
  </si>
  <si>
    <t>state ui</t>
  </si>
  <si>
    <t>pua</t>
  </si>
  <si>
    <t>peuc</t>
  </si>
  <si>
    <t>puc</t>
  </si>
  <si>
    <t>ui tax suspension</t>
  </si>
  <si>
    <t>other_ui</t>
  </si>
  <si>
    <t>cobra</t>
  </si>
  <si>
    <t>emergency assistance</t>
  </si>
  <si>
    <t>chip</t>
  </si>
  <si>
    <t>coronavirus relief fund (aid to state and local)</t>
  </si>
  <si>
    <t>provider relief</t>
  </si>
  <si>
    <t>education</t>
  </si>
  <si>
    <t xml:space="preserve">other state and local </t>
  </si>
  <si>
    <t>grants to tribal governments</t>
  </si>
  <si>
    <t>Environment Grants</t>
  </si>
  <si>
    <t>human services and community supports, minus childcare policies</t>
  </si>
  <si>
    <t>other transportation</t>
  </si>
  <si>
    <t>Child care and development block grant program</t>
  </si>
  <si>
    <t>Mental Health</t>
  </si>
  <si>
    <t>Homeland Security Grants</t>
  </si>
  <si>
    <t>Title 9 other</t>
  </si>
  <si>
    <t>commerce and science federal spending</t>
  </si>
  <si>
    <t>VA</t>
  </si>
  <si>
    <t>Medical Supplies</t>
  </si>
  <si>
    <t>miscellaneous from T9</t>
  </si>
  <si>
    <t>covid containment/vaccination</t>
  </si>
  <si>
    <t>ppp</t>
  </si>
  <si>
    <t>grants to small businesses</t>
  </si>
  <si>
    <t>small business credit initiative</t>
  </si>
  <si>
    <t>paid_sick_leave</t>
  </si>
  <si>
    <t>employee_retention</t>
  </si>
  <si>
    <t>pensions</t>
  </si>
  <si>
    <t>transit and aviation support</t>
  </si>
  <si>
    <t>Foreign Aid</t>
  </si>
  <si>
    <t>Separate Accounting</t>
  </si>
  <si>
    <t>restaurant</t>
  </si>
  <si>
    <t>Spreading Fiscal Year Totals over Quarters</t>
  </si>
  <si>
    <t>FY</t>
  </si>
  <si>
    <t>date</t>
  </si>
  <si>
    <t>2021Q1</t>
  </si>
  <si>
    <t>2021Q2</t>
  </si>
  <si>
    <t>2021Q3</t>
  </si>
  <si>
    <t>2021Q4</t>
  </si>
  <si>
    <t>2022Q1</t>
  </si>
  <si>
    <t>2022Q2</t>
  </si>
  <si>
    <t>2022Q3</t>
  </si>
  <si>
    <t>2022Q4</t>
  </si>
  <si>
    <t>2023Q1</t>
  </si>
  <si>
    <t>2023Q2</t>
  </si>
  <si>
    <t>2023Q3</t>
  </si>
  <si>
    <t>2023Q4</t>
  </si>
  <si>
    <t>2024Q1</t>
  </si>
  <si>
    <t>2024Q2</t>
  </si>
  <si>
    <t>2024Q3</t>
  </si>
  <si>
    <t>2024Q4</t>
  </si>
  <si>
    <t>2025Q1</t>
  </si>
  <si>
    <t>2025Q2</t>
  </si>
  <si>
    <t>2025Q3</t>
  </si>
  <si>
    <t>2025Q4</t>
  </si>
  <si>
    <t>rebate_checks_timing</t>
  </si>
  <si>
    <t>ui_timing</t>
  </si>
  <si>
    <t>snap_timing</t>
  </si>
  <si>
    <t>other_direct_aid_timing</t>
  </si>
  <si>
    <t>other_vulnerable_timing</t>
  </si>
  <si>
    <t>aid to small businesses_timing</t>
  </si>
  <si>
    <t>health_grants_timing</t>
  </si>
  <si>
    <t>grants_timing</t>
  </si>
  <si>
    <t>capital transfers</t>
  </si>
  <si>
    <t>purchases timing</t>
  </si>
  <si>
    <t>SPENDING ASSUMPTIONS</t>
  </si>
  <si>
    <t>grants_mpc</t>
  </si>
  <si>
    <t>arp coronavirus relief fund MPC</t>
  </si>
  <si>
    <t>** when extend, make it add to 1</t>
  </si>
  <si>
    <t>column with score</t>
  </si>
  <si>
    <t>Calendar</t>
  </si>
  <si>
    <t>2025 Q2</t>
  </si>
  <si>
    <t>2025 Q3</t>
  </si>
  <si>
    <t>2025 Q4</t>
  </si>
  <si>
    <t>Subsidies ex Provider Relief</t>
  </si>
  <si>
    <t>Provider Relief Subsidies</t>
  </si>
  <si>
    <t>Provider Relief Grants</t>
  </si>
  <si>
    <t>Divide out Subsidies ex provider relief</t>
  </si>
  <si>
    <t xml:space="preserve">support for transit </t>
  </si>
  <si>
    <t>Restaurant Revitalization Fund (include grants to venues, which is small)</t>
  </si>
  <si>
    <t>Spending out of  education stabilization and other ARP grant</t>
  </si>
  <si>
    <t xml:space="preserve">q2 </t>
  </si>
  <si>
    <t>q4</t>
  </si>
  <si>
    <t>Spending out of coronavirus relief fund and other grants, not including education stabilization</t>
  </si>
  <si>
    <t xml:space="preserve">Check </t>
  </si>
  <si>
    <t>total provider relief</t>
  </si>
  <si>
    <t>Add Factor on Other ARP aid to S+L to match data rather than our disbursement assumptions</t>
  </si>
  <si>
    <t>ylwsd</t>
  </si>
  <si>
    <t>yop</t>
  </si>
  <si>
    <t>ycpd</t>
  </si>
  <si>
    <t>ypiar</t>
  </si>
  <si>
    <t xml:space="preserve">Wage and Salaries </t>
  </si>
  <si>
    <t>gfsubr</t>
  </si>
  <si>
    <t>gfsubd</t>
  </si>
  <si>
    <t>yri</t>
  </si>
  <si>
    <t>federal_social_benefits_override</t>
  </si>
  <si>
    <t>federal_other_vulnerable_arp_override</t>
  </si>
  <si>
    <t>federal_other_direct_aid_arp_override</t>
  </si>
  <si>
    <t>Federal Social Benefits Historical Override</t>
  </si>
  <si>
    <t>ARP Direct Aid Historical Override</t>
  </si>
  <si>
    <t>ARP Other Vulnerable Historical Override</t>
  </si>
  <si>
    <t>Child tax credit</t>
  </si>
  <si>
    <t>Other Direct Aid plus Provider Relief</t>
  </si>
  <si>
    <t xml:space="preserve">ARP Other Direct Aid plus Provider Relief </t>
  </si>
  <si>
    <t xml:space="preserve">Child Tax Credit </t>
  </si>
  <si>
    <t>Other legislation "add factor" (Table 3)</t>
  </si>
  <si>
    <t>FIM Federal Social Benefits</t>
  </si>
  <si>
    <t>Portion of Social Benefits we've accounted for in detail</t>
  </si>
  <si>
    <t>NIPA Federal Social Benefits minus what we've accounted for</t>
  </si>
  <si>
    <t>Counterfactual Social Benefits (no pandemic legislation)</t>
  </si>
  <si>
    <t>Underlying Social Benefits (less UI, Medicare, Child Tax Credit and pandemic legislation)</t>
  </si>
  <si>
    <t>Calculating Underlying Social Benefits and Add Factor for Unaccounted Legislation</t>
  </si>
  <si>
    <t>State Social Benefits (NIPA Definition)</t>
  </si>
  <si>
    <t>FIM State Social Benefits</t>
  </si>
  <si>
    <t>Growth rate</t>
  </si>
  <si>
    <t>CBO NIPA</t>
  </si>
  <si>
    <t>CBO NIPA Translation Social Benefits</t>
  </si>
  <si>
    <t>cbo less our medicare</t>
  </si>
  <si>
    <t>Growth rate to make our benefits equal to CBO</t>
  </si>
  <si>
    <t>Our Medicare</t>
  </si>
  <si>
    <t>Our social benefits</t>
  </si>
  <si>
    <t>Ours-CBO</t>
  </si>
  <si>
    <t>Line</t>
  </si>
  <si>
    <t>Update unemployment rate and state and local employment and construction numbers</t>
  </si>
  <si>
    <t>Table-- reminding us that personal income tables don't include PPP to corporates, so we need a new table estimating the share that goes to corp</t>
  </si>
  <si>
    <t>PPP to Businesses</t>
  </si>
  <si>
    <t>PPP to Corporations</t>
  </si>
  <si>
    <t>SHARES</t>
  </si>
  <si>
    <t>Corp to Business ratio</t>
  </si>
  <si>
    <t>ARP Other Direct Aid + Provider Relief</t>
  </si>
  <si>
    <t>When the update is finished, set the top of the fiscal_impact script, set overwrite files to FALSE. This will prevent the saved archival forecast from the update from being overwritten if you change the FIM at all within the same month as the most recent update.</t>
  </si>
  <si>
    <t xml:space="preserve">At the top of the fiscal_impact script, set overwrite files to TRUE. This will automatically save the forecast sheet for this update in its archival folder. </t>
  </si>
  <si>
    <t>yptocm</t>
  </si>
  <si>
    <t xml:space="preserve">We use these to gauge our forecast for state purchases. </t>
  </si>
  <si>
    <t>Add factor on non-corp taxes to account for taxes coming higher than CBO forecasted (until we get new CBO)</t>
  </si>
  <si>
    <t>federal_aid_to_small_businesses_arp_override</t>
  </si>
  <si>
    <t>Add factor on spending out of grants to reflect that state spending has been lower than we expected even though grants disbursements have come in higher</t>
  </si>
  <si>
    <t>https://www.cbo.gov/publication/57037</t>
  </si>
  <si>
    <t>A comparison of BEA's revisions for the latest quarter of data to the last release's data</t>
  </si>
  <si>
    <t>Monthly Personal Income ("Month" MPI)</t>
  </si>
  <si>
    <t>Our projection for the components of the FIM, calling from our forecast sheets; this is what we read into the code.</t>
  </si>
  <si>
    <t>Each of these sheets generates our forecast for one (or a few) of the variables that we read into the code in the forecast sheet. This is the main part of the workbook that you will edit each update.</t>
  </si>
  <si>
    <t>Component Sheets (Grants, Medicare, Social Benefits, etc.)</t>
  </si>
  <si>
    <t>BEA data read in from Haver; called by Revisions and the component sheets to generate our forecasts. We copy and paste updated data into this sheet each time there's a new BEA release. It is very important that the order of variables in this sheet does not change, so that the formulas in other sheets call the correct row.</t>
  </si>
  <si>
    <t>Timing MPCs that we use to spread out ARP Score's fiscal year totals into quarters in ARP Quarterly. Generally you won't touch this without Louise.</t>
  </si>
  <si>
    <t>Quarterly spending out of the ARP; this is where we call scores of ARP components from in other sheets. Generally you won't touch this without Louise.</t>
  </si>
  <si>
    <t>All CBO references have a comment with where to find the data that's copy pasted in so we can verify/find it again. I write the name of the release, table and row. It is important to keep these up to date so there isn't confusion about where the numbers come from, since they are hard-coded!</t>
  </si>
  <si>
    <t>Prepare this month's spreadsheet for a new quarter of data to be read in from Haver.</t>
  </si>
  <si>
    <t xml:space="preserve">This is a somewhat complicated part of a new quarter update. Most rows change their formulas from the historical to projection period, so you have to carefully pull forward the historical period to include the new quarter of data. </t>
  </si>
  <si>
    <t xml:space="preserve">Prepare the Revisions sheet for the new quarter </t>
  </si>
  <si>
    <t>If this table has been released, create a new sheet called "Month" MPI with the table. You don't need to include the month to month changes, just the levels. It's helpful to highlight the rows in the table that are relevant to us.</t>
  </si>
  <si>
    <t>Looking over and editing our forecast</t>
  </si>
  <si>
    <t>Component Sheets</t>
  </si>
  <si>
    <t>Take a look at the forecast comparison sheet. How much has our forecast changed? Are there any components that have changed considerably, that we need to pay attention to?</t>
  </si>
  <si>
    <t>Show Louise</t>
  </si>
  <si>
    <t xml:space="preserve">Walk Louise through the changes-- she typically makes some adjustments to the forecast. Once she signs off on the spreadsheet, you'll run the code to calculate the FIM. </t>
  </si>
  <si>
    <t>At the top of the fiscal_impact script, set overwrite files to TRUE. This will automatically save the forecast sheet for this update in its archival folder (results/update month/input_data).</t>
  </si>
  <si>
    <r>
      <t xml:space="preserve">In the Revisions sheet, </t>
    </r>
    <r>
      <rPr>
        <b/>
        <sz val="11"/>
        <color theme="1"/>
        <rFont val="Calibri"/>
        <family val="2"/>
        <scheme val="minor"/>
      </rPr>
      <t>copy paste the "Current Update" column into the "Last Update" column</t>
    </r>
    <r>
      <rPr>
        <sz val="11"/>
        <color theme="1"/>
        <rFont val="Calibri"/>
        <family val="2"/>
        <scheme val="minor"/>
      </rPr>
      <t xml:space="preserve"> (make sure you paste it hard-coded using Paste Values). Relabel the columns with the quarter and which revision they represent (initial release, first revision, or second revision).</t>
    </r>
  </si>
  <si>
    <t xml:space="preserve">This sheet allows us to see how the raw inputs to the FIM have changed; it can help us parse out which changes to our forecast are due to BEA data revisions and which are due to our own formulas. </t>
  </si>
  <si>
    <t>Prepare the Revisions sheet</t>
  </si>
  <si>
    <t>Forecast Comparison Sheet</t>
  </si>
  <si>
    <t>Start with the Revisions sheet. How has BEA revised the data? How should we expect our forecast of each component to change, given their revision?</t>
  </si>
  <si>
    <t>Take a look at the forecast comparison sheet. How much has our forecast changed? Are there any components that have changed considerably, that we need to pay attention to? Anything unexpected, given what we saw in the Revisions sheet?</t>
  </si>
  <si>
    <t>Look through each component forecast to see if anything looks strange/hugely different. This is where the archived forecast from last month comes in handy-- you can compare our forecast of this quarter to the data we've just pulled in to track why our forecast has changed. Check formulas, etc.</t>
  </si>
  <si>
    <r>
      <rPr>
        <b/>
        <sz val="11"/>
        <color theme="1"/>
        <rFont val="Calibri"/>
        <family val="2"/>
        <scheme val="minor"/>
      </rPr>
      <t xml:space="preserve">Methodology: </t>
    </r>
    <r>
      <rPr>
        <sz val="11"/>
        <color theme="1"/>
        <rFont val="Calibri"/>
        <family val="2"/>
        <scheme val="minor"/>
      </rPr>
      <t>The Provider Relief Fund goes to health care providers-- some to nonprofits, some to public hospitals, and some to for-profit hospitals. We classify the funds as social benefits, grants and subsidies respectively. We get historical data on the three parts from the BEA and project forward the total using judgement, ensuring it sums to the total funds legislated (although we've been having some trouble matching numbers found online). We then project the three pieces using their historical share of the total. The pieces of the ARP's Provider Relief Fund come from our ARP Score.</t>
    </r>
  </si>
  <si>
    <r>
      <t>Methodology:</t>
    </r>
    <r>
      <rPr>
        <sz val="11"/>
        <color theme="1"/>
        <rFont val="Arial"/>
        <family val="2"/>
      </rPr>
      <t xml:space="preserve"> To forecast subsidies, we split them up into legislative and non-legislative subsidies to help us keep track of pandemic legislation versus regular, underlying subsidy payments, and then into ARP and non-ARP because they receive separate MPCs in the code.</t>
    </r>
  </si>
  <si>
    <r>
      <t xml:space="preserve">Methodology: </t>
    </r>
    <r>
      <rPr>
        <sz val="11"/>
        <color theme="1"/>
        <rFont val="Arial"/>
        <family val="2"/>
      </rPr>
      <t>The BEA gives us historical data on total Medicaid spending and federal Medicaid spending (in the form of grants to states). In order to project federal and state Medicaid spending separately, we need to know the federal share of total Medicaid spending (the FMAP). In Table 1, we calculate our quarterly FMAP using the ratio of federal to total spending from the BEA data in the historical period. Our projection of the FMAP (without the effects of the American Rescue Plan) is determined as follows: from 2021 Q3 to 2022 Q3 (when we assume the enhanced FMAP from pandemic legislation turns off because our guess of the end of the public health emergency), we take the average of the 2020 Q4 and 2021 Q1 FMAPs; in 2022 Q3 and onwards, we take the average of FY 2019 quarters (2018 Q4 - 2019 Q3). Our projection of the FMAP (accounting for the effects of ARP) is determined differently, incorporating a temporary increase in the FMAP from the expansion of ACA coverage, the 100% FMAP for urban, indian, and Hawaiian organizations, and a temporary increase in the FMAP for expanding HCBS (all from ARP). We take the sum of the values of these changes as a share of total pre-ARP medicaid to estimate their effects on the FMAP. We add these effects for each quarter to get the post-ARP FMAP. 
In Table 2, we calculate the annual growth rate of total Medicaid spending in the projection period. We back out projected annual total Medicaid spending by dividing CBO's projected federal Medicaid outlays by the annual FMAP (defined as the average of the quarterly FMAP by fiscal year), and use this to get the annual growth rate of total Medicaid spending.
In Table 3, we project forward the quarterly total Medicaid from BEA using the deannualized growth rate from Table 2, and use our projected quarterly FMAP to back out quarterly federal and state Medicaid spending.</t>
    </r>
  </si>
  <si>
    <r>
      <t xml:space="preserve">Methodology: </t>
    </r>
    <r>
      <rPr>
        <sz val="11"/>
        <color theme="1"/>
        <rFont val="Arial"/>
        <family val="2"/>
      </rPr>
      <t xml:space="preserve">BEA gives us total Medicare spending (all federal), which we grow using the growth rate of the four-quarter moving average of CBO's projected Medicare spending. CBO Medicare in 2020 is higher because of advance payments to providers that BEA doesn't appear to account for, so we use the growth rate from pre-pandemic CBO to adjust (see Table 2). Also, the CARES act temporarily suspended Medicare sequestration and that's going back on at end of 2022, so we subtract $16 billion in 2023 onwards to reflect that higher level now because of lack of sequestration.  																							
												</t>
    </r>
    <r>
      <rPr>
        <b/>
        <sz val="11"/>
        <color theme="1"/>
        <rFont val="Arial"/>
        <family val="2"/>
      </rPr>
      <t xml:space="preserve">											
																							</t>
    </r>
  </si>
  <si>
    <t xml:space="preserve">Methodology: </t>
  </si>
  <si>
    <t xml:space="preserve">See Hutchins Center Documents/Projects/Fiscal Impact/Updating the FIM Website.docx </t>
  </si>
  <si>
    <t xml:space="preserve">In each component sheet, drag forward EVERY row that calls Haver Pivoted (you can identify those by the haver codes written next to the variable name) or depends on Haver Pivoted data forward one column into the upcoming quarter. Please change the color formatting and labeling of the historical versus projection periods accordingly to avoid confusion. The new quarters will show either nothing or a #REF error; ignore this. The cells will fill with the new data that we read in when BEA releases the new quarter. DOUBLE CHECK your work-- it is important to ensure that every row that needs to be pulled forward, is. </t>
  </si>
  <si>
    <t>Total  Federal Subsidies</t>
  </si>
  <si>
    <t>federal_corporate_taxes_override</t>
  </si>
  <si>
    <t>state_corporate_taxes_override</t>
  </si>
  <si>
    <t>Federal Corporate Taxes Advanced Estimate Override</t>
  </si>
  <si>
    <t>State Corporate Taxes Advanced Estimate Override</t>
  </si>
  <si>
    <r>
      <t xml:space="preserve">Run fim/data-raw/haver-pull.R. This script automatically pastes new </t>
    </r>
    <r>
      <rPr>
        <sz val="11"/>
        <color theme="1"/>
        <rFont val="Calibri"/>
        <family val="2"/>
        <scheme val="minor"/>
      </rPr>
      <t>data into the "Haver Pivoted" sheet. The order of the Haver codes should be preserved</t>
    </r>
    <r>
      <rPr>
        <b/>
        <sz val="11"/>
        <color rgb="FF000000"/>
        <rFont val="Calibri"/>
        <family val="2"/>
      </rPr>
      <t xml:space="preserve"> </t>
    </r>
    <r>
      <rPr>
        <sz val="11"/>
        <color theme="1"/>
        <rFont val="Calibri"/>
        <family val="2"/>
        <scheme val="minor"/>
      </rPr>
      <t>each update. If you need to pull more variables from Haver make sure they're at the bottom.</t>
    </r>
  </si>
  <si>
    <t xml:space="preserve">The fiscal_impact script (the main script we use to calcualte the FIM) has five sections: 
Wrangle data-- here, we read in historical data from the BEA and the latest CBO Ten Year Baseline projections. We prep the historical data to be merged with our forecast by adjusting the BEA categories into the components we use for the FIM (see forecast sheet for those components). We also use the CBO projections to calculate the CBO's potential GDP growth projection for use later in the script.
Projection-- in this section we read in the "forecast" sheet from this spreadsheet, merge it with the historical data we cleaned in the previous section, and combine the medicaid and medicare variables into categories of "health outlays", since they have the same MPC and don't need to be kept separate. We keep them apart in the spreadsheet because it's easier to combine them in the code rather than across worksheets.
Consumption-- this is where a lot of the FIM methodology gets executed. First we subtract the counterfactual version of the components from our actual forecasted components to get the difference between actual spending and counterfactual spending; then we spread out spending of the net for each component using our MPCs. 
Contribution-- here we annualize the components and turn them into the GDP growth contributions by dividing by the lag of GDP and adjusting for inflation; then we rename a few variables and sum them into the final FIM categories.
Comparison-- this section creates a table and plots with last month's FIM, this month's FIM, and the differences between them. </t>
  </si>
  <si>
    <t>The comparison section of fiscal_impact.R renders the update-comparison.rmd file which generates graphs comparing last month and this month's components of the FIM. These help us to check for errors and see how much our forecast has changed since the last update. It outputs  to results/{this-month-year}/update-comparison-{this-month-year}.html and a copy named index.html is created in the parent directory.  It's called index.html so that GitHub knows to use it as a github site. Once you finish running fiscal_impact.R you should commit and push your changes to GitHub. Then make sure that the most recent version of index.html is published at https://github.com/Hutchins-Center/fim  (you can find this link under the about page on the FIM's github repo (Hutchins-Center/fim). Share updated link and go through this with Louise.</t>
  </si>
  <si>
    <t>This step is automated when running fiscal_impact.R</t>
  </si>
  <si>
    <t>Finalizing update</t>
  </si>
  <si>
    <t>Once you finalize the update make sure to commit any changes and push them. I recommend labeling this commit '{Year-Quarter} Update finalized' so you can always return to that point in time in the commit history if needed.</t>
  </si>
  <si>
    <t xml:space="preserve">git add .                                                                                                                                                                                                                                                                                                                                                                                                                                                                                                                                                          git commit -m '{Year-Quarter} Update finalized                                                                                                                                                                                                                                                                                                                                                                                                                                                                                                                                                                 git push                                                                                                                                                                                                                                                                                                                                                                                                                                                                                                                                                                                                         Or your prefferd method for commiting/pushing                                                                                                                                                                                                                                                                                                                                                                                                                                                                                                                                                                                                                                                                       </t>
  </si>
  <si>
    <t>Pull update cbo projections data</t>
  </si>
  <si>
    <t xml:space="preserve">Open up the fim R project by clicking on the "fim.Rproj" file. Type "CTRL + SHIFT + L" to load the fim package. Open fiscal_impact.R. This is the main script that we use to calculate the FIM. </t>
  </si>
  <si>
    <t>You may need to download the latest files at: 
https://www.cbo.gov/data/budget-economic-data</t>
  </si>
  <si>
    <t>Look at the output of index.html</t>
  </si>
  <si>
    <t xml:space="preserve">Fiscal_impact.R runs and knits compare-update.Rmd. Go over the changes from the last update that are due to the CBO with Louise. Make sure everything looks normal. These changes will be published along with the next monthly update. </t>
  </si>
  <si>
    <t>Haver codes</t>
  </si>
  <si>
    <t>Monthly State and Local Employment, for Reference (pulled from data/monthly_state_employment.xlsx)</t>
  </si>
  <si>
    <t>Update the table in the Federal and State Purchases sheet by dragging the formula to the next column. The formulas call cells from "data/monthly_state_employment.xlsx" which is created from "data-raw/haver-pull.R"</t>
  </si>
  <si>
    <r>
      <t>(Billions of dollars, seasonally adjusted at</t>
    </r>
    <r>
      <rPr>
        <b/>
        <sz val="11"/>
        <rFont val="Calibri"/>
        <family val="2"/>
        <scheme val="minor"/>
      </rPr>
      <t xml:space="preserve"> annual</t>
    </r>
    <r>
      <rPr>
        <b/>
        <sz val="11"/>
        <color theme="1"/>
        <rFont val="Calibri"/>
        <family val="2"/>
        <scheme val="minor"/>
      </rPr>
      <t xml:space="preserve"> rates)</t>
    </r>
  </si>
  <si>
    <r>
      <rPr>
        <sz val="11"/>
        <rFont val="Calibri"/>
        <family val="2"/>
        <scheme val="minor"/>
      </rPr>
      <t>4. Unemployment insurance benefits were expanded through several programs that were initially established through the CARES Act. For more information, see</t>
    </r>
    <r>
      <rPr>
        <u/>
        <sz val="11"/>
        <color theme="10"/>
        <rFont val="Calibri"/>
        <family val="2"/>
        <scheme val="minor"/>
      </rPr>
      <t xml:space="preserve"> How will the expansion of unemployment benefits in response to the COVID-19 pandemic be recorded in the NIPAs?</t>
    </r>
  </si>
  <si>
    <t>5. The American Rescue Plan increased the Child Tax Credit to $3,000 per child over the age of six and $3,600 for children under the age of six, and raised the age limit from 16 to 17. It also authorized that up to half of these credits could be distributed through advance payments during the tax year, while the rest would be claimed when parents file tax returns the following year.</t>
  </si>
  <si>
    <r>
      <rPr>
        <sz val="11"/>
        <rFont val="Calibri"/>
        <family val="2"/>
        <scheme val="minor"/>
      </rPr>
      <t>6. Economic impact payments, initially established by the CARES Act, provide direct payments to individuals. For more information, see</t>
    </r>
    <r>
      <rPr>
        <u/>
        <sz val="11"/>
        <color theme="10"/>
        <rFont val="Calibri"/>
        <family val="2"/>
        <scheme val="minor"/>
      </rPr>
      <t xml:space="preserve"> How are federal economic impact payments to support individuals during the COVID-19 pandemic recorded in the NIPAs?</t>
    </r>
  </si>
  <si>
    <t xml:space="preserve">7. The Federal Emergency Management Agency (FEMA) was authorized to make payments from the Disaster Relief Fund to supplement wages lost as a result of the COVID-19 pandemic. </t>
  </si>
  <si>
    <t>8. The Department of Health and Human Services distributes money from the Provider Relief Fund to hospitals and health care providers on the front lines of the coronavirus response. This funding supports health care-related expenses or lost revenue attributable to COVID-19 and ensures uninsured Americans can get treatment for COVID-19. In the NIPAs, funds provided to nonprofit hospitals are recorded as social benefits.</t>
  </si>
  <si>
    <r>
      <rPr>
        <sz val="11"/>
        <rFont val="Calibri"/>
        <family val="2"/>
        <scheme val="minor"/>
      </rPr>
      <t>9. Interest payments due on certain categories of federally-held student loans were initially suspended by the CARES Act. For more information, see</t>
    </r>
    <r>
      <rPr>
        <u/>
        <sz val="11"/>
        <color theme="10"/>
        <rFont val="Calibri"/>
        <family val="2"/>
        <scheme val="minor"/>
      </rPr>
      <t xml:space="preserve"> How does the federal response to the COVID-19 pandemic affect BEA's estimate of personal interest payments?</t>
    </r>
  </si>
  <si>
    <r>
      <rPr>
        <sz val="11"/>
        <rFont val="Calibri"/>
        <family val="2"/>
        <scheme val="minor"/>
      </rPr>
      <t xml:space="preserve">NOTE: For national statistics,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t>
    </r>
    <r>
      <rPr>
        <u/>
        <sz val="11"/>
        <color theme="10"/>
        <rFont val="Calibri"/>
        <family val="2"/>
        <scheme val="minor"/>
      </rPr>
      <t xml:space="preserve">Why does BEA publish estimates at annual rates? </t>
    </r>
    <r>
      <rPr>
        <sz val="11"/>
        <rFont val="Calibri"/>
        <family val="2"/>
        <scheme val="minor"/>
      </rPr>
      <t>on BEA's website.</t>
    </r>
  </si>
  <si>
    <t>Add factor</t>
  </si>
  <si>
    <t>Federal Share (FMAP)</t>
  </si>
  <si>
    <t>End of public health emergency</t>
  </si>
  <si>
    <t>Nonwage Income</t>
  </si>
  <si>
    <t>May 2022 CBO Tax Base Quarterly Projections</t>
  </si>
  <si>
    <t>Seasonally adjusted at annual rates</t>
  </si>
  <si>
    <r>
      <t>Jan.</t>
    </r>
    <r>
      <rPr>
        <vertAlign val="superscript"/>
        <sz val="11"/>
        <rFont val="Calibri"/>
        <family val="2"/>
      </rPr>
      <t xml:space="preserve"> r</t>
    </r>
    <r>
      <rPr>
        <sz val="11"/>
        <rFont val="Calibri"/>
        <family val="2"/>
      </rPr>
      <t/>
    </r>
  </si>
  <si>
    <r>
      <t>Feb.</t>
    </r>
    <r>
      <rPr>
        <vertAlign val="superscript"/>
        <sz val="11"/>
        <rFont val="Calibri"/>
        <family val="2"/>
      </rPr>
      <t xml:space="preserve"> r</t>
    </r>
    <r>
      <rPr>
        <sz val="11"/>
        <rFont val="Calibri"/>
        <family val="2"/>
      </rPr>
      <t/>
    </r>
  </si>
  <si>
    <r>
      <t>March</t>
    </r>
    <r>
      <rPr>
        <vertAlign val="superscript"/>
        <sz val="11"/>
        <rFont val="Calibri"/>
        <family val="2"/>
      </rPr>
      <t xml:space="preserve"> r</t>
    </r>
    <r>
      <rPr>
        <sz val="11"/>
        <rFont val="Calibri"/>
        <family val="2"/>
      </rPr>
      <t/>
    </r>
  </si>
  <si>
    <r>
      <t>April</t>
    </r>
    <r>
      <rPr>
        <vertAlign val="superscript"/>
        <sz val="11"/>
        <rFont val="Calibri"/>
        <family val="2"/>
      </rPr>
      <t xml:space="preserve"> p</t>
    </r>
    <r>
      <rPr>
        <sz val="11"/>
        <rFont val="Calibri"/>
        <family val="2"/>
      </rPr>
      <t/>
    </r>
  </si>
  <si>
    <t>We get the projected growth rate from the projected BEA level</t>
  </si>
  <si>
    <t>We project the BEA level using the growth rate from the CBO</t>
  </si>
  <si>
    <t>Note: these are for fiscal years which go from Q4-Q3</t>
  </si>
  <si>
    <t>Throughout the forecast spreadsheets, we use CBO projections to forecast certain FIM components. Every row taken from CBO will be marked as such, with comments indicating which update, table and row the numbers are from to make it easier to find. Replace the CBO numbers with the new forecast, and make sure to change the comments so that they reflect the new row #s. Copy paste the old table/old rows near the table from last update's forecast sheet for comparison. Then, we go through each part of the sheet that uses CBO with Louise, and decide how we want to change the forecast or simply update the old CBO rows with new CBO projections, based on the CBO revisions. Make sure to label the old and new CBO numbers clearly!</t>
  </si>
  <si>
    <t xml:space="preserve">Approximately every quarter, the CBO releases new Ten-Year Budget and Economic Projections. We use these to update our projections for GDP and inflation, and in a number of the forecast sheets. When the new projections come out, we incorporate them into the sheet and code, and then wait to release the updated FIM until the next monthly update. The inst/extdata/projections.xlsx workbook is updated with the new CBO numbers. The data-raw/projections.R script cleans them to be readable in R. </t>
  </si>
  <si>
    <t>Update CBO data in inst/extdata/projections.xlsx. Refer to the dictionary sheet to figure out which lines of the CBO update correspond to the Haver codes. Open the FIM project by clicking on the "fim.Rproj" file. Run data-raw/projections.R</t>
  </si>
  <si>
    <t>Copy paste the forecast table from the most recent update (Past Values Only) into the "Previous Forecast" table.</t>
  </si>
  <si>
    <t>yptmr</t>
  </si>
  <si>
    <t>gf</t>
  </si>
  <si>
    <t>Higher COVID Payment Rates (not used - kept for reference)</t>
  </si>
  <si>
    <r>
      <t>Quarterly FMAP =</t>
    </r>
    <r>
      <rPr>
        <sz val="10"/>
        <color theme="1"/>
        <rFont val="Arial"/>
        <family val="2"/>
      </rPr>
      <t xml:space="preserve"> Federal Medicaid grants/ Total Medicaid spending </t>
    </r>
    <r>
      <rPr>
        <b/>
        <sz val="10"/>
        <color theme="1"/>
        <rFont val="Arial"/>
        <family val="2"/>
      </rPr>
      <t xml:space="preserve">
Annual FMAP =</t>
    </r>
    <r>
      <rPr>
        <sz val="10"/>
        <color theme="1"/>
        <rFont val="Arial"/>
        <family val="2"/>
      </rPr>
      <t xml:space="preserve"> Average Quarterly FMAP for the Fiscal Year (Q4-Q3)
</t>
    </r>
    <r>
      <rPr>
        <b/>
        <sz val="10"/>
        <color theme="1"/>
        <rFont val="Arial"/>
        <family val="2"/>
      </rPr>
      <t xml:space="preserve">Total Medicaid in fiscal year = </t>
    </r>
    <r>
      <rPr>
        <sz val="10"/>
        <color theme="1"/>
        <rFont val="Arial"/>
        <family val="2"/>
      </rPr>
      <t xml:space="preserve">CBO projection of Medicaid Outlays/ Annual FMAP </t>
    </r>
    <r>
      <rPr>
        <b/>
        <sz val="10"/>
        <color theme="1"/>
        <rFont val="Arial"/>
        <family val="2"/>
      </rPr>
      <t xml:space="preserve">
Total Medicaid annual growth rate =</t>
    </r>
    <r>
      <rPr>
        <sz val="10"/>
        <color theme="1"/>
        <rFont val="Arial"/>
        <family val="2"/>
      </rPr>
      <t xml:space="preserve">(Total Medicaid_t / Total Medicaid_t-1) -1 
</t>
    </r>
    <r>
      <rPr>
        <b/>
        <sz val="10"/>
        <color theme="1"/>
        <rFont val="Arial"/>
        <family val="2"/>
      </rPr>
      <t xml:space="preserve">
Total Medicaid projection = </t>
    </r>
    <r>
      <rPr>
        <sz val="10"/>
        <color theme="1"/>
        <rFont val="Arial"/>
        <family val="2"/>
      </rPr>
      <t xml:space="preserve">Total Medicaid spending*(1+Total Medicaid Annual Growth Rate)^(0.25) + add factor
</t>
    </r>
    <r>
      <rPr>
        <b/>
        <sz val="10"/>
        <color theme="1"/>
        <rFont val="Arial"/>
        <family val="2"/>
      </rPr>
      <t>FMAP projection</t>
    </r>
    <r>
      <rPr>
        <sz val="10"/>
        <color theme="1"/>
        <rFont val="Arial"/>
        <family val="2"/>
      </rPr>
      <t xml:space="preserve"> = Previous FY FMAP + CBO FMAP effects from ARP
</t>
    </r>
    <r>
      <rPr>
        <b/>
        <sz val="10"/>
        <color theme="1"/>
        <rFont val="Arial"/>
        <family val="2"/>
      </rPr>
      <t>Federal Medicaid Projection</t>
    </r>
    <r>
      <rPr>
        <sz val="10"/>
        <color theme="1"/>
        <rFont val="Arial"/>
        <family val="2"/>
      </rPr>
      <t xml:space="preserve"> = Total Medicaid projection * FMAP</t>
    </r>
    <r>
      <rPr>
        <b/>
        <sz val="10"/>
        <color theme="1"/>
        <rFont val="Arial"/>
        <family val="2"/>
      </rPr>
      <t xml:space="preserve"> </t>
    </r>
    <r>
      <rPr>
        <sz val="10"/>
        <color theme="1"/>
        <rFont val="Arial"/>
        <family val="2"/>
      </rPr>
      <t xml:space="preserve">projection
</t>
    </r>
    <r>
      <rPr>
        <b/>
        <sz val="10"/>
        <color theme="1"/>
        <rFont val="Arial"/>
        <family val="2"/>
      </rPr>
      <t>State Medicaid Projection</t>
    </r>
    <r>
      <rPr>
        <sz val="10"/>
        <color theme="1"/>
        <rFont val="Arial"/>
        <family val="2"/>
      </rPr>
      <t xml:space="preserve"> = Total Medicaid projection - Federal Medicaid Projection</t>
    </r>
  </si>
  <si>
    <r>
      <t xml:space="preserve">Total Medicare projection = </t>
    </r>
    <r>
      <rPr>
        <sz val="9"/>
        <color theme="1"/>
        <rFont val="Arial"/>
        <family val="2"/>
      </rPr>
      <t xml:space="preserve">Total Medicare + (1+growth rate of annual Medicare spending)^0.25 + add factor
</t>
    </r>
    <r>
      <rPr>
        <b/>
        <sz val="9"/>
        <color theme="1"/>
        <rFont val="Arial"/>
        <family val="2"/>
      </rPr>
      <t>Growth rate of Medicare spending</t>
    </r>
    <r>
      <rPr>
        <sz val="9"/>
        <color theme="1"/>
        <rFont val="Arial"/>
        <family val="2"/>
      </rPr>
      <t xml:space="preserve"> = (1+ CBO growth rate of annual Medicare spending less timing shift)</t>
    </r>
  </si>
  <si>
    <t>Methodology:
Federal
Total non-corporate projection = Personal income + Social Insurance + Production
Personal income projection = Personal income*(1+projected growth rate of individual income)^0.25
Projected growth rate of individual income = Projected income level_t/Personal income from BEA_t-1
Projected income level_t = Personal income from BEA_t-1 * (Growth rate of CBO projections of federal income)</t>
  </si>
  <si>
    <t>May</t>
  </si>
  <si>
    <t>Individual Income growth rate</t>
  </si>
  <si>
    <t>Social Insurance Contributions growth rate</t>
  </si>
  <si>
    <t>Production Taxes growth rate</t>
  </si>
  <si>
    <t>Corporate growth rate</t>
  </si>
  <si>
    <t>NIPA FY and forecast based on CBO growth rates</t>
  </si>
  <si>
    <t>no</t>
  </si>
  <si>
    <t>Annual medicare spending growth rate</t>
  </si>
  <si>
    <t xml:space="preserve">Copy paste the forecast table from the most recent update (Paste Values Only) into the "Previous Forecast" table. In both the forecast and forecast comparison sheets, delete the first column so that the forecast comparison sheet contains the upcoming quarter of data and the forecast going forward. </t>
  </si>
  <si>
    <t>yes</t>
  </si>
  <si>
    <t>Investment Grants Override</t>
  </si>
  <si>
    <t>investment_grants_override</t>
  </si>
  <si>
    <t>consumption_grants_deflator</t>
  </si>
  <si>
    <t>consumption_grants_deflator_growth</t>
  </si>
  <si>
    <t>investment_grants_deflator</t>
  </si>
  <si>
    <t>investment_grants_deflator_growth</t>
  </si>
  <si>
    <t>date</t>
  </si>
  <si>
    <t>id</t>
  </si>
  <si>
    <t>1970 Q1</t>
  </si>
  <si>
    <t>historical</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</si>
  <si>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</si>
  <si>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</si>
  <si>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</si>
  <si>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</si>
  <si>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</si>
  <si>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</si>
  <si>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</si>
  <si>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</si>
  <si>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</si>
  <si>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</si>
  <si>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</si>
  <si>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</si>
  <si>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</si>
  <si>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</si>
  <si>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</si>
  <si>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</si>
  <si>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</si>
  <si>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</si>
  <si>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</si>
  <si>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</si>
  <si>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</si>
  <si>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</si>
  <si>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</si>
  <si>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</si>
  <si>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</si>
  <si>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</si>
  <si>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</si>
  <si>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</si>
  <si>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</si>
  <si>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</si>
  <si>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</si>
  <si>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</si>
  <si>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</si>
  <si>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</si>
  <si>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</si>
  <si>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</si>
  <si>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</si>
  <si>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</si>
  <si>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</si>
  <si>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</si>
  <si>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</si>
  <si>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</si>
  <si>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</si>
  <si>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</si>
  <si>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</si>
  <si>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</si>
  <si>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</si>
  <si>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</si>
  <si>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</si>
  <si>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</si>
  <si>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</si>
  <si>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</si>
  <si>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</si>
  <si>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</si>
  <si>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</si>
  <si>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</si>
  <si>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</si>
  <si>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</si>
  <si>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</si>
  <si>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</si>
  <si>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</si>
  <si>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</si>
  <si>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</si>
  <si>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</si>
  <si>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</si>
  <si>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</si>
  <si>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</si>
  <si>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</si>
  <si>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</si>
  <si>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</si>
  <si>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</si>
  <si>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</si>
  <si>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</si>
  <si>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</si>
  <si>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</si>
  <si>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</si>
  <si>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</si>
  <si>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</si>
  <si>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</si>
  <si>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</si>
  <si>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</si>
  <si>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</si>
  <si>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</si>
  <si>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</si>
  <si>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</si>
  <si>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</si>
  <si>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</si>
  <si>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</si>
  <si>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</si>
  <si>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</si>
  <si>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</si>
  <si>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</si>
  <si>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</si>
  <si>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</si>
  <si>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</si>
  <si>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</si>
  <si>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</si>
  <si>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</si>
  <si>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</si>
  <si>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</si>
  <si>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</si>
  <si>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</si>
  <si>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</si>
  <si>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</si>
  <si>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</si>
  <si>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</si>
  <si>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</si>
  <si>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</si>
  <si>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</si>
  <si>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</si>
  <si>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</si>
  <si>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</si>
  <si>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</si>
  <si>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</si>
  <si>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</si>
  <si>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</si>
  <si>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</si>
  <si>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</si>
  <si>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</si>
  <si>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</si>
  <si>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</si>
  <si>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</si>
  <si>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</si>
  <si>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</si>
  <si>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</si>
  <si>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</si>
  <si>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</si>
  <si>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</si>
  <si>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</si>
  <si>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</si>
  <si>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</si>
  <si>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</si>
  <si>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</si>
  <si>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</si>
  <si>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</si>
  <si>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</si>
  <si>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</si>
  <si>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</si>
  <si>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</si>
  <si>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</si>
  <si>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</si>
  <si>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</si>
  <si>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</si>
  <si>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</si>
  <si>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</si>
  <si>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</si>
  <si>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</si>
  <si>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</si>
  <si>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</si>
  <si>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</si>
  <si>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</si>
  <si>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</si>
  <si>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</si>
  <si>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</si>
  <si>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</si>
  <si>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</si>
  <si>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</si>
  <si>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</si>
  <si>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</si>
  <si>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</si>
  <si>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</si>
  <si>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</si>
  <si>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</si>
  <si>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</si>
  <si>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</si>
  <si>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</si>
  <si>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</si>
  <si>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</si>
  <si>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</si>
  <si>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</si>
  <si>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</si>
  <si>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</si>
  <si>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</si>
  <si>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</si>
  <si>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</si>
  <si>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</si>
  <si>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</si>
  <si>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</si>
  <si>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</si>
  <si>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</si>
  <si>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</si>
  <si>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</si>
  <si>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</si>
  <si>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</si>
  <si>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</si>
  <si>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</si>
  <si>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</si>
  <si>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</si>
  <si>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</si>
  <si>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</si>
  <si>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</si>
  <si>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</si>
  <si>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</si>
  <si>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</si>
  <si>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</si>
  <si>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</si>
  <si>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</si>
  <si>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</si>
  <si>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</si>
  <si>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</si>
  <si>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2020 Q2</t>
  </si>
  <si>
    <t>2020 Q3</t>
  </si>
  <si>
    <t>2020 Q4</t>
  </si>
  <si>
    <t>2021 Q1</t>
  </si>
  <si>
    <t>2021 Q2</t>
  </si>
  <si>
    <t>2021 Q3</t>
  </si>
  <si>
    <t>2021 Q4</t>
  </si>
  <si>
    <t>2022 Q1</t>
  </si>
  <si>
    <t>2022 Q2</t>
  </si>
  <si>
    <t>2022 Q3</t>
  </si>
  <si>
    <t>projection</t>
  </si>
  <si>
    <t>2022 Q4</t>
  </si>
  <si>
    <t>2023 Q1</t>
  </si>
  <si>
    <t>2023 Q2</t>
  </si>
  <si>
    <t>2023 Q3</t>
  </si>
  <si>
    <t>2023 Q4</t>
  </si>
  <si>
    <t>2024 Q1</t>
  </si>
  <si>
    <t>2024 Q2</t>
  </si>
  <si>
    <t>2024 Q3</t>
  </si>
  <si>
    <t>2024 Q4</t>
  </si>
  <si>
    <t>2025 Q1</t>
  </si>
  <si>
    <t>2025 Q2</t>
  </si>
  <si>
    <t>2025 Q3</t>
  </si>
  <si>
    <t>2025 Q4</t>
  </si>
  <si>
    <t>2026 Q1</t>
  </si>
  <si>
    <t>2026 Q2</t>
  </si>
  <si>
    <t>2026 Q3</t>
  </si>
  <si>
    <t>2026 Q4</t>
  </si>
  <si>
    <t>2027 Q1</t>
  </si>
  <si>
    <t>2027 Q2</t>
  </si>
  <si>
    <t>2027 Q3</t>
  </si>
  <si>
    <t>2027 Q4</t>
  </si>
  <si>
    <t>2028 Q1</t>
  </si>
  <si>
    <t>2028 Q2</t>
  </si>
  <si>
    <t>2028 Q3</t>
  </si>
  <si>
    <t>2028 Q4</t>
  </si>
  <si>
    <t>2029 Q1</t>
  </si>
  <si>
    <t>2029 Q2</t>
  </si>
  <si>
    <t>2029 Q3</t>
  </si>
  <si>
    <t>2029 Q4</t>
  </si>
  <si>
    <t>2030 Q1</t>
  </si>
  <si>
    <t>2030 Q2</t>
  </si>
  <si>
    <t>2030 Q3</t>
  </si>
  <si>
    <t>2030 Q4</t>
  </si>
  <si>
    <t>2031 Q1</t>
  </si>
  <si>
    <t>2031 Q2</t>
  </si>
  <si>
    <t>2031 Q3</t>
  </si>
  <si>
    <t>2031 Q4</t>
  </si>
  <si>
    <t>2032 Q1</t>
  </si>
  <si>
    <t>2032 Q2</t>
  </si>
  <si>
    <t>2032 Q3</t>
  </si>
  <si>
    <t>IRA investment grants</t>
  </si>
  <si>
    <t>Inflation Reduction Act (2022)</t>
  </si>
  <si>
    <t>Desc</t>
  </si>
  <si>
    <t>Section</t>
  </si>
  <si>
    <t>2022-2026</t>
  </si>
  <si>
    <t>2022-2031</t>
  </si>
  <si>
    <t>Category</t>
  </si>
  <si>
    <t>Rationale/details</t>
  </si>
  <si>
    <t>Emergency drought relief for tribes</t>
  </si>
  <si>
    <t>Sec 80004</t>
  </si>
  <si>
    <t>Consumption grant</t>
  </si>
  <si>
    <t>Home energy rebates</t>
  </si>
  <si>
    <t>Sec 50121+Sec 50122+50123</t>
  </si>
  <si>
    <t>Reinstatement of Superfund (excise duty on production)</t>
  </si>
  <si>
    <t>Sec 13601</t>
  </si>
  <si>
    <t>Federal corporate tax</t>
  </si>
  <si>
    <t>National Forest System Restoration</t>
  </si>
  <si>
    <t>Sec 23001</t>
  </si>
  <si>
    <t>Federal purchase</t>
  </si>
  <si>
    <t>https://crsreports.congress.gov/product/pdf/IN/IN11978</t>
  </si>
  <si>
    <t xml:space="preserve">Interregional and offshore wind electricity modeling </t>
  </si>
  <si>
    <t>Sec 50153</t>
  </si>
  <si>
    <t>https://nawindpower.com/u-s-house-passes-inflation-reduction-act</t>
  </si>
  <si>
    <t>Low Emissions Electricity Program</t>
  </si>
  <si>
    <t>Sec 60107</t>
  </si>
  <si>
    <t>https://www.epw.senate.gov/public/_cache/files/c/8/c8c72459-0813-4341-838e-385576c69e98/D2D6B743CD39D2D0D07D46207543E2BE.08-10-2022-epw-inflation-reduction-act-section-by-section-final-clean.pdf</t>
  </si>
  <si>
    <t>Enhancement of IRS</t>
  </si>
  <si>
    <t>Sec 10301</t>
  </si>
  <si>
    <t xml:space="preserve">Appropriations </t>
  </si>
  <si>
    <t>Sec 13802</t>
  </si>
  <si>
    <t>Rural development administrative funds</t>
  </si>
  <si>
    <t>Sec 22005</t>
  </si>
  <si>
    <t>Administrative costs of rural development</t>
  </si>
  <si>
    <t>Sec 23005</t>
  </si>
  <si>
    <t>Other federal purchases</t>
  </si>
  <si>
    <t>Sec 40002+40003+…+40006</t>
  </si>
  <si>
    <t>Other energy matters (federal purchases)</t>
  </si>
  <si>
    <t>Sec 50171+Sec 50172+ Sec 50221</t>
  </si>
  <si>
    <t>National Parks and Public Lands conservation</t>
  </si>
  <si>
    <t>Sec 50222</t>
  </si>
  <si>
    <t>National Park employees</t>
  </si>
  <si>
    <t>Sec 50223</t>
  </si>
  <si>
    <t>Limits to leasing on outer continental shelf</t>
  </si>
  <si>
    <t>Sec 50251</t>
  </si>
  <si>
    <t>Fossil fuel resources (leasing of federal land/royalty rates for fossil fuels)</t>
  </si>
  <si>
    <t>Sec 50261 to 50265</t>
  </si>
  <si>
    <t>Funding to US Geological Survey 3D elevation program</t>
  </si>
  <si>
    <t>Sec 50271</t>
  </si>
  <si>
    <t>Funding to DOE, DOI, FERC to conduct environmental reviews, hire staff, community engagement</t>
  </si>
  <si>
    <t>Sec 50281+Sec 50303+Sec 50301+Sec 50303</t>
  </si>
  <si>
    <t>Funding to EPA to standardize green house gas corporate reporting</t>
  </si>
  <si>
    <t>Sec 60111</t>
  </si>
  <si>
    <t>Federal Purchase</t>
  </si>
  <si>
    <t>Funding to  EPA for Environmental Product Declaration assistance</t>
  </si>
  <si>
    <t>Sec 60112</t>
  </si>
  <si>
    <t>EPA funding for reviews and labeling of federal construction materials</t>
  </si>
  <si>
    <t>Sec 60115 + Sec 60116</t>
  </si>
  <si>
    <t>Endangered Species Act Recovery Plans</t>
  </si>
  <si>
    <t>Sec 60301</t>
  </si>
  <si>
    <t>Environmental and Climate Data Collection</t>
  </si>
  <si>
    <t>Sec 60401</t>
  </si>
  <si>
    <t>Council On Environmental Quality Efficient and environmental reviews</t>
  </si>
  <si>
    <t>Sec 60402</t>
  </si>
  <si>
    <t>Use low carbon materials/assistance for federal buildings</t>
  </si>
  <si>
    <t>Sec 60502 + 60503 + 60504</t>
  </si>
  <si>
    <t>Sec 70001 to 70007</t>
  </si>
  <si>
    <t>Clean Heavy Duty Vehicles</t>
  </si>
  <si>
    <t>Sec 60101</t>
  </si>
  <si>
    <t>Investment grant</t>
  </si>
  <si>
    <t>https://www.apta.com/advocacy-legislation-policy/legislative-updates-alerts/updates/inflation-reduction-act-public-transit-tax-credits-and-new-investments/</t>
  </si>
  <si>
    <t>Tribal Climate Resilience</t>
  </si>
  <si>
    <t>Sec 80001</t>
  </si>
  <si>
    <t>investment grant</t>
  </si>
  <si>
    <t>https://www.bia.gov/service/tcr-annual-awards-program</t>
  </si>
  <si>
    <t>Native Hawaiian Climate resilience</t>
  </si>
  <si>
    <t>Sec 80002</t>
  </si>
  <si>
    <t>Diesel Emissions reductions</t>
  </si>
  <si>
    <t>Sec 60104</t>
  </si>
  <si>
    <t>—include a state, regional, local, tribal or port agency or authority with jurisdiction over transportation or air quality, but non profits may also qualify</t>
  </si>
  <si>
    <t>Environmental review implementation</t>
  </si>
  <si>
    <t>Sec 60505</t>
  </si>
  <si>
    <t>reviews by state and localities on environmental standards</t>
  </si>
  <si>
    <t>sustainable aviation fuel development</t>
  </si>
  <si>
    <t>Sec 40007</t>
  </si>
  <si>
    <t>state, local and territorial governments; air carriers; airport sponsors; institutions of higher education; research institutions; individuals engaged in the production, transportation or storage of domestic sustainable aviation fuel or its feedstocks; individuals engaged in the development, demonstration or application of low-emission aviation technologies; and nonprofit organizations. R</t>
  </si>
  <si>
    <t>State and private forestry conservation programs</t>
  </si>
  <si>
    <t>Sec 23003</t>
  </si>
  <si>
    <t>Building energy code adoption assistance</t>
  </si>
  <si>
    <t>Sec 50131</t>
  </si>
  <si>
    <t>Domestic manufacturing conversion</t>
  </si>
  <si>
    <t>Sec 50143</t>
  </si>
  <si>
    <t>Tribal Energy Loan Guarantee Program</t>
  </si>
  <si>
    <t>Sec 50145</t>
  </si>
  <si>
    <t>Drought Response and preparedness</t>
  </si>
  <si>
    <t>Sec 50231+Sec50232</t>
  </si>
  <si>
    <t>Climate change assistance to insular territories (Puerto Rico/freely associated areas)</t>
  </si>
  <si>
    <t>Sec 50241</t>
  </si>
  <si>
    <t>Grants to reduce air pollution at ports</t>
  </si>
  <si>
    <t>Sec 60102</t>
  </si>
  <si>
    <t>Funding to address air pollution at schools</t>
  </si>
  <si>
    <t>Sec 60106</t>
  </si>
  <si>
    <t>Funding for US Wildlife Service</t>
  </si>
  <si>
    <t>Sec 60302</t>
  </si>
  <si>
    <t>Investing in coastal communities</t>
  </si>
  <si>
    <t>Sec 40001</t>
  </si>
  <si>
    <t>Grants for electricity transmission lines</t>
  </si>
  <si>
    <t>Sec 50152</t>
  </si>
  <si>
    <t>Funding for Enforcement Techonology</t>
  </si>
  <si>
    <t>Sec 60110</t>
  </si>
  <si>
    <t>Climate pollution reduction grants</t>
  </si>
  <si>
    <t>Sec 60114</t>
  </si>
  <si>
    <t>Neighborhood Access and Equity grant program</t>
  </si>
  <si>
    <t>Sec 60501</t>
  </si>
  <si>
    <t>Part D rebate by manufacturers</t>
  </si>
  <si>
    <t>Sec 11002</t>
  </si>
  <si>
    <t>Improving access to adult vaccines under Medicaid and CHIP</t>
  </si>
  <si>
    <t>Sec 11405</t>
  </si>
  <si>
    <t>Lowering Part D prices + Funding</t>
  </si>
  <si>
    <t>Sec 11001 + Sec 11004</t>
  </si>
  <si>
    <t>Sec 11002 (added Medicaid and Other)</t>
  </si>
  <si>
    <t xml:space="preserve">Part D redesign &amp; monthly cap on oop </t>
  </si>
  <si>
    <t>Sec 11201</t>
  </si>
  <si>
    <t>Repeal of prescription drug rebate rule</t>
  </si>
  <si>
    <t>Sec 11301</t>
  </si>
  <si>
    <t>Other Medicare Misc.</t>
  </si>
  <si>
    <t>Sec 11401+11402+11403</t>
  </si>
  <si>
    <t>Expanding eligibility of low income subsidies</t>
  </si>
  <si>
    <t>Sec 11404</t>
  </si>
  <si>
    <t>Funding to Address Air Pollution</t>
  </si>
  <si>
    <t>Sec 60105</t>
  </si>
  <si>
    <t>Social benefit</t>
  </si>
  <si>
    <t>air pollution control agencies, nonprofit agencies, institutions and organizations</t>
  </si>
  <si>
    <t>Green hourse gas reduction fund</t>
  </si>
  <si>
    <t>Sec 60103</t>
  </si>
  <si>
    <t>Eligible applicants include nonprofit organizations that can provide capital for the swift deployment of low and zero-emission products,</t>
  </si>
  <si>
    <t>Improving resilience of affordable housing</t>
  </si>
  <si>
    <t>Sec 30002</t>
  </si>
  <si>
    <t>Eligible recipients include owners or sponsors of low-income housing and housing for the elderly or disabled</t>
  </si>
  <si>
    <t>Reduce health insurance premium costs for consumers (ACA)</t>
  </si>
  <si>
    <t>Sec 12001</t>
  </si>
  <si>
    <t>Biofuel Infrastructure &amp; Agr Product Market expansion to individuals, corporations, higher ed institutions</t>
  </si>
  <si>
    <t>Sec 22003</t>
  </si>
  <si>
    <t xml:space="preserve">Assistance for Rural Electric Cooperatives </t>
  </si>
  <si>
    <t xml:space="preserve">Sec 22004 </t>
  </si>
  <si>
    <t>Grants for Non-Federal Forest Landowners</t>
  </si>
  <si>
    <t>Sec 23002</t>
  </si>
  <si>
    <t>Environmental and Climate Justice block grants</t>
  </si>
  <si>
    <t>Sec 60201</t>
  </si>
  <si>
    <t>Tribal Electrification program</t>
  </si>
  <si>
    <t>Sec 80003</t>
  </si>
  <si>
    <t>Methane emissions reduction program</t>
  </si>
  <si>
    <t>Sec 60113</t>
  </si>
  <si>
    <t>Social benefit (could also be subsidy)</t>
  </si>
  <si>
    <t>provides grants to operators of gas production facilities to prepare emissions reports</t>
  </si>
  <si>
    <t xml:space="preserve">Agriculture conservation </t>
  </si>
  <si>
    <t xml:space="preserve">Sec 21001 + Sec 21002 </t>
  </si>
  <si>
    <t>https://www.benefits.gov/benefit/5868#:~:text=Who%20is%20eligible%20for%20Conservation,resource%20concerns%20when%20they%20apply.</t>
  </si>
  <si>
    <t>Energy infrastructure reeinvestment</t>
  </si>
  <si>
    <t>Sec 50144</t>
  </si>
  <si>
    <t>https://bipartisanpolicy.org/blog/inflation-reduction-act-summary-energy-climate-provisions/</t>
  </si>
  <si>
    <t>Transmission facility financing</t>
  </si>
  <si>
    <t>Sec 50151</t>
  </si>
  <si>
    <t>https://crsreports.congress.gov/product/pdf/IN/IN11981</t>
  </si>
  <si>
    <t>Funding for the clean air act</t>
  </si>
  <si>
    <t>Sec 60108</t>
  </si>
  <si>
    <t>https://www.natlawreview.com/article/inflation-reduction-act-commits-significant-resources-to-federal-environmental</t>
  </si>
  <si>
    <t>Rural Energy for America Program</t>
  </si>
  <si>
    <t>Sec 22002</t>
  </si>
  <si>
    <t>https://www.rd.usda.gov/programs-services/energy-programs/rural-energy-america-program-renewable-energy-systems-energy-efficiency-improvement-guaranteed-loans</t>
  </si>
  <si>
    <t>Industrial facilities</t>
  </si>
  <si>
    <t>Sec 50161</t>
  </si>
  <si>
    <t>https://www.venable.com/insights/publications/2022/08/inflation-reduction-act-what-you-need-to-know#:~:text=The%20Act%20allocates%20over%20%245.8,that%20reduce%20greenhouse%20gas%20emissions.</t>
  </si>
  <si>
    <t>Clean hydrogren production tax credit (+adjustment for sequestration)</t>
  </si>
  <si>
    <t xml:space="preserve">Sec 13204 </t>
  </si>
  <si>
    <t xml:space="preserve">Funding for Electric Loans </t>
  </si>
  <si>
    <t>Sec 22001</t>
  </si>
  <si>
    <t>Loan programs funding for DOE</t>
  </si>
  <si>
    <t>Sec 50141</t>
  </si>
  <si>
    <t>Manufacturing subsidies for advanced techonology vehicles</t>
  </si>
  <si>
    <t>Sec 50142</t>
  </si>
  <si>
    <t>Funding for American Innovation and Manufacturing Act</t>
  </si>
  <si>
    <t>Sec 60109</t>
  </si>
  <si>
    <t>Use of defense production act</t>
  </si>
  <si>
    <t>Sec 30001</t>
  </si>
  <si>
    <r>
      <rPr>
        <sz val="8.5"/>
        <rFont val="Arial"/>
        <family val="2"/>
      </rPr>
      <t>2022-2026</t>
    </r>
  </si>
  <si>
    <r>
      <rPr>
        <sz val="8.5"/>
        <rFont val="Arial"/>
        <family val="2"/>
      </rPr>
      <t>2022-2031</t>
    </r>
  </si>
  <si>
    <t>Consumption Grants to States (non-health)</t>
  </si>
  <si>
    <t>Investment Grants to States</t>
  </si>
  <si>
    <t>Federal Purchases (NIPA)</t>
  </si>
  <si>
    <t>Medicare (Federal)</t>
  </si>
  <si>
    <t>QUARTERLY TABLE</t>
  </si>
  <si>
    <t>Totals by category, in fiscal years</t>
  </si>
  <si>
    <t>CHIPS</t>
  </si>
  <si>
    <t>CHIPS (2022)</t>
  </si>
  <si>
    <t>CBO less legislation timing shift + IRA</t>
  </si>
  <si>
    <t>Inflation Reduction Act (https://www.cbo.gov/publication/58366)</t>
  </si>
  <si>
    <t>Corporate Income Tax add factor</t>
  </si>
  <si>
    <t>Peronal income without add factor</t>
  </si>
  <si>
    <t>Corporate income tax without add factor</t>
  </si>
  <si>
    <t>Student loans</t>
  </si>
  <si>
    <t>GDP (Nominal)</t>
  </si>
  <si>
    <t>CBO (as a % of GDP)</t>
  </si>
  <si>
    <r>
      <t xml:space="preserve">Methodology: </t>
    </r>
    <r>
      <rPr>
        <sz val="11"/>
        <color theme="1"/>
        <rFont val="Arial"/>
        <family val="2"/>
      </rPr>
      <t>[...]</t>
    </r>
    <r>
      <rPr>
        <b/>
        <sz val="11"/>
        <color theme="1"/>
        <rFont val="Arial"/>
        <family val="2"/>
      </rPr>
      <t>, Source […]</t>
    </r>
  </si>
  <si>
    <t>federal_student_loans</t>
  </si>
  <si>
    <t>Federal Student Loans</t>
  </si>
  <si>
    <t>https://www.cbo.gov/system/files/2022-09/PL117-169_9-7-22.pdf</t>
  </si>
  <si>
    <t>Outlays</t>
  </si>
  <si>
    <t>federal purchase</t>
  </si>
  <si>
    <t>Maximum Monthly Cap on cost-sharing payments under rx Drug Plans and MA-PD Plans</t>
  </si>
  <si>
    <t>social benefit</t>
  </si>
  <si>
    <t>USDA Assistance and Support for Underserved Farmers, Ranchers, and Foresters</t>
  </si>
  <si>
    <t>Extension and Modification of Credit
for Carbon Oxide Sequestration</t>
  </si>
  <si>
    <t>subsidy</t>
  </si>
  <si>
    <t>Zero-Emission Nuclear Power
Production Creditc</t>
  </si>
  <si>
    <t>Advanced Manufacturing Production Credit</t>
  </si>
  <si>
    <t>Clean energy production credit</t>
  </si>
  <si>
    <t>Revenues</t>
  </si>
  <si>
    <t>Corporate Alternative Minimum Tax</t>
  </si>
  <si>
    <t>Corporate tax</t>
  </si>
  <si>
    <t>Medicare Part B Rebate by Manufacturers and Medicare Pard D rebate</t>
  </si>
  <si>
    <t>Sec. 11101
Sec. 11102</t>
  </si>
  <si>
    <t>Extension and Modification of Credit for alternative fuels
Electricity Produced From Certain
Renewable Resources</t>
  </si>
  <si>
    <t>Extension and Modification of Energy Credit</t>
  </si>
  <si>
    <t>Extension and Modification of Credit for Carbon Oxide Sequestrationc</t>
  </si>
  <si>
    <t>Zero-Emission Nuclear Power Production Creditc</t>
  </si>
  <si>
    <t>Energy Efficient Commercial Buildings</t>
  </si>
  <si>
    <t>Clean energy manufacturing</t>
  </si>
  <si>
    <t>13501, 13502</t>
  </si>
  <si>
    <t>Reinstatement of superfund</t>
  </si>
  <si>
    <t>Incentives for Clean Electricity and Clean Transportation</t>
  </si>
  <si>
    <t>13701, 13702, 13703, 13704</t>
  </si>
  <si>
    <t>Permanent Extension of Tax Rate to Fund Black Lung Disability Trust Fund</t>
  </si>
  <si>
    <t>Increase in Research Credit Against Payroll Tax for Small Businesses</t>
  </si>
  <si>
    <t>Extension of Limitation on Excess Business Losses of Noncorporate Taxpayers</t>
  </si>
  <si>
    <t>13903, 13904</t>
  </si>
  <si>
    <t>Methane Emissions Reduction</t>
  </si>
  <si>
    <t>Excise Tax on Repurchase of Corporate Stock</t>
  </si>
  <si>
    <t>Enhancement of Internal Revenue Service
Resources</t>
  </si>
  <si>
    <t>Improve Affordability and Reduce Premium Costs of Health Insurance</t>
  </si>
  <si>
    <t>Clean fuels</t>
  </si>
  <si>
    <t>13201, 02, 03, 04</t>
  </si>
  <si>
    <t>Extension, Increase, and Modifications of Nonbusiness Energy Property Credit</t>
  </si>
  <si>
    <t>Residential Clean Energy Credit</t>
  </si>
  <si>
    <t>New Energy Efficient Home Credit</t>
  </si>
  <si>
    <t>Clean Vehicles</t>
  </si>
  <si>
    <t>13401, 13402, 13403, 13404</t>
  </si>
  <si>
    <t>Outlays (Table 1-3)</t>
  </si>
  <si>
    <t>Outlays (Table 4-8)</t>
  </si>
  <si>
    <t>Production tax</t>
  </si>
  <si>
    <t>Production without add factor</t>
  </si>
  <si>
    <t>Production tax add factor</t>
  </si>
  <si>
    <t>Updated Nov-21</t>
  </si>
  <si>
    <t>Other legislation (what we haven't accounted for to make our underlying social benefits equal to the counterfactual underlying benefits) and add factor to match history</t>
  </si>
  <si>
    <t>SNAP due to COVID and Thrifty Food Plan (All, including ARP) (Table 2)</t>
  </si>
  <si>
    <t>SNAP due to COVID and Thrifty Food Plan</t>
  </si>
  <si>
    <t xml:space="preserve">Update the table in the Federal and State Purchases sheet by searching the lasgova, lalgova, and cpgs Haver codes, and entering in the most recent month of data. </t>
  </si>
  <si>
    <t>consumption_deflator_growth_ann</t>
  </si>
  <si>
    <t>federal_purchases_deflator_growth_ann</t>
  </si>
  <si>
    <t>consumption_grants_deflator_growth_ann</t>
  </si>
  <si>
    <t>investment_grants_deflator_growth_ann</t>
  </si>
  <si>
    <t>date</t>
  </si>
  <si>
    <t>id</t>
  </si>
  <si>
    <t>1970 Q1</t>
  </si>
  <si>
    <t>historical</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</si>
  <si>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</si>
  <si>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</si>
  <si>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</si>
  <si>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</si>
  <si>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</si>
  <si>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</si>
  <si>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</si>
  <si>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</si>
  <si>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</si>
  <si>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</si>
  <si>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</si>
  <si>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</si>
  <si>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</si>
  <si>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</si>
  <si>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</si>
  <si>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</si>
  <si>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</si>
  <si>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</si>
  <si>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</si>
  <si>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</si>
  <si>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</si>
  <si>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</si>
  <si>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</si>
  <si>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</si>
  <si>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</si>
  <si>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</si>
  <si>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</si>
  <si>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</si>
  <si>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</si>
  <si>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</si>
  <si>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</si>
  <si>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</si>
  <si>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</si>
  <si>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</si>
  <si>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</si>
  <si>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</si>
  <si>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</si>
  <si>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</si>
  <si>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</si>
  <si>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</si>
  <si>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</si>
  <si>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</si>
  <si>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</si>
  <si>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</si>
  <si>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</si>
  <si>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</si>
  <si>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</si>
  <si>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</si>
  <si>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</si>
  <si>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</si>
  <si>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</si>
  <si>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</si>
  <si>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</si>
  <si>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</si>
  <si>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</si>
  <si>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</si>
  <si>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</si>
  <si>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</si>
  <si>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</si>
  <si>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</si>
  <si>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</si>
  <si>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</si>
  <si>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</si>
  <si>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</si>
  <si>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</si>
  <si>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</si>
  <si>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</si>
  <si>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</si>
  <si>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</si>
  <si>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</si>
  <si>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</si>
  <si>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</si>
  <si>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</si>
  <si>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</si>
  <si>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</si>
  <si>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</si>
  <si>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</si>
  <si>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</si>
  <si>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</si>
  <si>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</si>
  <si>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</si>
  <si>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</si>
  <si>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</si>
  <si>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</si>
  <si>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</si>
  <si>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</si>
  <si>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</si>
  <si>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</si>
  <si>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</si>
  <si>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</si>
  <si>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</si>
  <si>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</si>
  <si>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</si>
  <si>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</si>
  <si>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</si>
  <si>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</si>
  <si>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</si>
  <si>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</si>
  <si>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</si>
  <si>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</si>
  <si>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</si>
  <si>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</si>
  <si>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</si>
  <si>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</si>
  <si>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</si>
  <si>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</si>
  <si>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</si>
  <si>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</si>
  <si>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</si>
  <si>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</si>
  <si>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</si>
  <si>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</si>
  <si>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</si>
  <si>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</si>
  <si>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</si>
  <si>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</si>
  <si>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</si>
  <si>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</si>
  <si>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</si>
  <si>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</si>
  <si>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</si>
  <si>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</si>
  <si>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</si>
  <si>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</si>
  <si>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</si>
  <si>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</si>
  <si>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</si>
  <si>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</si>
  <si>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</si>
  <si>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</si>
  <si>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</si>
  <si>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</si>
  <si>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</si>
  <si>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</si>
  <si>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</si>
  <si>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</si>
  <si>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</si>
  <si>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</si>
  <si>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</si>
  <si>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</si>
  <si>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</si>
  <si>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</si>
  <si>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</si>
  <si>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</si>
  <si>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</si>
  <si>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</si>
  <si>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</si>
  <si>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</si>
  <si>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</si>
  <si>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</si>
  <si>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</si>
  <si>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</si>
  <si>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</si>
  <si>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</si>
  <si>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</si>
  <si>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</si>
  <si>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</si>
  <si>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</si>
  <si>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</si>
  <si>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</si>
  <si>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</si>
  <si>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</si>
  <si>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</si>
  <si>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</si>
  <si>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</si>
  <si>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</si>
  <si>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</si>
  <si>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</si>
  <si>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</si>
  <si>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</si>
  <si>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</si>
  <si>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</si>
  <si>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</si>
  <si>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</si>
  <si>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</si>
  <si>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</si>
  <si>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</si>
  <si>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</si>
  <si>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</si>
  <si>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</si>
  <si>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</si>
  <si>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</si>
  <si>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</si>
  <si>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</si>
  <si>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</si>
  <si>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</si>
  <si>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</si>
  <si>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</si>
  <si>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</si>
  <si>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</si>
  <si>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</si>
  <si>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</si>
  <si>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</si>
  <si>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</si>
  <si>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</si>
  <si>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</si>
  <si>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</si>
  <si>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</si>
  <si>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</si>
  <si>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</si>
  <si>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2020 Q2</t>
  </si>
  <si>
    <t>2020 Q3</t>
  </si>
  <si>
    <t>2020 Q4</t>
  </si>
  <si>
    <t>2021 Q1</t>
  </si>
  <si>
    <t>2021 Q2</t>
  </si>
  <si>
    <t>2021 Q3</t>
  </si>
  <si>
    <t>2021 Q4</t>
  </si>
  <si>
    <t>2022 Q1</t>
  </si>
  <si>
    <t>2022 Q2</t>
  </si>
  <si>
    <t>2022 Q3</t>
  </si>
  <si>
    <t>2022 Q4</t>
  </si>
  <si>
    <t>projection</t>
  </si>
  <si>
    <t>2023 Q1</t>
  </si>
  <si>
    <t>2023 Q2</t>
  </si>
  <si>
    <t>2023 Q3</t>
  </si>
  <si>
    <t>2023 Q4</t>
  </si>
  <si>
    <t>2024 Q1</t>
  </si>
  <si>
    <t>2024 Q2</t>
  </si>
  <si>
    <t>2024 Q3</t>
  </si>
  <si>
    <t>2024 Q4</t>
  </si>
  <si>
    <t>2025 Q1</t>
  </si>
  <si>
    <t>2025 Q2</t>
  </si>
  <si>
    <t>2025 Q3</t>
  </si>
  <si>
    <t>2025 Q4</t>
  </si>
  <si>
    <t>2026 Q1</t>
  </si>
  <si>
    <t>2026 Q2</t>
  </si>
  <si>
    <t>2026 Q3</t>
  </si>
  <si>
    <t>2026 Q4</t>
  </si>
  <si>
    <t>2027 Q1</t>
  </si>
  <si>
    <t>2027 Q2</t>
  </si>
  <si>
    <t>2027 Q3</t>
  </si>
  <si>
    <t>2027 Q4</t>
  </si>
  <si>
    <t>2028 Q1</t>
  </si>
  <si>
    <t>2028 Q2</t>
  </si>
  <si>
    <t>2028 Q3</t>
  </si>
  <si>
    <t>2028 Q4</t>
  </si>
  <si>
    <t>2029 Q1</t>
  </si>
  <si>
    <t>2029 Q2</t>
  </si>
  <si>
    <t>2029 Q3</t>
  </si>
  <si>
    <t>2029 Q4</t>
  </si>
  <si>
    <t>2030 Q1</t>
  </si>
  <si>
    <t>2030 Q2</t>
  </si>
  <si>
    <t>2030 Q3</t>
  </si>
  <si>
    <t>2030 Q4</t>
  </si>
  <si>
    <t>2031 Q1</t>
  </si>
  <si>
    <t>2031 Q2</t>
  </si>
  <si>
    <t>2031 Q3</t>
  </si>
  <si>
    <t>2031 Q4</t>
  </si>
  <si>
    <t>2032 Q1</t>
  </si>
  <si>
    <t>2032 Q2</t>
  </si>
  <si>
    <t>2032 Q3</t>
  </si>
  <si>
    <t>Add factor  for one-time state refunds</t>
  </si>
  <si>
    <t xml:space="preserve">CBO (original) </t>
  </si>
  <si>
    <t>CBO (with payment delay)</t>
  </si>
  <si>
    <t>Federal Tax Base Growth Rates</t>
  </si>
  <si>
    <t>jc_growth</t>
  </si>
  <si>
    <t>jgf_growth</t>
  </si>
  <si>
    <t>jgs_growth</t>
  </si>
  <si>
    <t>jgse_growth</t>
  </si>
  <si>
    <t>jgsi_growth</t>
  </si>
  <si>
    <t>Add factor for total medicaid</t>
  </si>
  <si>
    <t>NOT USED - GROWTH RATES OF BEA TAX BASES</t>
  </si>
  <si>
    <t>NOT USED -  CBO TAX PROJECTIONS BASED ON CBO GROWTH RATES</t>
  </si>
  <si>
    <t>Deflators</t>
  </si>
  <si>
    <t>We pull in the deflators in Table 1 and adjust them in Table 2. Table 2 is read into the overrides sheet and used in the forecast</t>
  </si>
  <si>
    <t>Consumption deflator growth</t>
  </si>
  <si>
    <t>Deflator growth</t>
  </si>
  <si>
    <t xml:space="preserve">Consumption </t>
  </si>
  <si>
    <t>Federal purchases</t>
  </si>
  <si>
    <t>State purchases</t>
  </si>
  <si>
    <t>Consumption grants</t>
  </si>
  <si>
    <t>Investment grants</t>
  </si>
  <si>
    <t>Personal consumption expenditures</t>
  </si>
  <si>
    <t xml:space="preserve">    "c"</t>
  </si>
  <si>
    <t xml:space="preserve">    "gf"</t>
  </si>
  <si>
    <t xml:space="preserve">    "ch"</t>
  </si>
  <si>
    <t xml:space="preserve">    "gfh"</t>
  </si>
  <si>
    <t xml:space="preserve">    "gsh"</t>
  </si>
  <si>
    <t>Final deflator growth</t>
  </si>
  <si>
    <t>Federal purchases deflator growth</t>
  </si>
  <si>
    <t>State purchases deflator growth</t>
  </si>
  <si>
    <t>Consumption grants deflator growth</t>
  </si>
  <si>
    <t>Investment grants deflator growth</t>
  </si>
  <si>
    <t>consumption_deflator_growth_override</t>
  </si>
  <si>
    <t>federal_purchases_deflator_growth_override</t>
  </si>
  <si>
    <t>state_purchases_deflator_growth_override</t>
  </si>
  <si>
    <t>consumption_grants_deflator_growth_override</t>
  </si>
  <si>
    <t>investment_grants_deflator_growth_override</t>
  </si>
  <si>
    <t>Annualized</t>
  </si>
  <si>
    <t>Table 2: Overrides (the table we edit in the forecast period)</t>
  </si>
  <si>
    <t>HISTORY - BEA data</t>
  </si>
  <si>
    <t>Table 1a (uses cbo variables for forecast period in table 1)</t>
  </si>
  <si>
    <t>Quarterly (do not touch)</t>
  </si>
  <si>
    <t>Social insurance add factor</t>
  </si>
  <si>
    <t>Table 2.8.4. Price Indexes for Personal Consumption Expenditures by Major Type of Product, Monthly</t>
  </si>
  <si>
    <t>[Index numbers, 2012=100; seasonally adjusted]</t>
  </si>
  <si>
    <t>Bureau of Economic Analysis</t>
  </si>
  <si>
    <t>2022</t>
  </si>
  <si>
    <t>JAN</t>
  </si>
  <si>
    <t>FEB</t>
  </si>
  <si>
    <t>MAR</t>
  </si>
  <si>
    <t>APR</t>
  </si>
  <si>
    <t>MAY</t>
  </si>
  <si>
    <t>JUN</t>
  </si>
  <si>
    <t>JUL</t>
  </si>
  <si>
    <t>AUG</t>
  </si>
  <si>
    <t>SEP</t>
  </si>
  <si>
    <t>OCT</t>
  </si>
  <si>
    <t>NOV</t>
  </si>
  <si>
    <t>DEC</t>
  </si>
  <si>
    <t>1</t>
  </si>
  <si>
    <t xml:space="preserve">        Personal consumption expenditures (PCE)</t>
  </si>
  <si>
    <t>2</t>
  </si>
  <si>
    <t>Goods</t>
  </si>
  <si>
    <t>3</t>
  </si>
  <si>
    <t xml:space="preserve">    Durable goods</t>
  </si>
  <si>
    <t>4</t>
  </si>
  <si>
    <t xml:space="preserve">    Nondurable goods</t>
  </si>
  <si>
    <t>5</t>
  </si>
  <si>
    <t>Services</t>
  </si>
  <si>
    <t>Addenda:</t>
  </si>
  <si>
    <t>6</t>
  </si>
  <si>
    <t xml:space="preserve">    PCE excluding food and energy</t>
  </si>
  <si>
    <t>7</t>
  </si>
  <si>
    <t xml:space="preserve">    Food1</t>
  </si>
  <si>
    <t>8</t>
  </si>
  <si>
    <t xml:space="preserve">    Energy goods and services2</t>
  </si>
  <si>
    <t>9</t>
  </si>
  <si>
    <t xml:space="preserve">    Market-based PCE3</t>
  </si>
  <si>
    <t>10</t>
  </si>
  <si>
    <t xml:space="preserve">    Market-based PCE excluding food and energy3</t>
  </si>
  <si>
    <t>Legend / Footnotes:</t>
  </si>
  <si>
    <t>1. Food consists of food and beverages purchased for off-premises consumption; food services, which include purchased meals and beverages, are not classified as food.</t>
  </si>
  <si>
    <t>2. Consists of gasoline and other energy goods and of electricity and gas services.</t>
  </si>
  <si>
    <t>3. Market-based PCE is a supplemental measure that is based on household expenditures for which there are observable price measures. It excludes most imputed transactions (for example, financial services furnished without payment) and the final consumption expenditures of nonprofit institutions serving households.</t>
  </si>
  <si>
    <t>PCE growth rates - annualized</t>
  </si>
  <si>
    <t>Headline PCE - Quarterly level</t>
  </si>
  <si>
    <t>Consumption deflator growth - annualized</t>
  </si>
  <si>
    <t>Forecast - monthly PCE level</t>
  </si>
  <si>
    <t>Our assumption for the annual PCE growth rate for the months in the quarter</t>
  </si>
  <si>
    <t>&lt;- edit</t>
  </si>
  <si>
    <t>PROJECTION -- CBO forecast</t>
  </si>
  <si>
    <t>NA</t>
  </si>
  <si>
    <t>Forecast - annualized PCE growth rate</t>
  </si>
  <si>
    <t>Consumption add factor</t>
  </si>
  <si>
    <t>Federal purchases add factor</t>
  </si>
  <si>
    <t>State purchases add factor</t>
  </si>
  <si>
    <t>Consumption grants add factor</t>
  </si>
  <si>
    <t>Investment grants add factor</t>
  </si>
  <si>
    <t>PROJECTION (CBO forecast plus any add factors)</t>
  </si>
  <si>
    <t>Last Revised on: January 27, 2023 - Next Release Date February 24, 2023</t>
  </si>
  <si>
    <t>2021</t>
  </si>
  <si>
    <t xml:space="preserve">This sheet allows us to see how the raw inputs to the FIM have changed; it can help us parse out which changes to our forecast are due to BEA data and which are due to our own formulas. </t>
  </si>
  <si>
    <t>February 2023 CBO Unemployment Rate Projection</t>
  </si>
  <si>
    <t>February 2023 CBO Projection of Federal Purchases</t>
  </si>
  <si>
    <t>February 2023 CBO Federal Purchases Growth</t>
  </si>
  <si>
    <t>February 2023 CBO Projection of State and Local purchases</t>
  </si>
  <si>
    <t>February 2023 CBO Annual Medicare Spending</t>
  </si>
  <si>
    <t>February 2023 Individual Income</t>
  </si>
  <si>
    <t>February 2023 CBO Projections of Federal Taxes (Fiscal Years)</t>
  </si>
  <si>
    <t>February 2023 Payroll</t>
  </si>
  <si>
    <t>February 2023 CBO Excise</t>
  </si>
  <si>
    <t>February 2023 CBO Customs</t>
  </si>
  <si>
    <t>February 2023 Corporate Taxes</t>
  </si>
  <si>
    <t>February 2023 Taxable Personal Income</t>
  </si>
  <si>
    <t>February 2023 Wages and Salaries</t>
  </si>
  <si>
    <t>February 2023 Personal Consumption</t>
  </si>
  <si>
    <t>February 2023 Corporate Profits</t>
  </si>
  <si>
    <t>February 2023 Corporate Profits with IVA and CCAdj</t>
  </si>
  <si>
    <t>February 2023 Nonwage Income</t>
  </si>
  <si>
    <t>February 2023 Personal Consumption Expenditures</t>
  </si>
  <si>
    <t>February 2023 Federal government consumption expenditures</t>
  </si>
  <si>
    <t>February 2023 state and local government consumption expenditures</t>
  </si>
  <si>
    <t>February 2023 Personal consumption expenditures</t>
  </si>
  <si>
    <t>February 2023 State and local government consumption expenditures</t>
  </si>
  <si>
    <t>February 2023 CBO Projection of Federal Medicaid Outlays</t>
  </si>
  <si>
    <t>Add factor for corporate income tax</t>
  </si>
  <si>
    <t>NOT USED (DOES NOT INCLUDE PAYMENT DELAYS)</t>
  </si>
  <si>
    <t>Personal income add factor</t>
  </si>
  <si>
    <t>February 2023 CBO Tax Base Quarterly Projections</t>
  </si>
  <si>
    <t>https://apps.bea.gov/iTable/?reqid=19&amp;step=2&amp;isuri=1&amp;categories=survey#eyJhcHBpZCI6MTksInN0ZXBzIjpbMSwyLDNdLCJkYXRhIjpbWyJjYXRlZ29yaWVzIiwiU3VydmV5Il0sWyJOSVBBX1RhYmxlX0xpc3QiLCI4MSJdXX0=</t>
  </si>
  <si>
    <r>
      <t>July</t>
    </r>
    <r>
      <rPr>
        <vertAlign val="superscript"/>
        <sz val="11"/>
        <rFont val="Calibri"/>
        <family val="2"/>
      </rPr>
      <t xml:space="preserve"> r</t>
    </r>
    <r>
      <rPr>
        <sz val="11"/>
        <rFont val="Calibri"/>
        <family val="2"/>
      </rPr>
      <t/>
    </r>
  </si>
  <si>
    <t>Compensation of employees</t>
  </si>
  <si>
    <t>Wages and salaries</t>
  </si>
  <si>
    <t>Private industries</t>
  </si>
  <si>
    <t>Goods-producing industries</t>
  </si>
  <si>
    <t>Manufacturing</t>
  </si>
  <si>
    <t>Services-producing industries</t>
  </si>
  <si>
    <t>Trade, transportation, and utilities</t>
  </si>
  <si>
    <t>Other services-producing industries</t>
  </si>
  <si>
    <t>Government</t>
  </si>
  <si>
    <t>Supplements to wages and salaries</t>
  </si>
  <si>
    <r>
      <t>Employer contributions for employee pension and insurance funds</t>
    </r>
    <r>
      <rPr>
        <vertAlign val="superscript"/>
        <sz val="11"/>
        <rFont val="Calibri"/>
        <family val="2"/>
      </rPr>
      <t xml:space="preserve"> 1</t>
    </r>
  </si>
  <si>
    <t>Employer contributions for government social insurance</t>
  </si>
  <si>
    <t>Proprietors' income with inventory valuation and capital consumption adjustments</t>
  </si>
  <si>
    <t>Farm</t>
  </si>
  <si>
    <t>Nonfarm</t>
  </si>
  <si>
    <t>Rental income of persons with capital consumption adjustment</t>
  </si>
  <si>
    <t>Personal income receipts on assets</t>
  </si>
  <si>
    <t>Personal interest income</t>
  </si>
  <si>
    <t>Personal dividend income</t>
  </si>
  <si>
    <t>Personal current transfer receipts</t>
  </si>
  <si>
    <t>Government social benefits to persons</t>
  </si>
  <si>
    <r>
      <t>Social security</t>
    </r>
    <r>
      <rPr>
        <vertAlign val="superscript"/>
        <sz val="11"/>
        <rFont val="Calibri"/>
        <family val="2"/>
      </rPr>
      <t xml:space="preserve"> 2</t>
    </r>
  </si>
  <si>
    <r>
      <t>Medicare</t>
    </r>
    <r>
      <rPr>
        <vertAlign val="superscript"/>
        <sz val="11"/>
        <rFont val="Calibri"/>
        <family val="2"/>
      </rPr>
      <t xml:space="preserve"> 3</t>
    </r>
  </si>
  <si>
    <t>Veterans' benefits</t>
  </si>
  <si>
    <t>Other current transfer receipts, from business (net)</t>
  </si>
  <si>
    <t>Less: Contributions for government social insurance, domestic</t>
  </si>
  <si>
    <t>Equals: Disposable personal income</t>
  </si>
  <si>
    <t>Durable goods</t>
  </si>
  <si>
    <t>Nondurable goods</t>
  </si>
  <si>
    <r>
      <t>Personal interest payments</t>
    </r>
    <r>
      <rPr>
        <vertAlign val="superscript"/>
        <sz val="11"/>
        <rFont val="Calibri"/>
        <family val="2"/>
      </rPr>
      <t xml:space="preserve"> 4</t>
    </r>
  </si>
  <si>
    <t>Personal current transfer payments</t>
  </si>
  <si>
    <t>To government</t>
  </si>
  <si>
    <t>To the rest of the world (net)</t>
  </si>
  <si>
    <t>Personal saving as a percentage of disposable personal income</t>
  </si>
  <si>
    <r>
      <t>Personal income excluding current transfer receipts, billions of chained (2012) dollars</t>
    </r>
    <r>
      <rPr>
        <vertAlign val="superscript"/>
        <sz val="11"/>
        <rFont val="Calibri"/>
        <family val="2"/>
      </rPr>
      <t xml:space="preserve"> 5</t>
    </r>
  </si>
  <si>
    <t>Disposable personal income:</t>
  </si>
  <si>
    <r>
      <t>Total, billions of chained (2012) dollars</t>
    </r>
    <r>
      <rPr>
        <vertAlign val="superscript"/>
        <sz val="11"/>
        <rFont val="Calibri"/>
        <family val="2"/>
      </rPr>
      <t xml:space="preserve"> 5</t>
    </r>
  </si>
  <si>
    <t>Per capita:</t>
  </si>
  <si>
    <t>Current dollars</t>
  </si>
  <si>
    <t>Chained (2012) dollars</t>
  </si>
  <si>
    <r>
      <t>Population (midperiod, thousands)</t>
    </r>
    <r>
      <rPr>
        <vertAlign val="superscript"/>
        <sz val="11"/>
        <rFont val="Calibri"/>
        <family val="2"/>
      </rPr>
      <t xml:space="preserve"> 6</t>
    </r>
  </si>
  <si>
    <t>p Preliminary</t>
  </si>
  <si>
    <t>r Revised. Revisions include changes to series affected by the incorporation of revised wage and salary estimates for the third quarter of 2022.</t>
  </si>
  <si>
    <t>1. Includes actual employer contributions and actuarially imputed employer contributions to reflect benefits accrued by defined benefit pension plan participants through service to employers in the current period.</t>
  </si>
  <si>
    <t>2. Social security benefits include old-age, survivors, and disability insurance benefits that are distributed from the federal old-age and survivors insurance trust fund and the disability insurance trust fund.</t>
  </si>
  <si>
    <t>3. Medicare benefits include hospital and supplementary medical insurance benefits that are distributed from the federal hospital insurance trust fund and the supplementary medical insurance trust fund.</t>
  </si>
  <si>
    <t>4. Consists of nonmortgage interest paid by households.  Note that mortgage interest paid by households is an expense item in the calculation of rental income of persons.</t>
  </si>
  <si>
    <t>5. The current-dollar measure is deflated by the implicit price deflator for personal consumption expenditures.</t>
  </si>
  <si>
    <t>6. Population is the total population of the United States, including the Armed Forces overseas and the institutionalized population. The monthly estimate is the average of estimates for the first of the month and the first of the following month; the annual and quarterly estimates are averages of the monthly estimates.</t>
  </si>
  <si>
    <t xml:space="preserve">CBO projection of social security </t>
  </si>
  <si>
    <r>
      <t xml:space="preserve">Counterfactual Social Benefits linear growth factor </t>
    </r>
    <r>
      <rPr>
        <i/>
        <sz val="11"/>
        <color theme="1"/>
        <rFont val="Arial"/>
        <family val="2"/>
      </rPr>
      <t>(based on growth Q1-Q4 2019 growth)</t>
    </r>
  </si>
  <si>
    <r>
      <t xml:space="preserve">Social Security COLA adjustment amount </t>
    </r>
    <r>
      <rPr>
        <i/>
        <sz val="11"/>
        <color theme="1"/>
        <rFont val="Arial"/>
        <family val="2"/>
      </rPr>
      <t>(percentage*social security_[t-1])</t>
    </r>
  </si>
  <si>
    <t>Total Social Security linear growth factor</t>
  </si>
  <si>
    <t>Total Counterfactual Social Benefits growth</t>
  </si>
  <si>
    <t>Adjustment to CBO UR</t>
  </si>
  <si>
    <r>
      <t>Social Security linear growth factor</t>
    </r>
    <r>
      <rPr>
        <i/>
        <sz val="11"/>
        <color theme="1"/>
        <rFont val="Arial"/>
        <family val="2"/>
      </rPr>
      <t xml:space="preserve"> (hardcoded-judgemental)</t>
    </r>
  </si>
  <si>
    <r>
      <t xml:space="preserve">Social Security COLA adjustment </t>
    </r>
    <r>
      <rPr>
        <i/>
        <sz val="11"/>
        <color theme="1"/>
        <rFont val="Arial"/>
        <family val="2"/>
      </rPr>
      <t>(one time percentage added to total benefits)</t>
    </r>
  </si>
  <si>
    <t>Table 1. Personal Income and Its Disposition (Months)</t>
  </si>
  <si>
    <t>Social Insurance without add factor</t>
  </si>
  <si>
    <t>2023 Q1 new release</t>
  </si>
  <si>
    <t>yes - but I have some Qs. They are commented on cells.</t>
  </si>
  <si>
    <t>Row Labels</t>
  </si>
  <si>
    <t>Qtr1</t>
  </si>
  <si>
    <t>Qtr2</t>
  </si>
  <si>
    <t>Qtr3</t>
  </si>
  <si>
    <t>Qtr4</t>
  </si>
  <si>
    <t>Average of Monthly UR</t>
  </si>
  <si>
    <t>2023</t>
  </si>
  <si>
    <t>2024</t>
  </si>
  <si>
    <t>2025</t>
  </si>
  <si>
    <t>2026</t>
  </si>
  <si>
    <t>Quarter (helper row)</t>
  </si>
  <si>
    <t>Year (helper row)</t>
  </si>
  <si>
    <t>name</t>
  </si>
  <si>
    <t>1970 Q1</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</si>
  <si>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</si>
  <si>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</si>
  <si>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</si>
  <si>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</si>
  <si>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</si>
  <si>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</si>
  <si>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</si>
  <si>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</si>
  <si>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</si>
  <si>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</si>
  <si>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</si>
  <si>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</si>
  <si>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</si>
  <si>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</si>
  <si>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</si>
  <si>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</si>
  <si>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</si>
  <si>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</si>
  <si>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</si>
  <si>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</si>
  <si>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</si>
  <si>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</si>
  <si>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</si>
  <si>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</si>
  <si>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</si>
  <si>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</si>
  <si>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</si>
  <si>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</si>
  <si>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</si>
  <si>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</si>
  <si>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</si>
  <si>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</si>
  <si>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</si>
  <si>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</si>
  <si>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</si>
  <si>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</si>
  <si>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</si>
  <si>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</si>
  <si>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</si>
  <si>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</si>
  <si>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</si>
  <si>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</si>
  <si>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</si>
  <si>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</si>
  <si>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</si>
  <si>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</si>
  <si>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</si>
  <si>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</si>
  <si>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</si>
  <si>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</si>
  <si>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</si>
  <si>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</si>
  <si>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</si>
  <si>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</si>
  <si>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</si>
  <si>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</si>
  <si>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</si>
  <si>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</si>
  <si>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</si>
  <si>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</si>
  <si>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</si>
  <si>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</si>
  <si>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</si>
  <si>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</si>
  <si>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</si>
  <si>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</si>
  <si>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</si>
  <si>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</si>
  <si>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</si>
  <si>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</si>
  <si>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</si>
  <si>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</si>
  <si>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</si>
  <si>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</si>
  <si>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</si>
  <si>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</si>
  <si>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</si>
  <si>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</si>
  <si>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</si>
  <si>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</si>
  <si>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</si>
  <si>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</si>
  <si>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</si>
  <si>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</si>
  <si>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</si>
  <si>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</si>
  <si>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</si>
  <si>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</si>
  <si>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</si>
  <si>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</si>
  <si>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</si>
  <si>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</si>
  <si>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</si>
  <si>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</si>
  <si>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</si>
  <si>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</si>
  <si>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</si>
  <si>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</si>
  <si>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</si>
  <si>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</si>
  <si>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</si>
  <si>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</si>
  <si>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</si>
  <si>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</si>
  <si>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</si>
  <si>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</si>
  <si>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</si>
  <si>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</si>
  <si>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</si>
  <si>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</si>
  <si>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</si>
  <si>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</si>
  <si>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</si>
  <si>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</si>
  <si>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</si>
  <si>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</si>
  <si>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</si>
  <si>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</si>
  <si>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</si>
  <si>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</si>
  <si>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</si>
  <si>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</si>
  <si>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</si>
  <si>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</si>
  <si>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</si>
  <si>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</si>
  <si>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</si>
  <si>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</si>
  <si>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</si>
  <si>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</si>
  <si>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</si>
  <si>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</si>
  <si>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</si>
  <si>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</si>
  <si>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</si>
  <si>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</si>
  <si>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</si>
  <si>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</si>
  <si>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</si>
  <si>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</si>
  <si>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</si>
  <si>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</si>
  <si>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</si>
  <si>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</si>
  <si>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</si>
  <si>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</si>
  <si>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</si>
  <si>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</si>
  <si>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</si>
  <si>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</si>
  <si>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</si>
  <si>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</si>
  <si>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</si>
  <si>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</si>
  <si>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</si>
  <si>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</si>
  <si>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</si>
  <si>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</si>
  <si>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</si>
  <si>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</si>
  <si>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</si>
  <si>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</si>
  <si>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</si>
  <si>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</si>
  <si>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</si>
  <si>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</si>
  <si>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</si>
  <si>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</si>
  <si>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</si>
  <si>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</si>
  <si>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</si>
  <si>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</si>
  <si>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</si>
  <si>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</si>
  <si>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</si>
  <si>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</si>
  <si>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</si>
  <si>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</si>
  <si>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</si>
  <si>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</si>
  <si>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</si>
  <si>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</si>
  <si>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</si>
  <si>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</si>
  <si>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</si>
  <si>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</si>
  <si>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</si>
  <si>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</si>
  <si>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</si>
  <si>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</si>
  <si>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</si>
  <si>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</si>
  <si>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</si>
  <si>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</si>
  <si>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</si>
  <si>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</si>
  <si>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</si>
  <si>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</si>
  <si>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</si>
  <si>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</si>
  <si>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2020 Q2</t>
  </si>
  <si>
    <t>2020 Q3</t>
  </si>
  <si>
    <t>2020 Q4</t>
  </si>
  <si>
    <t>2021 Q1</t>
  </si>
  <si>
    <t>2021 Q2</t>
  </si>
  <si>
    <t>2021 Q3</t>
  </si>
  <si>
    <t>2021 Q4</t>
  </si>
  <si>
    <t>2022 Q1</t>
  </si>
  <si>
    <t>2022 Q2</t>
  </si>
  <si>
    <t>2022 Q3</t>
  </si>
  <si>
    <t>2022 Q4</t>
  </si>
  <si>
    <t>2023 Q1</t>
  </si>
  <si>
    <t>gdp</t>
  </si>
  <si>
    <t>gdph</t>
  </si>
  <si>
    <t>jgdp</t>
  </si>
  <si>
    <t>c</t>
  </si>
  <si>
    <t>ch</t>
  </si>
  <si>
    <t>jc</t>
  </si>
  <si>
    <t>jgf</t>
  </si>
  <si>
    <t>jgs</t>
  </si>
  <si>
    <t>jgse</t>
  </si>
  <si>
    <t>jgsi</t>
  </si>
  <si>
    <t>yptmr</t>
  </si>
  <si>
    <t>yptmd</t>
  </si>
  <si>
    <t>yptu</t>
  </si>
  <si>
    <t>gtfp</t>
  </si>
  <si>
    <t>ypog</t>
  </si>
  <si>
    <t>yptx</t>
  </si>
  <si>
    <t>ytpi</t>
  </si>
  <si>
    <t>yctlg</t>
  </si>
  <si>
    <t>g</t>
  </si>
  <si>
    <t>grcsi</t>
  </si>
  <si>
    <t>dc</t>
  </si>
  <si>
    <t>gf</t>
  </si>
  <si>
    <t>gs</t>
  </si>
  <si>
    <t>gfh</t>
  </si>
  <si>
    <t>gsh</t>
  </si>
  <si>
    <t>gfrpt</t>
  </si>
  <si>
    <t>gfrpri</t>
  </si>
  <si>
    <t>gfrcp</t>
  </si>
  <si>
    <t>gfrs</t>
  </si>
  <si>
    <t>gftfp</t>
  </si>
  <si>
    <t>gfeg</t>
  </si>
  <si>
    <t>gsrpt</t>
  </si>
  <si>
    <t>gsrcp</t>
  </si>
  <si>
    <t>gsrs</t>
  </si>
  <si>
    <t>gstfp</t>
  </si>
  <si>
    <t>gset</t>
  </si>
  <si>
    <t>gfeghhx</t>
  </si>
  <si>
    <t>gfeghdx</t>
  </si>
  <si>
    <t>gfeigx</t>
  </si>
  <si>
    <t>gfsub</t>
  </si>
  <si>
    <t>gssub</t>
  </si>
  <si>
    <t>gsub</t>
  </si>
  <si>
    <t>gftfpe</t>
  </si>
  <si>
    <t>gftfpr</t>
  </si>
  <si>
    <t>gftfpp</t>
  </si>
  <si>
    <t>gftfpv</t>
  </si>
  <si>
    <t>gfsubp</t>
  </si>
  <si>
    <t>gfsubg</t>
  </si>
  <si>
    <t>gfsube</t>
  </si>
  <si>
    <t>gfsubs</t>
  </si>
  <si>
    <t>gfsubf</t>
  </si>
  <si>
    <t>gfsubv</t>
  </si>
  <si>
    <t>gfsubk</t>
  </si>
  <si>
    <t>gfegc</t>
  </si>
  <si>
    <t>gfegv</t>
  </si>
  <si>
    <t>yptue</t>
  </si>
  <si>
    <t>yptup</t>
  </si>
  <si>
    <t>yptuc</t>
  </si>
  <si>
    <t>gftfpu</t>
  </si>
  <si>
    <t>yptub</t>
  </si>
  <si>
    <t>yptol</t>
  </si>
  <si>
    <t>gfctp</t>
  </si>
  <si>
    <t>gftffx</t>
  </si>
  <si>
    <t>cpiu</t>
  </si>
  <si>
    <t>pcw</t>
  </si>
  <si>
    <t>gdppothq</t>
  </si>
  <si>
    <t>gdppotq</t>
  </si>
  <si>
    <t>recessq</t>
  </si>
  <si>
    <t>lasgova</t>
  </si>
  <si>
    <t>lalgova</t>
  </si>
  <si>
    <t>cpgs</t>
  </si>
  <si>
    <t>jgdp_growth</t>
  </si>
  <si>
    <t>jc_growth</t>
  </si>
  <si>
    <t>jgf_growth</t>
  </si>
  <si>
    <t>jgs_growth</t>
  </si>
  <si>
    <t>jgse_growth</t>
  </si>
  <si>
    <t>jgsi_growth</t>
  </si>
  <si>
    <t>yop</t>
  </si>
  <si>
    <t>yri</t>
  </si>
  <si>
    <t>ypiar</t>
  </si>
  <si>
    <t>gfsubr</t>
  </si>
  <si>
    <t>gfsubd</t>
  </si>
  <si>
    <t>gftfbdx</t>
  </si>
  <si>
    <t>yptocm</t>
  </si>
  <si>
    <t>---</t>
  </si>
  <si>
    <t xml:space="preserve"> 2022 Q4 3nd revision (Mar 2023)</t>
  </si>
  <si>
    <t>The data came in higher and we take the CBO growth rate + Fed vs State depends on what we're doing for grants</t>
  </si>
  <si>
    <t>2022 Q4 2nd revision</t>
  </si>
  <si>
    <t xml:space="preserve"> 2023 Q1 new release (April 2023)</t>
  </si>
  <si>
    <t xml:space="preserve">Louise -- we should revisit our projection for the ur </t>
  </si>
  <si>
    <t>The data came in 13B higher than expectations.</t>
  </si>
  <si>
    <t>Counterfactual Social Benefits linear growth factor (based on growth Q1-Q4 2019 growth)</t>
  </si>
  <si>
    <t>Social Security COLA adjustment amount (percentage*social security_[t-1])</t>
  </si>
  <si>
    <t>Social Security linear growth factor (hardcoded-judgemental)</t>
  </si>
  <si>
    <t>Social Security COLA adjustment (one time percentage added to total benefits)</t>
  </si>
  <si>
    <t>Prepare the Forecast Comparison and Forecast sheets</t>
  </si>
  <si>
    <t>The forecast comparison sheet shows us how much our forecast (what is read into the code) has changed since the last update, in level and percent differences.</t>
  </si>
  <si>
    <t>Table 1: BEA and CBO -- historical data are read in and formulas should be updated when there's a new quarter update</t>
  </si>
  <si>
    <t>Prepare the Historical Overrides and deflators_override sheets</t>
  </si>
  <si>
    <t>We have a few overrides to historical data that we include in these sheets</t>
  </si>
  <si>
    <t>Differences</t>
  </si>
  <si>
    <t>Our projection of UR (based on CBO)</t>
  </si>
  <si>
    <t>Louise -- CTC is no longer included in the BEA + other legislation (what we haven't accounted for) also came in hgiher</t>
  </si>
  <si>
    <t>Feb 2023 CBO economic release</t>
  </si>
  <si>
    <r>
      <t>March</t>
    </r>
    <r>
      <rPr>
        <vertAlign val="superscript"/>
        <sz val="11"/>
        <rFont val="Calibri"/>
        <family val="2"/>
      </rPr>
      <t xml:space="preserve"> p</t>
    </r>
    <r>
      <rPr>
        <sz val="11"/>
        <rFont val="Calibri"/>
        <family val="2"/>
      </rPr>
      <t/>
    </r>
  </si>
  <si>
    <t>Aug.</t>
  </si>
  <si>
    <t>Sept.</t>
  </si>
  <si>
    <t>Oct.</t>
  </si>
  <si>
    <t>Nov.</t>
  </si>
  <si>
    <t>Dec.</t>
  </si>
  <si>
    <t>Our forecast for 2023 Q2</t>
  </si>
  <si>
    <t/>
  </si>
  <si>
    <t>Our forecast for Q2</t>
  </si>
  <si>
    <t>In the Historical Overrides sheet, add the new quarter to the last column and drag the formulas to the right. In the deflators_override sheet, delete the first column. Add a new quarter to the last column and drag the formula over to the right. (all the quarters in this sheet should be in the forecast period)</t>
  </si>
  <si>
    <t xml:space="preserve">Louise -- we couldn't find BEA's # for the Education Stabilization Fund in the usual NIPA table. https://apps.bea.gov/iTable/?reqid=19&amp;step=2&amp;isuri=1&amp;categories=survey#eyJhcHBpZCI6MTksInN0ZXBzIjpbMSwyLDNdLCJkYXRhIjpbWyJjYXRlZ29yaWVzIiwiU3VydmV5Il0sWyJOSVBBX1RhYmxlX0xpc3QiLCI4NyJdXX0=
The BEA says these items are no longer being updated: https://www.bea.gov/recovery.
</t>
  </si>
  <si>
    <r>
      <t xml:space="preserve">Methodology: </t>
    </r>
    <r>
      <rPr>
        <sz val="11"/>
        <color theme="1"/>
        <rFont val="Arial"/>
        <family val="2"/>
      </rPr>
      <t xml:space="preserve">We take Haver's historical investment grants data and hold grants flat at the FY2020 average. </t>
    </r>
  </si>
  <si>
    <t>Hutchins center growth rate</t>
  </si>
  <si>
    <t>Lowered growth rate for Q2 &amp; Q3 compared to CBO because we think it is abnormally high</t>
  </si>
  <si>
    <t>we need to add a year from cbo</t>
  </si>
  <si>
    <t>*add something here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</si>
</sst>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43" formatCode="_(* #,##0.00_);_(* \(#,##0.00\);_(* &quot;-&quot;??_);_(@_)"/>
    <numFmt numFmtId="164" formatCode="0.000%"/>
    <numFmt numFmtId="165" formatCode="#,##0.0"/>
    <numFmt numFmtId="166" formatCode="yyyy\-mm\-dd"/>
    <numFmt numFmtId="167" formatCode="0.0%"/>
    <numFmt numFmtId="168" formatCode="0.0"/>
    <numFmt numFmtId="169" formatCode="0.000"/>
    <numFmt numFmtId="170" formatCode="#,##0.000"/>
    <numFmt numFmtId="171" formatCode="#,##0.0000"/>
    <numFmt numFmtId="172" formatCode="0.00000000000000"/>
    <numFmt numFmtId="173" formatCode="0.0000000000000"/>
    <numFmt numFmtId="174" formatCode="0_);\(0\)"/>
    <numFmt numFmtId="175" formatCode="0.00_);\(0.00\)"/>
    <numFmt numFmtId="176" formatCode="0.0000%"/>
  </numFmts>
  <fonts count="76" x14ac:knownFonts="1">
    <font>
      <sz val="11"/>
      <color theme="1"/>
      <name val="Calibri"/>
      <family val="2"/>
      <scheme val="minor"/>
    </font>
    <font>
      <sz val="11"/>
      <color theme="1"/>
      <name val="Calibri"/>
      <family val="2"/>
    </font>
    <font>
      <b/>
      <sz val="11"/>
      <color theme="1"/>
      <name val="Calibri"/>
      <family val="2"/>
    </font>
    <font>
      <i/>
      <sz val="11"/>
      <color theme="1"/>
      <name val="Calibri"/>
      <family val="2"/>
    </font>
    <font>
      <sz val="11"/>
      <color theme="1"/>
      <name val="Arial"/>
      <family val="2"/>
    </font>
    <font>
      <b/>
      <i/>
      <sz val="11"/>
      <color theme="1"/>
      <name val="Calibri"/>
      <family val="2"/>
    </font>
    <font>
      <b/>
      <i/>
      <sz val="11"/>
      <color rgb="FF000000"/>
      <name val="Calibri"/>
      <family val="2"/>
    </font>
    <font>
      <sz val="11"/>
      <color rgb="FF000000"/>
      <name val="Calibri"/>
      <family val="2"/>
    </font>
    <font>
      <b/>
      <sz val="11"/>
      <color rgb="FF000000"/>
      <name val="Calibri"/>
      <family val="2"/>
    </font>
    <font>
      <sz val="11"/>
      <color rgb="FF44546A"/>
      <name val="Arial"/>
      <family val="2"/>
    </font>
    <font>
      <sz val="7"/>
      <color theme="1"/>
      <name val="Segoe UI"/>
      <family val="2"/>
    </font>
    <font>
      <sz val="11"/>
      <color theme="3"/>
      <name val="Arial"/>
      <family val="2"/>
    </font>
    <font>
      <b/>
      <sz val="11"/>
      <color theme="1"/>
      <name val="Arial"/>
      <family val="2"/>
    </font>
    <font>
      <u/>
      <sz val="11"/>
      <color theme="10"/>
      <name val="Calibri"/>
      <family val="2"/>
    </font>
    <font>
      <sz val="11"/>
      <color theme="1"/>
      <name val="Calibri"/>
      <family val="2"/>
    </font>
    <font>
      <b/>
      <sz val="16"/>
      <color theme="1"/>
      <name val="Calibri"/>
      <family val="2"/>
    </font>
    <font>
      <sz val="11"/>
      <color theme="1"/>
      <name val="Calibri"/>
      <family val="2"/>
      <scheme val="minor"/>
    </font>
    <font>
      <u/>
      <sz val="11"/>
      <color theme="10"/>
      <name val="Calibri"/>
      <family val="2"/>
      <scheme val="minor"/>
    </font>
    <font>
      <sz val="11"/>
      <color indexed="8"/>
      <name val="Calibri"/>
      <family val="2"/>
      <scheme val="minor"/>
    </font>
    <font>
      <b/>
      <sz val="11"/>
      <color indexed="9"/>
      <name val="Calibri"/>
      <family val="2"/>
    </font>
    <font>
      <i/>
      <sz val="11"/>
      <color theme="1"/>
      <name val="Calibri"/>
      <family val="2"/>
      <scheme val="minor"/>
    </font>
    <font>
      <b/>
      <sz val="14"/>
      <color theme="1"/>
      <name val="Calibri"/>
      <family val="2"/>
    </font>
    <font>
      <sz val="13"/>
      <color theme="1"/>
      <name val="Calibri"/>
      <family val="2"/>
    </font>
    <font>
      <b/>
      <i/>
      <sz val="15"/>
      <color theme="1"/>
      <name val="Calibri"/>
      <family val="2"/>
    </font>
    <font>
      <b/>
      <sz val="11"/>
      <color theme="1"/>
      <name val="Calibri"/>
      <family val="2"/>
      <scheme val="minor"/>
    </font>
    <font>
      <sz val="12"/>
      <color theme="1"/>
      <name val="Calibri"/>
      <family val="2"/>
    </font>
    <font>
      <b/>
      <sz val="12"/>
      <color theme="1"/>
      <name val="Calibri"/>
      <family val="2"/>
    </font>
    <font>
      <i/>
      <sz val="11"/>
      <color theme="1"/>
      <name val="Arial"/>
      <family val="2"/>
    </font>
    <font>
      <sz val="11"/>
      <color rgb="FFFF0000"/>
      <name val="Arial"/>
      <family val="2"/>
    </font>
    <font>
      <sz val="11"/>
      <color rgb="FF393B3E"/>
      <name val="Arial"/>
      <family val="2"/>
    </font>
    <font>
      <b/>
      <i/>
      <sz val="11"/>
      <color theme="1"/>
      <name val="Arial"/>
      <family val="2"/>
    </font>
    <font>
      <sz val="12"/>
      <color rgb="FF000000"/>
      <name val="Courier New"/>
      <family val="3"/>
    </font>
    <font>
      <sz val="11"/>
      <color rgb="FF000000"/>
      <name val="Arial"/>
      <family val="2"/>
    </font>
    <font>
      <sz val="7"/>
      <color rgb="FF242424"/>
      <name val="Segoe UI"/>
      <family val="2"/>
    </font>
    <font>
      <b/>
      <sz val="10"/>
      <color theme="1"/>
      <name val="Arial"/>
      <family val="2"/>
    </font>
    <font>
      <b/>
      <i/>
      <sz val="10"/>
      <color theme="1"/>
      <name val="Arial"/>
      <family val="2"/>
    </font>
    <font>
      <b/>
      <sz val="9"/>
      <color theme="1"/>
      <name val="Arial"/>
      <family val="2"/>
    </font>
    <font>
      <sz val="11"/>
      <color indexed="8"/>
      <name val="Arial"/>
      <family val="2"/>
    </font>
    <font>
      <b/>
      <i/>
      <sz val="11"/>
      <color theme="1"/>
      <name val="Calibri"/>
      <family val="2"/>
      <scheme val="minor"/>
    </font>
    <font>
      <b/>
      <sz val="11"/>
      <color rgb="FF000000"/>
      <name val="Arial"/>
      <family val="2"/>
    </font>
    <font>
      <sz val="11"/>
      <color rgb="FF242424"/>
      <name val="Arial"/>
      <family val="2"/>
    </font>
    <font>
      <b/>
      <sz val="11"/>
      <color theme="0"/>
      <name val="Arial"/>
      <family val="2"/>
    </font>
    <font>
      <i/>
      <sz val="11"/>
      <color rgb="FF000000"/>
      <name val="Arial"/>
      <family val="2"/>
    </font>
    <font>
      <sz val="11"/>
      <color theme="1"/>
      <name val="Calibri Light"/>
      <family val="2"/>
    </font>
    <font>
      <sz val="10"/>
      <color theme="1"/>
      <name val="Arial"/>
      <family val="2"/>
    </font>
    <font>
      <i/>
      <sz val="10"/>
      <color theme="1"/>
      <name val="Arial"/>
      <family val="2"/>
    </font>
    <font>
      <sz val="10"/>
      <color theme="1"/>
      <name val="Calibri"/>
      <family val="2"/>
      <scheme val="minor"/>
    </font>
    <font>
      <sz val="11"/>
      <color rgb="FF1F497D"/>
      <name val="Arial"/>
      <family val="2"/>
    </font>
    <font>
      <u/>
      <sz val="9"/>
      <color theme="10"/>
      <name val="Arial"/>
      <family val="2"/>
    </font>
    <font>
      <sz val="8.5"/>
      <color rgb="FF000000"/>
      <name val="Arial"/>
      <family val="2"/>
    </font>
    <font>
      <sz val="8.5"/>
      <color theme="1"/>
      <name val="Arial"/>
      <family val="2"/>
    </font>
    <font>
      <sz val="8"/>
      <color theme="1"/>
      <name val="Calibri"/>
      <family val="2"/>
    </font>
    <font>
      <sz val="9"/>
      <color theme="1"/>
      <name val="Arial"/>
      <family val="2"/>
    </font>
    <font>
      <sz val="9"/>
      <color rgb="FF000000"/>
      <name val="Arial"/>
      <family val="2"/>
    </font>
    <font>
      <sz val="9"/>
      <color theme="1"/>
      <name val="Calibri"/>
      <family val="2"/>
    </font>
    <font>
      <sz val="11"/>
      <color rgb="FF333333"/>
      <name val="Arial"/>
      <family val="2"/>
    </font>
    <font>
      <sz val="16"/>
      <color theme="1"/>
      <name val="Arial"/>
      <family val="2"/>
    </font>
    <font>
      <sz val="8"/>
      <color rgb="FF000000"/>
      <name val="Arial"/>
      <family val="2"/>
    </font>
    <font>
      <b/>
      <i/>
      <sz val="8"/>
      <color rgb="FF980000"/>
      <name val="Arial"/>
      <family val="2"/>
    </font>
    <font>
      <sz val="10"/>
      <color rgb="FF000000"/>
      <name val="Arial"/>
      <family val="2"/>
    </font>
    <font>
      <sz val="10"/>
      <color rgb="FF980000"/>
      <name val="Arial"/>
      <family val="2"/>
    </font>
    <font>
      <b/>
      <i/>
      <sz val="8"/>
      <color rgb="FF000000"/>
      <name val="Arial"/>
      <family val="2"/>
    </font>
    <font>
      <sz val="10"/>
      <color theme="1"/>
      <name val="Calibri"/>
      <family val="2"/>
    </font>
    <font>
      <sz val="11"/>
      <color rgb="FF980000"/>
      <name val="Calibri"/>
      <family val="2"/>
    </font>
    <font>
      <b/>
      <sz val="11"/>
      <color theme="1"/>
      <name val="Calibri"/>
      <family val="2"/>
    </font>
    <font>
      <vertAlign val="superscript"/>
      <sz val="11"/>
      <color theme="1"/>
      <name val="Calibri"/>
      <family val="2"/>
      <scheme val="minor"/>
    </font>
    <font>
      <vertAlign val="superscript"/>
      <sz val="11"/>
      <name val="Arial"/>
      <family val="2"/>
    </font>
    <font>
      <b/>
      <sz val="11"/>
      <name val="Calibri"/>
      <family val="2"/>
      <scheme val="minor"/>
    </font>
    <font>
      <sz val="11"/>
      <name val="Calibri"/>
      <family val="2"/>
      <scheme val="minor"/>
    </font>
    <font>
      <vertAlign val="superscript"/>
      <sz val="11"/>
      <name val="Calibri"/>
      <family val="2"/>
    </font>
    <font>
      <sz val="11"/>
      <name val="Calibri"/>
      <family val="2"/>
    </font>
    <font>
      <sz val="8.5"/>
      <name val="Arial"/>
      <family val="2"/>
    </font>
    <font>
      <sz val="10"/>
      <name val="Arial"/>
      <family val="2"/>
    </font>
    <font>
      <b/>
      <sz val="11"/>
      <name val="Calibri"/>
      <family val="2"/>
    </font>
    <font>
      <sz val="8"/>
      <name val="Calibri"/>
      <family val="2"/>
      <scheme val="minor"/>
    </font>
    <font>
      <sz val="9"/>
      <color indexed="81"/>
      <name val="Tahoma"/>
      <charset val="1"/>
    </font>
  </fonts>
  <fills count="40">
    <fill>
      <patternFill patternType="none"/>
    </fill>
    <fill>
      <patternFill patternType="gray125"/>
    </fill>
    <fill>
      <patternFill patternType="solid">
        <fgColor theme="0"/>
        <bgColor indexed="64"/>
      </patternFill>
    </fill>
    <fill>
      <patternFill patternType="solid">
        <fgColor theme="7" tint="0.79998168889431442"/>
        <bgColor indexed="64"/>
      </patternFill>
    </fill>
    <fill>
      <patternFill patternType="solid">
        <fgColor rgb="FFFFF2CC"/>
        <bgColor rgb="FF000000"/>
      </patternFill>
    </fill>
    <fill>
      <patternFill patternType="solid">
        <fgColor rgb="FFD9E1F2"/>
        <bgColor rgb="FF000000"/>
      </patternFill>
    </fill>
    <fill>
      <patternFill patternType="solid">
        <fgColor theme="4" tint="0.79998168889431442"/>
        <bgColor indexed="64"/>
      </patternFill>
    </fill>
    <fill>
      <patternFill patternType="solid">
        <fgColor theme="9" tint="0.59999389629810485"/>
        <bgColor indexed="64"/>
      </patternFill>
    </fill>
    <fill>
      <patternFill patternType="solid">
        <fgColor rgb="FFFFFF00"/>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9" tint="0.39997558519241921"/>
        <bgColor indexed="64"/>
      </patternFill>
    </fill>
    <fill>
      <patternFill patternType="solid">
        <fgColor rgb="FFC6E0B4"/>
        <bgColor indexed="64"/>
      </patternFill>
    </fill>
    <fill>
      <patternFill patternType="solid">
        <fgColor theme="5" tint="0.39997558519241921"/>
        <bgColor indexed="64"/>
      </patternFill>
    </fill>
    <fill>
      <patternFill patternType="solid">
        <fgColor theme="0" tint="-4.9989318521683403E-2"/>
        <bgColor indexed="64"/>
      </patternFill>
    </fill>
    <fill>
      <patternFill patternType="solid">
        <fgColor theme="5" tint="0.59999389629810485"/>
        <bgColor indexed="64"/>
      </patternFill>
    </fill>
    <fill>
      <patternFill patternType="solid">
        <fgColor theme="7" tint="0.39997558519241921"/>
        <bgColor indexed="64"/>
      </patternFill>
    </fill>
    <fill>
      <patternFill patternType="solid">
        <fgColor theme="3" tint="0.79998168889431442"/>
        <bgColor indexed="64"/>
      </patternFill>
    </fill>
    <fill>
      <patternFill patternType="solid">
        <fgColor rgb="FFE7E6E6"/>
      </patternFill>
    </fill>
    <fill>
      <patternFill patternType="solid">
        <fgColor rgb="FFFF0000"/>
        <bgColor indexed="64"/>
      </patternFill>
    </fill>
    <fill>
      <patternFill patternType="solid">
        <fgColor rgb="FF00CC99"/>
        <bgColor indexed="64"/>
      </patternFill>
    </fill>
    <fill>
      <patternFill patternType="solid">
        <fgColor rgb="FFCC66FF"/>
        <bgColor indexed="64"/>
      </patternFill>
    </fill>
    <fill>
      <patternFill patternType="solid">
        <fgColor rgb="FF92D050"/>
        <bgColor indexed="64"/>
      </patternFill>
    </fill>
    <fill>
      <patternFill patternType="solid">
        <fgColor rgb="FF00B050"/>
        <bgColor indexed="64"/>
      </patternFill>
    </fill>
    <fill>
      <patternFill patternType="solid">
        <fgColor theme="7" tint="0.59999389629810485"/>
        <bgColor indexed="64"/>
      </patternFill>
    </fill>
    <fill>
      <patternFill patternType="solid">
        <fgColor theme="0" tint="-0.14999847407452621"/>
        <bgColor indexed="64"/>
      </patternFill>
    </fill>
    <fill>
      <patternFill patternType="solid">
        <fgColor theme="7"/>
        <bgColor indexed="64"/>
      </patternFill>
    </fill>
    <fill>
      <patternFill patternType="solid">
        <fgColor rgb="FFFFFFFF"/>
        <bgColor rgb="FFFFFFFF"/>
      </patternFill>
    </fill>
    <fill>
      <patternFill patternType="solid">
        <fgColor rgb="FFFFEFF5"/>
        <bgColor indexed="64"/>
      </patternFill>
    </fill>
    <fill>
      <patternFill patternType="solid">
        <fgColor rgb="FFA9D08E"/>
        <bgColor rgb="FFA9D08E"/>
      </patternFill>
    </fill>
    <fill>
      <patternFill patternType="solid">
        <fgColor rgb="FFFADCBC"/>
        <bgColor indexed="64"/>
      </patternFill>
    </fill>
    <fill>
      <patternFill patternType="solid">
        <fgColor rgb="FFB4C6E7"/>
        <bgColor rgb="FFB4C6E7"/>
      </patternFill>
    </fill>
    <fill>
      <patternFill patternType="solid">
        <fgColor rgb="FFBF8F00"/>
        <bgColor rgb="FFBF8F00"/>
      </patternFill>
    </fill>
    <fill>
      <patternFill patternType="solid">
        <fgColor theme="9"/>
        <bgColor theme="9"/>
      </patternFill>
    </fill>
    <fill>
      <patternFill patternType="solid">
        <fgColor rgb="FFFFC000"/>
        <bgColor rgb="FFFFC000"/>
      </patternFill>
    </fill>
    <fill>
      <patternFill patternType="solid">
        <fgColor rgb="FFB3FFFF"/>
        <bgColor indexed="64"/>
      </patternFill>
    </fill>
    <fill>
      <patternFill patternType="solid">
        <fgColor theme="8" tint="0.39997558519241921"/>
        <bgColor indexed="64"/>
      </patternFill>
    </fill>
    <fill>
      <patternFill patternType="solid">
        <fgColor theme="9" tint="-0.499984740745262"/>
        <bgColor indexed="64"/>
      </patternFill>
    </fill>
    <fill>
      <patternFill patternType="darkGray">
        <bgColor indexed="12"/>
      </patternFill>
    </fill>
  </fills>
  <borders count="64">
    <border>
      <left/>
      <right/>
      <top/>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diagonal/>
    </border>
    <border>
      <left/>
      <right style="thin">
        <color indexed="64"/>
      </right>
      <top/>
      <bottom/>
      <diagonal/>
    </border>
    <border>
      <left/>
      <right/>
      <top style="thin">
        <color auto="1"/>
      </top>
      <bottom/>
      <diagonal/>
    </border>
    <border>
      <left/>
      <right style="thin">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style="thin">
        <color indexed="64"/>
      </right>
      <top style="thin">
        <color theme="0" tint="-0.14999847407452621"/>
      </top>
      <bottom style="thin">
        <color theme="0" tint="-0.14999847407452621"/>
      </bottom>
      <diagonal/>
    </border>
    <border>
      <left style="hair">
        <color auto="1"/>
      </left>
      <right/>
      <top style="hair">
        <color auto="1"/>
      </top>
      <bottom/>
      <diagonal/>
    </border>
    <border>
      <left/>
      <right/>
      <top style="hair">
        <color indexed="64"/>
      </top>
      <bottom/>
      <diagonal/>
    </border>
    <border>
      <left/>
      <right style="hair">
        <color auto="1"/>
      </right>
      <top style="hair">
        <color auto="1"/>
      </top>
      <bottom/>
      <diagonal/>
    </border>
    <border>
      <left style="hair">
        <color auto="1"/>
      </left>
      <right/>
      <top/>
      <bottom/>
      <diagonal/>
    </border>
    <border>
      <left/>
      <right style="hair">
        <color auto="1"/>
      </right>
      <top/>
      <bottom/>
      <diagonal/>
    </border>
    <border>
      <left style="hair">
        <color auto="1"/>
      </left>
      <right/>
      <top/>
      <bottom style="hair">
        <color auto="1"/>
      </bottom>
      <diagonal/>
    </border>
    <border>
      <left/>
      <right/>
      <top/>
      <bottom style="hair">
        <color indexed="64"/>
      </bottom>
      <diagonal/>
    </border>
    <border>
      <left/>
      <right style="hair">
        <color auto="1"/>
      </right>
      <top/>
      <bottom style="hair">
        <color auto="1"/>
      </bottom>
      <diagonal/>
    </border>
    <border>
      <left style="hair">
        <color auto="1"/>
      </left>
      <right style="hair">
        <color auto="1"/>
      </right>
      <top style="hair">
        <color auto="1"/>
      </top>
      <bottom style="hair">
        <color auto="1"/>
      </bottom>
      <diagonal/>
    </border>
    <border>
      <left/>
      <right/>
      <top/>
      <bottom style="medium">
        <color theme="0" tint="-0.499984740745262"/>
      </bottom>
      <diagonal/>
    </border>
    <border>
      <left style="hair">
        <color auto="1"/>
      </left>
      <right style="hair">
        <color auto="1"/>
      </right>
      <top style="hair">
        <color auto="1"/>
      </top>
      <bottom/>
      <diagonal/>
    </border>
    <border>
      <left style="hair">
        <color auto="1"/>
      </left>
      <right style="hair">
        <color auto="1"/>
      </right>
      <top/>
      <bottom/>
      <diagonal/>
    </border>
    <border>
      <left style="hair">
        <color auto="1"/>
      </left>
      <right style="hair">
        <color auto="1"/>
      </right>
      <top/>
      <bottom style="hair">
        <color auto="1"/>
      </bottom>
      <diagonal/>
    </border>
    <border>
      <left/>
      <right/>
      <top style="hair">
        <color indexed="64"/>
      </top>
      <bottom style="hair">
        <color indexed="64"/>
      </bottom>
      <diagonal/>
    </border>
    <border>
      <left/>
      <right style="hair">
        <color auto="1"/>
      </right>
      <top style="hair">
        <color auto="1"/>
      </top>
      <bottom style="hair">
        <color auto="1"/>
      </bottom>
      <diagonal/>
    </border>
    <border>
      <left style="hair">
        <color auto="1"/>
      </left>
      <right/>
      <top style="hair">
        <color auto="1"/>
      </top>
      <bottom style="hair">
        <color auto="1"/>
      </bottom>
      <diagonal/>
    </border>
    <border>
      <left style="thin">
        <color indexed="9"/>
      </left>
      <right style="thin">
        <color indexed="9"/>
      </right>
      <top style="thin">
        <color indexed="9"/>
      </top>
      <bottom style="thin">
        <color indexed="9"/>
      </bottom>
      <diagonal/>
    </border>
    <border>
      <left/>
      <right style="thin">
        <color indexed="9"/>
      </right>
      <top/>
      <bottom/>
      <diagonal/>
    </border>
    <border>
      <left style="thin">
        <color indexed="9"/>
      </left>
      <right style="thin">
        <color indexed="9"/>
      </right>
      <top/>
      <bottom/>
      <diagonal/>
    </border>
    <border>
      <left style="thin">
        <color indexed="64"/>
      </left>
      <right style="thin">
        <color indexed="9"/>
      </right>
      <top/>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right/>
      <top/>
      <bottom style="thin">
        <color rgb="FFFFFF00"/>
      </bottom>
      <diagonal/>
    </border>
    <border>
      <left style="thin">
        <color indexed="64"/>
      </left>
      <right/>
      <top/>
      <bottom style="thin">
        <color rgb="FFFFFF00"/>
      </bottom>
      <diagonal/>
    </border>
    <border>
      <left/>
      <right style="thin">
        <color rgb="FFFFFF00"/>
      </right>
      <top/>
      <bottom style="thin">
        <color rgb="FFFFFF00"/>
      </bottom>
      <diagonal/>
    </border>
    <border>
      <left style="thin">
        <color indexed="64"/>
      </left>
      <right/>
      <top style="thin">
        <color auto="1"/>
      </top>
      <bottom style="thin">
        <color indexed="64"/>
      </bottom>
      <diagonal/>
    </border>
    <border>
      <left/>
      <right/>
      <top style="thin">
        <color auto="1"/>
      </top>
      <bottom style="thin">
        <color indexed="64"/>
      </bottom>
      <diagonal/>
    </border>
    <border>
      <left/>
      <right style="thin">
        <color indexed="64"/>
      </right>
      <top style="thin">
        <color auto="1"/>
      </top>
      <bottom style="thin">
        <color indexed="64"/>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auto="1"/>
      </top>
      <bottom style="thin">
        <color indexed="64"/>
      </bottom>
      <diagonal/>
    </border>
    <border>
      <left style="thin">
        <color indexed="64"/>
      </left>
      <right/>
      <top style="hair">
        <color auto="1"/>
      </top>
      <bottom style="hair">
        <color auto="1"/>
      </bottom>
      <diagonal/>
    </border>
    <border>
      <left style="thin">
        <color indexed="64"/>
      </left>
      <right/>
      <top/>
      <bottom style="hair">
        <color indexed="64"/>
      </bottom>
      <diagonal/>
    </border>
    <border>
      <left style="thin">
        <color indexed="64"/>
      </left>
      <right/>
      <top/>
      <bottom style="dashed">
        <color indexed="64"/>
      </bottom>
      <diagonal/>
    </border>
    <border>
      <left/>
      <right/>
      <top/>
      <bottom style="dashed">
        <color indexed="64"/>
      </bottom>
      <diagonal/>
    </border>
    <border>
      <left/>
      <right style="thin">
        <color indexed="64"/>
      </right>
      <top/>
      <bottom style="dashed">
        <color indexed="64"/>
      </bottom>
      <diagonal/>
    </border>
    <border>
      <left/>
      <right/>
      <top/>
      <bottom style="thin">
        <color rgb="FF000000"/>
      </bottom>
      <diagonal/>
    </border>
    <border>
      <left/>
      <right/>
      <top style="thin">
        <color rgb="FF000000"/>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rgb="FFFFFF00"/>
      </left>
      <right/>
      <top style="thin">
        <color rgb="FFFFFF00"/>
      </top>
      <bottom style="thin">
        <color rgb="FFFFFF00"/>
      </bottom>
      <diagonal/>
    </border>
    <border>
      <left/>
      <right/>
      <top style="thin">
        <color rgb="FFFFFF00"/>
      </top>
      <bottom style="thin">
        <color rgb="FFFFFF00"/>
      </bottom>
      <diagonal/>
    </border>
    <border>
      <left/>
      <right style="thin">
        <color rgb="FFFFFF00"/>
      </right>
      <top style="thin">
        <color rgb="FFFFFF00"/>
      </top>
      <bottom style="thin">
        <color rgb="FFFFFF00"/>
      </bottom>
      <diagonal/>
    </border>
    <border>
      <left style="thin">
        <color indexed="64"/>
      </left>
      <right/>
      <top style="hair">
        <color indexed="64"/>
      </top>
      <bottom/>
      <diagonal/>
    </border>
    <border>
      <left/>
      <right style="thin">
        <color indexed="64"/>
      </right>
      <top style="hair">
        <color indexed="64"/>
      </top>
      <bottom/>
      <diagonal/>
    </border>
    <border>
      <left/>
      <right style="thin">
        <color indexed="64"/>
      </right>
      <top/>
      <bottom style="hair">
        <color indexed="64"/>
      </bottom>
      <diagonal/>
    </border>
    <border>
      <left style="thin">
        <color indexed="9"/>
      </left>
      <right style="thin">
        <color indexed="9"/>
      </right>
      <top style="thin">
        <color indexed="9"/>
      </top>
      <bottom style="thin">
        <color indexed="9"/>
      </bottom>
      <diagonal/>
    </border>
    <border>
      <left/>
      <right/>
      <top style="thin">
        <color indexed="64"/>
      </top>
      <bottom/>
      <diagonal/>
    </border>
  </borders>
  <cellStyleXfs count="4">
    <xf numFmtId="0" fontId="0" fillId="0" borderId="0"/>
    <xf numFmtId="9" fontId="16" fillId="0" borderId="0" applyFont="0" applyFill="0" applyBorder="0" applyAlignment="0" applyProtection="0"/>
    <xf numFmtId="0" fontId="72" fillId="0" borderId="0"/>
    <xf numFmtId="0" fontId="18" fillId="0" borderId="0"/>
  </cellStyleXfs>
  <cellXfs count="1796">
    <xf numFmtId="0" fontId="0" fillId="0" borderId="0" xfId="0"/>
    <xf numFmtId="0" fontId="1" fillId="2" borderId="1" xfId="0" applyFont="1" applyFill="1" applyBorder="1" applyAlignment="1">
      <alignment vertical="top" wrapText="1"/>
    </xf>
    <xf numFmtId="0" fontId="1" fillId="2" borderId="2" xfId="0" applyFont="1" applyFill="1" applyBorder="1" applyAlignment="1">
      <alignment vertical="top"/>
    </xf>
    <xf numFmtId="0" fontId="1" fillId="2" borderId="1" xfId="0" applyFont="1" applyFill="1" applyBorder="1" applyAlignment="1">
      <alignment vertical="top"/>
    </xf>
    <xf numFmtId="0" fontId="2" fillId="2" borderId="3" xfId="0" applyFont="1" applyFill="1" applyBorder="1" applyAlignment="1">
      <alignment vertical="top"/>
    </xf>
    <xf numFmtId="0" fontId="2" fillId="2" borderId="1" xfId="0" applyFont="1" applyFill="1" applyBorder="1" applyAlignment="1">
      <alignment vertical="top"/>
    </xf>
    <xf numFmtId="0" fontId="1" fillId="2" borderId="4" xfId="0" applyFont="1" applyFill="1" applyBorder="1" applyAlignment="1">
      <alignment vertical="top"/>
    </xf>
    <xf numFmtId="0" fontId="1" fillId="2" borderId="7" xfId="0" applyFont="1" applyFill="1" applyBorder="1" applyAlignment="1">
      <alignment vertical="top"/>
    </xf>
    <xf numFmtId="0" fontId="1" fillId="2" borderId="8" xfId="0" applyFont="1" applyFill="1" applyBorder="1" applyAlignment="1">
      <alignment vertical="top"/>
    </xf>
    <xf numFmtId="0" fontId="3" fillId="2" borderId="1" xfId="0" applyFont="1" applyFill="1" applyBorder="1" applyAlignment="1">
      <alignment vertical="top"/>
    </xf>
    <xf numFmtId="0" fontId="4" fillId="0" borderId="0" xfId="0" applyFont="1" applyAlignment="1">
      <alignment vertical="top" wrapText="1"/>
    </xf>
    <xf numFmtId="0" fontId="1" fillId="2" borderId="6" xfId="0" applyFont="1" applyFill="1" applyBorder="1" applyAlignment="1">
      <alignment vertical="top"/>
    </xf>
    <xf numFmtId="0" fontId="1" fillId="2" borderId="0" xfId="0" applyFont="1" applyFill="1" applyAlignment="1">
      <alignment vertical="top"/>
    </xf>
    <xf numFmtId="0" fontId="1" fillId="2" borderId="5" xfId="0" applyFont="1" applyFill="1" applyBorder="1" applyAlignment="1">
      <alignment vertical="top"/>
    </xf>
    <xf numFmtId="0" fontId="1" fillId="0" borderId="0" xfId="0" applyFont="1" applyAlignment="1">
      <alignment wrapText="1"/>
    </xf>
    <xf numFmtId="0" fontId="1" fillId="0" borderId="12" xfId="0" applyFont="1" applyBorder="1" applyAlignment="1">
      <alignment wrapText="1"/>
    </xf>
    <xf numFmtId="0" fontId="8" fillId="0" borderId="0" xfId="0" applyFont="1" applyAlignment="1">
      <alignment wrapText="1"/>
    </xf>
    <xf numFmtId="0" fontId="1" fillId="0" borderId="0" xfId="0" applyFont="1" applyAlignment="1">
      <alignment horizontal="left" vertical="top" wrapText="1"/>
    </xf>
    <xf numFmtId="0" fontId="7" fillId="0" borderId="1" xfId="0" applyFont="1" applyBorder="1" applyAlignment="1">
      <alignment wrapText="1"/>
    </xf>
    <xf numFmtId="0" fontId="1" fillId="0" borderId="1" xfId="0" applyFont="1" applyBorder="1" applyAlignment="1">
      <alignment wrapText="1"/>
    </xf>
    <xf numFmtId="0" fontId="7" fillId="0" borderId="1" xfId="0" applyFont="1" applyBorder="1" applyAlignment="1">
      <alignment horizontal="left" wrapText="1"/>
    </xf>
    <xf numFmtId="0" fontId="1" fillId="0" borderId="2" xfId="0" applyFont="1" applyBorder="1" applyAlignment="1">
      <alignment wrapText="1"/>
    </xf>
    <xf numFmtId="0" fontId="1" fillId="0" borderId="7" xfId="0" applyFont="1" applyBorder="1" applyAlignment="1">
      <alignment wrapText="1"/>
    </xf>
    <xf numFmtId="0" fontId="1" fillId="0" borderId="13" xfId="0" applyFont="1" applyBorder="1" applyAlignment="1">
      <alignment wrapText="1"/>
    </xf>
    <xf numFmtId="0" fontId="1" fillId="0" borderId="14" xfId="0" applyFont="1" applyBorder="1" applyAlignment="1">
      <alignment wrapText="1"/>
    </xf>
    <xf numFmtId="0" fontId="8" fillId="5" borderId="9" xfId="0" applyFont="1" applyFill="1" applyBorder="1" applyAlignment="1">
      <alignment horizontal="center" wrapText="1"/>
    </xf>
    <xf numFmtId="0" fontId="8" fillId="5" borderId="10" xfId="0" applyFont="1" applyFill="1" applyBorder="1" applyAlignment="1">
      <alignment horizontal="center" wrapText="1"/>
    </xf>
    <xf numFmtId="0" fontId="8" fillId="5" borderId="11" xfId="0" applyFont="1" applyFill="1" applyBorder="1" applyAlignment="1">
      <alignment horizontal="center" wrapText="1"/>
    </xf>
    <xf numFmtId="0" fontId="9" fillId="0" borderId="0" xfId="0" applyFont="1" applyAlignment="1">
      <alignment wrapText="1"/>
    </xf>
    <xf numFmtId="0" fontId="10" fillId="0" borderId="0" xfId="0" applyFont="1" applyAlignment="1">
      <alignment vertical="center" wrapText="1"/>
    </xf>
    <xf numFmtId="0" fontId="2" fillId="0" borderId="0" xfId="0" applyFont="1" applyAlignment="1">
      <alignment wrapText="1"/>
    </xf>
    <xf numFmtId="0" fontId="6" fillId="0" borderId="14" xfId="0" applyFont="1" applyBorder="1" applyAlignment="1">
      <alignment horizontal="center" wrapText="1"/>
    </xf>
    <xf numFmtId="0" fontId="11" fillId="0" borderId="0" xfId="0" applyFont="1" applyAlignment="1">
      <alignment wrapText="1"/>
    </xf>
    <xf numFmtId="0" fontId="7" fillId="0" borderId="0" xfId="0" applyFont="1" applyAlignment="1">
      <alignment wrapText="1"/>
    </xf>
    <xf numFmtId="0" fontId="7" fillId="0" borderId="13" xfId="0" applyFont="1" applyBorder="1" applyAlignment="1">
      <alignment wrapText="1"/>
    </xf>
    <xf numFmtId="0" fontId="1" fillId="0" borderId="0" xfId="0" applyFont="1"/>
    <xf numFmtId="0" fontId="1" fillId="0" borderId="7" xfId="0" applyFont="1" applyBorder="1"/>
    <xf numFmtId="0" fontId="1" fillId="0" borderId="0" xfId="0" applyFont="1" applyAlignment="1">
      <alignment vertical="top" wrapText="1"/>
    </xf>
    <xf numFmtId="0" fontId="1" fillId="0" borderId="14" xfId="0" applyFont="1" applyBorder="1"/>
    <xf numFmtId="0" fontId="1" fillId="0" borderId="13" xfId="0" applyFont="1" applyBorder="1"/>
    <xf numFmtId="0" fontId="1" fillId="0" borderId="12" xfId="0" applyFont="1" applyBorder="1"/>
    <xf numFmtId="0" fontId="1" fillId="0" borderId="3" xfId="0" applyFont="1" applyBorder="1" applyAlignment="1">
      <alignment wrapText="1"/>
    </xf>
    <xf numFmtId="0" fontId="1" fillId="0" borderId="5" xfId="0" applyFont="1" applyBorder="1" applyAlignment="1">
      <alignment wrapText="1"/>
    </xf>
    <xf numFmtId="0" fontId="1" fillId="0" borderId="7" xfId="0" applyFont="1" applyBorder="1" applyAlignment="1">
      <alignment vertical="center" wrapText="1"/>
    </xf>
    <xf numFmtId="0" fontId="2" fillId="6" borderId="9" xfId="0" applyFont="1" applyFill="1" applyBorder="1" applyAlignment="1">
      <alignment horizontal="center" wrapText="1"/>
    </xf>
    <xf numFmtId="0" fontId="2" fillId="6" borderId="10" xfId="0" applyFont="1" applyFill="1" applyBorder="1" applyAlignment="1">
      <alignment horizontal="center" wrapText="1"/>
    </xf>
    <xf numFmtId="0" fontId="2" fillId="6" borderId="11" xfId="0" applyFont="1" applyFill="1" applyBorder="1" applyAlignment="1">
      <alignment horizontal="center" wrapText="1"/>
    </xf>
    <xf numFmtId="0" fontId="1" fillId="0" borderId="1" xfId="0" applyFont="1" applyBorder="1"/>
    <xf numFmtId="0" fontId="3" fillId="0" borderId="0" xfId="0" applyFont="1" applyAlignment="1">
      <alignment vertical="center" wrapText="1"/>
    </xf>
    <xf numFmtId="3" fontId="4" fillId="0" borderId="0" xfId="0" applyNumberFormat="1" applyFont="1" applyAlignment="1">
      <alignment horizontal="center" vertical="top" wrapText="1"/>
    </xf>
    <xf numFmtId="3" fontId="4" fillId="0" borderId="0" xfId="0" applyNumberFormat="1" applyFont="1" applyAlignment="1">
      <alignment horizontal="center" wrapText="1"/>
    </xf>
    <xf numFmtId="164" fontId="1" fillId="0" borderId="0" xfId="0" applyNumberFormat="1" applyFont="1" applyAlignment="1">
      <alignment horizontal="left"/>
    </xf>
    <xf numFmtId="165" fontId="4" fillId="0" borderId="0" xfId="0" applyNumberFormat="1" applyFont="1" applyAlignment="1">
      <alignment horizontal="center" vertical="top" wrapText="1"/>
    </xf>
    <xf numFmtId="0" fontId="7" fillId="0" borderId="0" xfId="0" applyFont="1" applyAlignment="1">
      <alignment horizontal="left"/>
    </xf>
    <xf numFmtId="0" fontId="1" fillId="0" borderId="1" xfId="0" applyFont="1" applyBorder="1" applyAlignment="1">
      <alignment horizontal="left"/>
    </xf>
    <xf numFmtId="0" fontId="1" fillId="0" borderId="0" xfId="0" applyFont="1" applyAlignment="1">
      <alignment horizontal="left" vertical="top"/>
    </xf>
    <xf numFmtId="0" fontId="1" fillId="0" borderId="0" xfId="0" applyFont="1" applyAlignment="1">
      <alignment horizontal="left"/>
    </xf>
    <xf numFmtId="0" fontId="7" fillId="0" borderId="0" xfId="0" applyFont="1" applyAlignment="1">
      <alignment horizontal="left" indent="2"/>
    </xf>
    <xf numFmtId="0" fontId="1" fillId="0" borderId="0" xfId="0" applyFont="1" applyAlignment="1">
      <alignment horizontal="left" indent="2"/>
    </xf>
    <xf numFmtId="0" fontId="1" fillId="0" borderId="1" xfId="0" applyFont="1" applyBorder="1" applyAlignment="1">
      <alignment horizontal="left" vertical="top"/>
    </xf>
    <xf numFmtId="0" fontId="2" fillId="0" borderId="0" xfId="0" applyFont="1" applyAlignment="1">
      <alignment horizontal="left"/>
    </xf>
    <xf numFmtId="166" fontId="1" fillId="0" borderId="0" xfId="0" applyNumberFormat="1" applyFont="1" applyAlignment="1">
      <alignment horizontal="left"/>
    </xf>
    <xf numFmtId="0" fontId="1" fillId="0" borderId="0" xfId="0" applyFont="1" applyAlignment="1">
      <alignment horizontal="left" wrapText="1"/>
    </xf>
    <xf numFmtId="10" fontId="1" fillId="0" borderId="0" xfId="0" applyNumberFormat="1" applyFont="1" applyAlignment="1">
      <alignment horizontal="left"/>
    </xf>
    <xf numFmtId="165" fontId="1" fillId="0" borderId="0" xfId="0" applyNumberFormat="1" applyFont="1" applyAlignment="1">
      <alignment horizontal="left" vertical="top" wrapText="1"/>
    </xf>
    <xf numFmtId="3" fontId="1" fillId="0" borderId="0" xfId="0" applyNumberFormat="1" applyFont="1" applyAlignment="1">
      <alignment horizontal="left" vertical="top" wrapText="1"/>
    </xf>
    <xf numFmtId="0" fontId="1" fillId="0" borderId="5" xfId="0" applyFont="1" applyBorder="1" applyAlignment="1">
      <alignment horizontal="left"/>
    </xf>
    <xf numFmtId="165" fontId="1" fillId="0" borderId="0" xfId="0" applyNumberFormat="1" applyFont="1" applyAlignment="1">
      <alignment horizontal="left"/>
    </xf>
    <xf numFmtId="1" fontId="4" fillId="0" borderId="0" xfId="0" applyNumberFormat="1" applyFont="1" applyAlignment="1">
      <alignment horizontal="center" wrapText="1"/>
    </xf>
    <xf numFmtId="0" fontId="12" fillId="0" borderId="0" xfId="0" applyFont="1" applyAlignment="1">
      <alignment horizontal="center" vertical="top" wrapText="1"/>
    </xf>
    <xf numFmtId="167" fontId="1" fillId="0" borderId="0" xfId="0" applyNumberFormat="1" applyFont="1"/>
    <xf numFmtId="1" fontId="1" fillId="0" borderId="0" xfId="0" applyNumberFormat="1" applyFont="1" applyAlignment="1">
      <alignment horizontal="center"/>
    </xf>
    <xf numFmtId="10" fontId="1" fillId="0" borderId="1" xfId="0" applyNumberFormat="1" applyFont="1" applyBorder="1"/>
    <xf numFmtId="167" fontId="1" fillId="0" borderId="0" xfId="0" applyNumberFormat="1" applyFont="1" applyAlignment="1">
      <alignment horizontal="center"/>
    </xf>
    <xf numFmtId="0" fontId="2" fillId="0" borderId="0" xfId="0" applyFont="1"/>
    <xf numFmtId="0" fontId="2" fillId="7" borderId="0" xfId="0" applyFont="1" applyFill="1" applyAlignment="1">
      <alignment horizontal="center"/>
    </xf>
    <xf numFmtId="0" fontId="1" fillId="0" borderId="0" xfId="0" applyFont="1" applyAlignment="1">
      <alignment horizontal="left" vertical="center" indent="2"/>
    </xf>
    <xf numFmtId="0" fontId="13" fillId="0" borderId="0" xfId="0" applyFont="1"/>
    <xf numFmtId="0" fontId="1" fillId="0" borderId="6" xfId="0" applyFont="1" applyBorder="1"/>
    <xf numFmtId="0" fontId="1" fillId="0" borderId="4" xfId="0" applyFont="1" applyBorder="1" applyAlignment="1">
      <alignment horizontal="center"/>
    </xf>
    <xf numFmtId="165" fontId="1" fillId="0" borderId="0" xfId="0" applyNumberFormat="1" applyFont="1"/>
    <xf numFmtId="0" fontId="14" fillId="0" borderId="0" xfId="0" applyFont="1"/>
    <xf numFmtId="165" fontId="2" fillId="0" borderId="16" xfId="0" applyNumberFormat="1" applyFont="1" applyBorder="1" applyAlignment="1">
      <alignment horizontal="right"/>
    </xf>
    <xf numFmtId="165" fontId="2" fillId="0" borderId="19" xfId="0" applyNumberFormat="1" applyFont="1" applyBorder="1" applyAlignment="1">
      <alignment horizontal="right"/>
    </xf>
    <xf numFmtId="165" fontId="2" fillId="0" borderId="0" xfId="0" applyNumberFormat="1" applyFont="1" applyAlignment="1">
      <alignment horizontal="right"/>
    </xf>
    <xf numFmtId="165" fontId="2" fillId="0" borderId="20" xfId="0" applyNumberFormat="1" applyFont="1" applyBorder="1" applyAlignment="1">
      <alignment horizontal="right"/>
    </xf>
    <xf numFmtId="165" fontId="1" fillId="0" borderId="19" xfId="0" applyNumberFormat="1" applyFont="1" applyBorder="1" applyAlignment="1">
      <alignment horizontal="right"/>
    </xf>
    <xf numFmtId="165" fontId="1" fillId="0" borderId="0" xfId="0" applyNumberFormat="1" applyFont="1" applyAlignment="1">
      <alignment horizontal="right"/>
    </xf>
    <xf numFmtId="3" fontId="1" fillId="0" borderId="19" xfId="0" applyNumberFormat="1" applyFont="1" applyBorder="1" applyAlignment="1">
      <alignment horizontal="right"/>
    </xf>
    <xf numFmtId="3" fontId="1" fillId="0" borderId="21" xfId="0" applyNumberFormat="1" applyFont="1" applyBorder="1" applyAlignment="1">
      <alignment horizontal="right"/>
    </xf>
    <xf numFmtId="168" fontId="1" fillId="0" borderId="24" xfId="0" applyNumberFormat="1" applyFont="1" applyBorder="1" applyAlignment="1">
      <alignment horizontal="center"/>
    </xf>
    <xf numFmtId="0" fontId="2" fillId="0" borderId="0" xfId="0" applyFont="1" applyAlignment="1">
      <alignment horizontal="center"/>
    </xf>
    <xf numFmtId="168" fontId="1" fillId="0" borderId="27" xfId="0" applyNumberFormat="1" applyFont="1" applyBorder="1" applyAlignment="1">
      <alignment horizontal="center"/>
    </xf>
    <xf numFmtId="0" fontId="14" fillId="0" borderId="0" xfId="0" applyFont="1" applyAlignment="1">
      <alignment horizontal="left" wrapText="1" indent="3"/>
    </xf>
    <xf numFmtId="0" fontId="2" fillId="0" borderId="0" xfId="0" applyFont="1" applyAlignment="1">
      <alignment horizontal="left" indent="1"/>
    </xf>
    <xf numFmtId="0" fontId="2" fillId="0" borderId="0" xfId="0" applyFont="1" applyAlignment="1">
      <alignment horizontal="left" indent="2"/>
    </xf>
    <xf numFmtId="0" fontId="1" fillId="0" borderId="0" xfId="0" applyFont="1" applyAlignment="1">
      <alignment horizontal="left" indent="4"/>
    </xf>
    <xf numFmtId="0" fontId="1" fillId="0" borderId="0" xfId="0" applyFont="1" applyAlignment="1">
      <alignment horizontal="left" wrapText="1" indent="2"/>
    </xf>
    <xf numFmtId="0" fontId="1" fillId="0" borderId="0" xfId="0" applyFont="1" applyAlignment="1">
      <alignment horizontal="left" indent="3"/>
    </xf>
    <xf numFmtId="0" fontId="1" fillId="0" borderId="0" xfId="0" applyFont="1" applyAlignment="1">
      <alignment horizontal="left" indent="5"/>
    </xf>
    <xf numFmtId="0" fontId="1" fillId="0" borderId="0" xfId="0" applyFont="1" applyAlignment="1">
      <alignment horizontal="left" wrapText="1" indent="5"/>
    </xf>
    <xf numFmtId="0" fontId="2" fillId="0" borderId="0" xfId="0" applyFont="1" applyAlignment="1">
      <alignment horizontal="left" wrapText="1" indent="1"/>
    </xf>
    <xf numFmtId="0" fontId="1" fillId="0" borderId="0" xfId="0" applyFont="1" applyAlignment="1">
      <alignment horizontal="left" wrapText="1" indent="3"/>
    </xf>
    <xf numFmtId="0" fontId="1" fillId="0" borderId="0" xfId="0" applyFont="1" applyAlignment="1">
      <alignment horizontal="left" indent="1"/>
    </xf>
    <xf numFmtId="1" fontId="1" fillId="0" borderId="18" xfId="0" applyNumberFormat="1" applyFont="1" applyBorder="1" applyAlignment="1">
      <alignment horizontal="center"/>
    </xf>
    <xf numFmtId="1" fontId="1" fillId="0" borderId="20" xfId="0" applyNumberFormat="1" applyFont="1" applyBorder="1" applyAlignment="1">
      <alignment horizontal="center"/>
    </xf>
    <xf numFmtId="1" fontId="1" fillId="0" borderId="20" xfId="0" applyNumberFormat="1" applyFont="1" applyBorder="1" applyAlignment="1">
      <alignment horizontal="center" vertical="top"/>
    </xf>
    <xf numFmtId="1" fontId="1" fillId="0" borderId="23" xfId="0" applyNumberFormat="1" applyFont="1" applyBorder="1" applyAlignment="1">
      <alignment horizontal="center"/>
    </xf>
    <xf numFmtId="2" fontId="1" fillId="0" borderId="0" xfId="0" applyNumberFormat="1" applyFont="1"/>
    <xf numFmtId="0" fontId="1" fillId="0" borderId="0" xfId="0" applyFont="1" applyAlignment="1">
      <alignment horizontal="center"/>
    </xf>
    <xf numFmtId="0" fontId="17" fillId="0" borderId="0" xfId="0" applyFont="1"/>
    <xf numFmtId="0" fontId="18" fillId="0" borderId="0" xfId="0" applyFont="1"/>
    <xf numFmtId="0" fontId="1" fillId="9" borderId="0" xfId="0" applyFont="1" applyFill="1" applyAlignment="1">
      <alignment horizontal="center"/>
    </xf>
    <xf numFmtId="0" fontId="3" fillId="0" borderId="0" xfId="0" applyFont="1" applyAlignment="1">
      <alignment wrapText="1"/>
    </xf>
    <xf numFmtId="0" fontId="19" fillId="0" borderId="32" xfId="0" applyFont="1" applyBorder="1" applyAlignment="1">
      <alignment horizontal="center" vertical="center"/>
    </xf>
    <xf numFmtId="0" fontId="4" fillId="9" borderId="4" xfId="0" applyFont="1" applyFill="1" applyBorder="1" applyAlignment="1">
      <alignment horizontal="center"/>
    </xf>
    <xf numFmtId="0" fontId="19" fillId="0" borderId="33" xfId="0" applyFont="1" applyBorder="1" applyAlignment="1">
      <alignment horizontal="center" vertical="center"/>
    </xf>
    <xf numFmtId="0" fontId="4" fillId="10" borderId="0" xfId="0" applyFont="1" applyFill="1" applyAlignment="1">
      <alignment horizontal="center"/>
    </xf>
    <xf numFmtId="0" fontId="4" fillId="9" borderId="1" xfId="0" applyFont="1" applyFill="1" applyBorder="1" applyAlignment="1">
      <alignment horizontal="center"/>
    </xf>
    <xf numFmtId="0" fontId="19" fillId="0" borderId="34" xfId="0" applyFont="1" applyBorder="1" applyAlignment="1">
      <alignment horizontal="center" vertical="center"/>
    </xf>
    <xf numFmtId="10" fontId="1" fillId="0" borderId="0" xfId="0" applyNumberFormat="1" applyFont="1"/>
    <xf numFmtId="0" fontId="20" fillId="0" borderId="0" xfId="0" applyFont="1"/>
    <xf numFmtId="0" fontId="19" fillId="0" borderId="35" xfId="0" applyFont="1" applyBorder="1" applyAlignment="1">
      <alignment horizontal="center" vertical="center"/>
    </xf>
    <xf numFmtId="0" fontId="1" fillId="0" borderId="4" xfId="0" applyFont="1" applyBorder="1"/>
    <xf numFmtId="0" fontId="1" fillId="0" borderId="2" xfId="0" applyFont="1" applyBorder="1"/>
    <xf numFmtId="0" fontId="1" fillId="0" borderId="8" xfId="0" applyFont="1" applyBorder="1"/>
    <xf numFmtId="164" fontId="1" fillId="0" borderId="0" xfId="0" applyNumberFormat="1" applyFont="1"/>
    <xf numFmtId="0" fontId="4" fillId="9" borderId="3" xfId="0" applyFont="1" applyFill="1" applyBorder="1" applyAlignment="1">
      <alignment horizontal="center"/>
    </xf>
    <xf numFmtId="0" fontId="4" fillId="9" borderId="36" xfId="0" applyFont="1" applyFill="1" applyBorder="1" applyAlignment="1">
      <alignment horizontal="center"/>
    </xf>
    <xf numFmtId="0" fontId="1" fillId="10" borderId="0" xfId="0" applyFont="1" applyFill="1"/>
    <xf numFmtId="9" fontId="1" fillId="8" borderId="37" xfId="0" applyNumberFormat="1" applyFont="1" applyFill="1" applyBorder="1"/>
    <xf numFmtId="0" fontId="24" fillId="0" borderId="0" xfId="0" applyFont="1"/>
    <xf numFmtId="0" fontId="4" fillId="9" borderId="0" xfId="0" applyFont="1" applyFill="1" applyAlignment="1">
      <alignment horizontal="center"/>
    </xf>
    <xf numFmtId="167" fontId="1" fillId="0" borderId="7" xfId="0" applyNumberFormat="1" applyFont="1" applyBorder="1" applyAlignment="1">
      <alignment wrapText="1"/>
    </xf>
    <xf numFmtId="167" fontId="1" fillId="0" borderId="8" xfId="0" applyNumberFormat="1" applyFont="1" applyBorder="1" applyAlignment="1">
      <alignment wrapText="1"/>
    </xf>
    <xf numFmtId="1" fontId="1" fillId="0" borderId="0" xfId="0" applyNumberFormat="1" applyFont="1"/>
    <xf numFmtId="0" fontId="12" fillId="0" borderId="0" xfId="0" applyFont="1" applyAlignment="1">
      <alignment horizontal="center"/>
    </xf>
    <xf numFmtId="3" fontId="1" fillId="0" borderId="0" xfId="0" applyNumberFormat="1" applyFont="1"/>
    <xf numFmtId="0" fontId="26" fillId="0" borderId="0" xfId="0" applyFont="1"/>
    <xf numFmtId="0" fontId="25" fillId="0" borderId="0" xfId="0" applyFont="1" applyAlignment="1">
      <alignment horizontal="left" indent="1"/>
    </xf>
    <xf numFmtId="0" fontId="25" fillId="0" borderId="0" xfId="0" applyFont="1" applyAlignment="1">
      <alignment horizontal="left" wrapText="1" indent="1"/>
    </xf>
    <xf numFmtId="0" fontId="25" fillId="0" borderId="0" xfId="0" applyFont="1" applyAlignment="1">
      <alignment horizontal="left" indent="2"/>
    </xf>
    <xf numFmtId="0" fontId="25" fillId="0" borderId="0" xfId="0" applyFont="1" applyAlignment="1">
      <alignment horizontal="center" wrapText="1"/>
    </xf>
    <xf numFmtId="9" fontId="25" fillId="0" borderId="0" xfId="0" applyNumberFormat="1" applyFont="1" applyAlignment="1">
      <alignment horizontal="center"/>
    </xf>
    <xf numFmtId="0" fontId="26" fillId="0" borderId="0" xfId="0" applyFont="1" applyAlignment="1">
      <alignment horizontal="center"/>
    </xf>
    <xf numFmtId="167" fontId="25" fillId="0" borderId="0" xfId="0" applyNumberFormat="1" applyFont="1" applyAlignment="1">
      <alignment horizontal="center"/>
    </xf>
    <xf numFmtId="0" fontId="4" fillId="9" borderId="6" xfId="0" applyFont="1" applyFill="1" applyBorder="1" applyAlignment="1">
      <alignment horizontal="center"/>
    </xf>
    <xf numFmtId="0" fontId="12" fillId="3" borderId="0" xfId="0" applyFont="1" applyFill="1" applyAlignment="1">
      <alignment horizontal="center"/>
    </xf>
    <xf numFmtId="0" fontId="12" fillId="0" borderId="0" xfId="0" applyFont="1" applyAlignment="1">
      <alignment horizontal="left" vertical="top" wrapText="1"/>
    </xf>
    <xf numFmtId="0" fontId="4" fillId="9" borderId="5" xfId="0" applyFont="1" applyFill="1" applyBorder="1" applyAlignment="1">
      <alignment horizontal="center"/>
    </xf>
    <xf numFmtId="0" fontId="12" fillId="9" borderId="6" xfId="0" applyFont="1" applyFill="1" applyBorder="1" applyAlignment="1">
      <alignment horizontal="center"/>
    </xf>
    <xf numFmtId="0" fontId="4" fillId="7" borderId="5" xfId="0" applyFont="1" applyFill="1" applyBorder="1" applyAlignment="1">
      <alignment horizontal="center"/>
    </xf>
    <xf numFmtId="0" fontId="4" fillId="7" borderId="6" xfId="0" applyFont="1" applyFill="1" applyBorder="1" applyAlignment="1">
      <alignment horizontal="center"/>
    </xf>
    <xf numFmtId="0" fontId="4" fillId="0" borderId="1" xfId="0" applyFont="1" applyBorder="1" applyAlignment="1">
      <alignment horizontal="left" wrapText="1"/>
    </xf>
    <xf numFmtId="0" fontId="4" fillId="0" borderId="0" xfId="0" applyFont="1" applyAlignment="1">
      <alignment horizontal="left" wrapText="1"/>
    </xf>
    <xf numFmtId="165" fontId="27" fillId="7" borderId="0" xfId="0" applyNumberFormat="1" applyFont="1" applyFill="1" applyAlignment="1">
      <alignment horizontal="center"/>
    </xf>
    <xf numFmtId="165" fontId="27" fillId="7" borderId="4" xfId="0" applyNumberFormat="1" applyFont="1" applyFill="1" applyBorder="1" applyAlignment="1">
      <alignment horizontal="center"/>
    </xf>
    <xf numFmtId="1" fontId="14" fillId="0" borderId="0" xfId="0" applyNumberFormat="1" applyFont="1"/>
    <xf numFmtId="0" fontId="4" fillId="9" borderId="36" xfId="0" applyFont="1" applyFill="1" applyBorder="1"/>
    <xf numFmtId="0" fontId="4" fillId="0" borderId="0" xfId="0" applyFont="1" applyAlignment="1">
      <alignment horizontal="center"/>
    </xf>
    <xf numFmtId="0" fontId="4" fillId="0" borderId="0" xfId="0" applyFont="1" applyAlignment="1">
      <alignment horizontal="left" vertical="top" wrapText="1"/>
    </xf>
    <xf numFmtId="165" fontId="4" fillId="0" borderId="0" xfId="0" applyNumberFormat="1" applyFont="1" applyAlignment="1">
      <alignment horizontal="center"/>
    </xf>
    <xf numFmtId="0" fontId="4" fillId="0" borderId="0" xfId="0" applyFont="1" applyAlignment="1">
      <alignment horizontal="center" wrapText="1"/>
    </xf>
    <xf numFmtId="0" fontId="4" fillId="0" borderId="0" xfId="0" applyFont="1"/>
    <xf numFmtId="3" fontId="4" fillId="0" borderId="0" xfId="0" applyNumberFormat="1" applyFont="1" applyAlignment="1">
      <alignment horizontal="center"/>
    </xf>
    <xf numFmtId="3" fontId="27" fillId="9" borderId="0" xfId="0" applyNumberFormat="1" applyFont="1" applyFill="1" applyAlignment="1">
      <alignment horizontal="center"/>
    </xf>
    <xf numFmtId="0" fontId="4" fillId="9" borderId="0" xfId="0" applyFont="1" applyFill="1" applyAlignment="1">
      <alignment horizontal="center" wrapText="1"/>
    </xf>
    <xf numFmtId="3" fontId="27" fillId="0" borderId="0" xfId="0" applyNumberFormat="1" applyFont="1" applyAlignment="1">
      <alignment horizontal="center"/>
    </xf>
    <xf numFmtId="0" fontId="4" fillId="9" borderId="6" xfId="0" applyFont="1" applyFill="1" applyBorder="1"/>
    <xf numFmtId="3" fontId="4" fillId="9" borderId="0" xfId="0" applyNumberFormat="1" applyFont="1" applyFill="1" applyAlignment="1">
      <alignment horizontal="center"/>
    </xf>
    <xf numFmtId="165" fontId="27" fillId="0" borderId="0" xfId="0" applyNumberFormat="1" applyFont="1" applyAlignment="1">
      <alignment horizontal="center"/>
    </xf>
    <xf numFmtId="0" fontId="4" fillId="0" borderId="3" xfId="0" applyFont="1" applyBorder="1" applyAlignment="1">
      <alignment horizontal="center"/>
    </xf>
    <xf numFmtId="0" fontId="4" fillId="0" borderId="36" xfId="0" applyFont="1" applyBorder="1" applyAlignment="1">
      <alignment horizontal="center"/>
    </xf>
    <xf numFmtId="3" fontId="27" fillId="9" borderId="4" xfId="0" applyNumberFormat="1" applyFont="1" applyFill="1" applyBorder="1" applyAlignment="1">
      <alignment horizontal="center"/>
    </xf>
    <xf numFmtId="0" fontId="4" fillId="9" borderId="4" xfId="0" applyFont="1" applyFill="1" applyBorder="1" applyAlignment="1">
      <alignment horizontal="center" wrapText="1"/>
    </xf>
    <xf numFmtId="165" fontId="4" fillId="7" borderId="0" xfId="0" applyNumberFormat="1" applyFont="1" applyFill="1" applyAlignment="1">
      <alignment horizontal="center"/>
    </xf>
    <xf numFmtId="165" fontId="27" fillId="0" borderId="1" xfId="0" applyNumberFormat="1" applyFont="1" applyBorder="1" applyAlignment="1">
      <alignment horizontal="center"/>
    </xf>
    <xf numFmtId="0" fontId="27" fillId="0" borderId="0" xfId="0" applyFont="1"/>
    <xf numFmtId="0" fontId="4" fillId="7" borderId="14" xfId="0" applyFont="1" applyFill="1" applyBorder="1" applyAlignment="1">
      <alignment horizontal="center"/>
    </xf>
    <xf numFmtId="0" fontId="4" fillId="0" borderId="1" xfId="0" applyFont="1" applyBorder="1" applyAlignment="1">
      <alignment horizontal="left" vertical="top"/>
    </xf>
    <xf numFmtId="0" fontId="4" fillId="0" borderId="0" xfId="0" applyFont="1" applyAlignment="1">
      <alignment horizontal="left" vertical="top"/>
    </xf>
    <xf numFmtId="0" fontId="4" fillId="0" borderId="1" xfId="0" applyFont="1" applyBorder="1" applyAlignment="1">
      <alignment horizontal="left" vertical="top" wrapText="1"/>
    </xf>
    <xf numFmtId="0" fontId="4" fillId="0" borderId="3" xfId="0" applyFont="1" applyBorder="1" applyAlignment="1">
      <alignment horizontal="left"/>
    </xf>
    <xf numFmtId="165" fontId="4" fillId="7" borderId="4" xfId="0" applyNumberFormat="1" applyFont="1" applyFill="1" applyBorder="1" applyAlignment="1">
      <alignment horizontal="center"/>
    </xf>
    <xf numFmtId="0" fontId="4" fillId="0" borderId="0" xfId="0" applyFont="1" applyAlignment="1">
      <alignment horizontal="left" indent="1"/>
    </xf>
    <xf numFmtId="3" fontId="4" fillId="0" borderId="0" xfId="0" applyNumberFormat="1" applyFont="1" applyAlignment="1">
      <alignment horizontal="right"/>
    </xf>
    <xf numFmtId="3" fontId="4" fillId="7" borderId="7" xfId="0" applyNumberFormat="1" applyFont="1" applyFill="1" applyBorder="1" applyAlignment="1">
      <alignment horizontal="center"/>
    </xf>
    <xf numFmtId="0" fontId="27" fillId="0" borderId="1" xfId="0" applyFont="1" applyBorder="1" applyAlignment="1">
      <alignment horizontal="left" wrapText="1"/>
    </xf>
    <xf numFmtId="168" fontId="4" fillId="0" borderId="0" xfId="0" applyNumberFormat="1" applyFont="1"/>
    <xf numFmtId="0" fontId="4" fillId="7" borderId="2" xfId="0" applyFont="1" applyFill="1" applyBorder="1" applyAlignment="1">
      <alignment horizontal="center"/>
    </xf>
    <xf numFmtId="0" fontId="4" fillId="7" borderId="7" xfId="0" applyFont="1" applyFill="1" applyBorder="1" applyAlignment="1">
      <alignment horizontal="center"/>
    </xf>
    <xf numFmtId="0" fontId="4" fillId="7" borderId="8" xfId="0" applyFont="1" applyFill="1" applyBorder="1" applyAlignment="1">
      <alignment horizontal="center"/>
    </xf>
    <xf numFmtId="0" fontId="4" fillId="7" borderId="12" xfId="0" applyFont="1" applyFill="1" applyBorder="1" applyAlignment="1">
      <alignment horizontal="center"/>
    </xf>
    <xf numFmtId="0" fontId="27" fillId="0" borderId="0" xfId="0" applyFont="1" applyAlignment="1">
      <alignment horizontal="left" wrapText="1"/>
    </xf>
    <xf numFmtId="0" fontId="4" fillId="0" borderId="5" xfId="0" applyFont="1" applyBorder="1" applyAlignment="1">
      <alignment horizontal="left"/>
    </xf>
    <xf numFmtId="0" fontId="4" fillId="0" borderId="1" xfId="0" applyFont="1" applyBorder="1" applyAlignment="1">
      <alignment horizontal="center" wrapText="1"/>
    </xf>
    <xf numFmtId="0" fontId="4" fillId="0" borderId="1" xfId="0" applyFont="1" applyBorder="1" applyAlignment="1">
      <alignment horizontal="center"/>
    </xf>
    <xf numFmtId="14" fontId="1" fillId="0" borderId="1" xfId="0" applyNumberFormat="1" applyFont="1" applyBorder="1"/>
    <xf numFmtId="14" fontId="1" fillId="0" borderId="2" xfId="0" applyNumberFormat="1" applyFont="1" applyBorder="1"/>
    <xf numFmtId="3" fontId="4" fillId="9" borderId="4" xfId="0" applyNumberFormat="1" applyFont="1" applyFill="1" applyBorder="1" applyAlignment="1">
      <alignment horizontal="center"/>
    </xf>
    <xf numFmtId="165" fontId="4" fillId="7" borderId="6" xfId="0" applyNumberFormat="1" applyFont="1" applyFill="1" applyBorder="1" applyAlignment="1">
      <alignment horizontal="center"/>
    </xf>
    <xf numFmtId="165" fontId="4" fillId="7" borderId="5" xfId="0" applyNumberFormat="1" applyFont="1" applyFill="1" applyBorder="1" applyAlignment="1">
      <alignment horizontal="center"/>
    </xf>
    <xf numFmtId="0" fontId="14" fillId="0" borderId="8" xfId="0" applyFont="1" applyBorder="1"/>
    <xf numFmtId="0" fontId="14" fillId="0" borderId="0" xfId="0" applyFont="1" applyAlignment="1">
      <alignment horizontal="left"/>
    </xf>
    <xf numFmtId="0" fontId="14" fillId="0" borderId="0" xfId="0" applyFont="1" applyAlignment="1">
      <alignment horizontal="left" indent="1"/>
    </xf>
    <xf numFmtId="0" fontId="14" fillId="0" borderId="4" xfId="0" applyFont="1" applyBorder="1"/>
    <xf numFmtId="2" fontId="14" fillId="0" borderId="0" xfId="0" applyNumberFormat="1" applyFont="1"/>
    <xf numFmtId="0" fontId="2" fillId="0" borderId="0" xfId="0" applyFont="1" applyAlignment="1">
      <alignment horizontal="center" wrapText="1"/>
    </xf>
    <xf numFmtId="169" fontId="1" fillId="0" borderId="0" xfId="0" applyNumberFormat="1" applyFont="1"/>
    <xf numFmtId="0" fontId="14" fillId="0" borderId="0" xfId="0" applyFont="1" applyAlignment="1">
      <alignment wrapText="1"/>
    </xf>
    <xf numFmtId="0" fontId="2" fillId="3" borderId="3" xfId="0" applyFont="1" applyFill="1" applyBorder="1" applyAlignment="1">
      <alignment horizontal="center" wrapText="1"/>
    </xf>
    <xf numFmtId="0" fontId="2" fillId="3" borderId="6" xfId="0" applyFont="1" applyFill="1" applyBorder="1" applyAlignment="1">
      <alignment wrapText="1"/>
    </xf>
    <xf numFmtId="2" fontId="14" fillId="3" borderId="0" xfId="0" applyNumberFormat="1" applyFont="1" applyFill="1"/>
    <xf numFmtId="0" fontId="4" fillId="3" borderId="0" xfId="0" applyFont="1" applyFill="1"/>
    <xf numFmtId="0" fontId="4" fillId="3" borderId="0" xfId="0" applyFont="1" applyFill="1" applyAlignment="1">
      <alignment horizontal="center"/>
    </xf>
    <xf numFmtId="0" fontId="14" fillId="3" borderId="0" xfId="0" applyFont="1" applyFill="1"/>
    <xf numFmtId="4" fontId="4" fillId="0" borderId="4" xfId="0" applyNumberFormat="1" applyFont="1" applyBorder="1" applyAlignment="1">
      <alignment horizontal="center"/>
    </xf>
    <xf numFmtId="0" fontId="4" fillId="0" borderId="38" xfId="0" applyFont="1" applyBorder="1"/>
    <xf numFmtId="0" fontId="4" fillId="0" borderId="39" xfId="0" applyFont="1" applyBorder="1" applyAlignment="1">
      <alignment horizontal="center"/>
    </xf>
    <xf numFmtId="0" fontId="4" fillId="0" borderId="38" xfId="0" applyFont="1" applyBorder="1" applyAlignment="1">
      <alignment horizontal="center"/>
    </xf>
    <xf numFmtId="165" fontId="4" fillId="0" borderId="38" xfId="0" applyNumberFormat="1" applyFont="1" applyBorder="1" applyAlignment="1">
      <alignment horizontal="center"/>
    </xf>
    <xf numFmtId="168" fontId="4" fillId="7" borderId="38" xfId="0" applyNumberFormat="1" applyFont="1" applyFill="1" applyBorder="1"/>
    <xf numFmtId="168" fontId="4" fillId="7" borderId="40" xfId="0" applyNumberFormat="1" applyFont="1" applyFill="1" applyBorder="1"/>
    <xf numFmtId="4" fontId="4" fillId="0" borderId="0" xfId="0" applyNumberFormat="1" applyFont="1" applyAlignment="1">
      <alignment horizontal="center"/>
    </xf>
    <xf numFmtId="168" fontId="4" fillId="7" borderId="0" xfId="0" applyNumberFormat="1" applyFont="1" applyFill="1"/>
    <xf numFmtId="0" fontId="4" fillId="0" borderId="0" xfId="0" applyFont="1" applyAlignment="1">
      <alignment wrapText="1"/>
    </xf>
    <xf numFmtId="3" fontId="4" fillId="7" borderId="0" xfId="0" applyNumberFormat="1" applyFont="1" applyFill="1" applyAlignment="1">
      <alignment horizontal="center"/>
    </xf>
    <xf numFmtId="3" fontId="4" fillId="7" borderId="6" xfId="0" applyNumberFormat="1" applyFont="1" applyFill="1" applyBorder="1" applyAlignment="1">
      <alignment horizontal="center"/>
    </xf>
    <xf numFmtId="3" fontId="4" fillId="7" borderId="5" xfId="0" applyNumberFormat="1" applyFont="1" applyFill="1" applyBorder="1" applyAlignment="1">
      <alignment horizontal="center"/>
    </xf>
    <xf numFmtId="0" fontId="4" fillId="0" borderId="2" xfId="0" applyFont="1" applyBorder="1"/>
    <xf numFmtId="0" fontId="4" fillId="0" borderId="7" xfId="0" applyFont="1" applyBorder="1"/>
    <xf numFmtId="3" fontId="4" fillId="0" borderId="1" xfId="0" applyNumberFormat="1" applyFont="1" applyBorder="1" applyAlignment="1">
      <alignment horizontal="center" vertical="top" wrapText="1"/>
    </xf>
    <xf numFmtId="165" fontId="12" fillId="0" borderId="0" xfId="0" applyNumberFormat="1" applyFont="1" applyAlignment="1">
      <alignment horizontal="center" vertical="top" wrapText="1"/>
    </xf>
    <xf numFmtId="165" fontId="12" fillId="0" borderId="4" xfId="0" applyNumberFormat="1" applyFont="1" applyBorder="1" applyAlignment="1">
      <alignment horizontal="center" vertical="top" wrapText="1"/>
    </xf>
    <xf numFmtId="165" fontId="12" fillId="7" borderId="0" xfId="0" applyNumberFormat="1" applyFont="1" applyFill="1" applyAlignment="1">
      <alignment horizontal="center" vertical="top" wrapText="1"/>
    </xf>
    <xf numFmtId="2" fontId="4" fillId="0" borderId="7" xfId="0" applyNumberFormat="1" applyFont="1" applyBorder="1"/>
    <xf numFmtId="2" fontId="4" fillId="7" borderId="7" xfId="0" applyNumberFormat="1" applyFont="1" applyFill="1" applyBorder="1"/>
    <xf numFmtId="165" fontId="27" fillId="7" borderId="36" xfId="0" applyNumberFormat="1" applyFont="1" applyFill="1" applyBorder="1" applyAlignment="1">
      <alignment horizontal="center"/>
    </xf>
    <xf numFmtId="165" fontId="27" fillId="7" borderId="6" xfId="0" applyNumberFormat="1" applyFont="1" applyFill="1" applyBorder="1" applyAlignment="1">
      <alignment horizontal="center"/>
    </xf>
    <xf numFmtId="2" fontId="4" fillId="7" borderId="8" xfId="0" applyNumberFormat="1" applyFont="1" applyFill="1" applyBorder="1"/>
    <xf numFmtId="0" fontId="4" fillId="0" borderId="1" xfId="0" applyFont="1" applyBorder="1" applyAlignment="1">
      <alignment horizontal="left" vertical="top" wrapText="1" indent="2"/>
    </xf>
    <xf numFmtId="0" fontId="4" fillId="7" borderId="4" xfId="0" applyFont="1" applyFill="1" applyBorder="1" applyAlignment="1">
      <alignment horizontal="center"/>
    </xf>
    <xf numFmtId="3" fontId="4" fillId="0" borderId="4" xfId="0" applyNumberFormat="1" applyFont="1" applyBorder="1" applyAlignment="1">
      <alignment horizontal="center"/>
    </xf>
    <xf numFmtId="0" fontId="4" fillId="7" borderId="0" xfId="0" applyFont="1" applyFill="1" applyAlignment="1">
      <alignment horizontal="center"/>
    </xf>
    <xf numFmtId="1" fontId="4" fillId="9" borderId="0" xfId="0" applyNumberFormat="1" applyFont="1" applyFill="1" applyAlignment="1">
      <alignment horizontal="center" wrapText="1"/>
    </xf>
    <xf numFmtId="3" fontId="4" fillId="9" borderId="7" xfId="0" applyNumberFormat="1" applyFont="1" applyFill="1" applyBorder="1" applyAlignment="1">
      <alignment horizontal="center" vertical="top" wrapText="1"/>
    </xf>
    <xf numFmtId="3" fontId="4" fillId="0" borderId="4" xfId="0" applyNumberFormat="1" applyFont="1" applyBorder="1" applyAlignment="1">
      <alignment horizontal="center" wrapText="1"/>
    </xf>
    <xf numFmtId="1" fontId="4" fillId="0" borderId="3" xfId="0" applyNumberFormat="1" applyFont="1" applyBorder="1" applyAlignment="1">
      <alignment horizontal="center"/>
    </xf>
    <xf numFmtId="1" fontId="4" fillId="0" borderId="36" xfId="0" applyNumberFormat="1" applyFont="1" applyBorder="1" applyAlignment="1">
      <alignment horizontal="center"/>
    </xf>
    <xf numFmtId="1" fontId="4" fillId="9" borderId="36" xfId="0" applyNumberFormat="1" applyFont="1" applyFill="1" applyBorder="1" applyAlignment="1">
      <alignment horizontal="center"/>
    </xf>
    <xf numFmtId="1" fontId="4" fillId="9" borderId="6" xfId="0" applyNumberFormat="1" applyFont="1" applyFill="1" applyBorder="1" applyAlignment="1">
      <alignment horizontal="center"/>
    </xf>
    <xf numFmtId="165" fontId="27" fillId="0" borderId="0" xfId="0" applyNumberFormat="1" applyFont="1" applyAlignment="1">
      <alignment horizontal="center" wrapText="1"/>
    </xf>
    <xf numFmtId="165" fontId="4" fillId="0" borderId="0" xfId="0" applyNumberFormat="1" applyFont="1" applyAlignment="1">
      <alignment horizontal="center" wrapText="1"/>
    </xf>
    <xf numFmtId="165" fontId="4" fillId="9" borderId="0" xfId="0" applyNumberFormat="1" applyFont="1" applyFill="1" applyAlignment="1">
      <alignment horizontal="center" wrapText="1"/>
    </xf>
    <xf numFmtId="165" fontId="4" fillId="0" borderId="4" xfId="0" applyNumberFormat="1" applyFont="1" applyBorder="1" applyAlignment="1">
      <alignment horizontal="center" wrapText="1"/>
    </xf>
    <xf numFmtId="165" fontId="4" fillId="0" borderId="4" xfId="0" applyNumberFormat="1" applyFont="1" applyBorder="1" applyAlignment="1">
      <alignment horizontal="center" vertical="top" wrapText="1"/>
    </xf>
    <xf numFmtId="0" fontId="27" fillId="0" borderId="0" xfId="0" applyFont="1" applyAlignment="1">
      <alignment horizontal="left"/>
    </xf>
    <xf numFmtId="0" fontId="27" fillId="0" borderId="3" xfId="0" applyFont="1" applyBorder="1" applyAlignment="1">
      <alignment horizontal="left"/>
    </xf>
    <xf numFmtId="0" fontId="27" fillId="0" borderId="36" xfId="0" applyFont="1" applyBorder="1" applyAlignment="1">
      <alignment horizontal="left"/>
    </xf>
    <xf numFmtId="165" fontId="27" fillId="0" borderId="36" xfId="0" applyNumberFormat="1" applyFont="1" applyBorder="1" applyAlignment="1">
      <alignment horizontal="center"/>
    </xf>
    <xf numFmtId="0" fontId="27" fillId="0" borderId="0" xfId="0" applyFont="1" applyAlignment="1">
      <alignment horizontal="center" wrapText="1"/>
    </xf>
    <xf numFmtId="165" fontId="4" fillId="9" borderId="4" xfId="0" applyNumberFormat="1" applyFont="1" applyFill="1" applyBorder="1" applyAlignment="1">
      <alignment horizontal="center" wrapText="1"/>
    </xf>
    <xf numFmtId="1" fontId="4" fillId="9" borderId="4" xfId="0" applyNumberFormat="1" applyFont="1" applyFill="1" applyBorder="1" applyAlignment="1">
      <alignment horizontal="center" wrapText="1"/>
    </xf>
    <xf numFmtId="3" fontId="4" fillId="9" borderId="8" xfId="0" applyNumberFormat="1" applyFont="1" applyFill="1" applyBorder="1" applyAlignment="1">
      <alignment horizontal="center" vertical="top" wrapText="1"/>
    </xf>
    <xf numFmtId="1" fontId="4" fillId="0" borderId="1" xfId="0" applyNumberFormat="1" applyFont="1" applyBorder="1" applyAlignment="1">
      <alignment horizontal="center" wrapText="1"/>
    </xf>
    <xf numFmtId="165" fontId="4" fillId="0" borderId="5" xfId="0" applyNumberFormat="1" applyFont="1" applyBorder="1" applyAlignment="1">
      <alignment horizontal="center" wrapText="1"/>
    </xf>
    <xf numFmtId="165" fontId="4" fillId="12" borderId="0" xfId="0" applyNumberFormat="1" applyFont="1" applyFill="1" applyAlignment="1">
      <alignment horizontal="center" wrapText="1"/>
    </xf>
    <xf numFmtId="3" fontId="4" fillId="7" borderId="0" xfId="0" applyNumberFormat="1" applyFont="1" applyFill="1" applyAlignment="1">
      <alignment horizontal="center" wrapText="1"/>
    </xf>
    <xf numFmtId="165" fontId="4" fillId="7" borderId="0" xfId="0" applyNumberFormat="1" applyFont="1" applyFill="1" applyAlignment="1">
      <alignment horizontal="center" wrapText="1"/>
    </xf>
    <xf numFmtId="165" fontId="4" fillId="13" borderId="0" xfId="0" applyNumberFormat="1" applyFont="1" applyFill="1" applyAlignment="1">
      <alignment horizontal="center" wrapText="1"/>
    </xf>
    <xf numFmtId="165" fontId="4" fillId="13" borderId="0" xfId="0" applyNumberFormat="1" applyFont="1" applyFill="1" applyAlignment="1">
      <alignment horizontal="center" vertical="top" wrapText="1"/>
    </xf>
    <xf numFmtId="165" fontId="4" fillId="0" borderId="0" xfId="0" applyNumberFormat="1" applyFont="1" applyAlignment="1">
      <alignment vertical="top" wrapText="1"/>
    </xf>
    <xf numFmtId="0" fontId="4" fillId="0" borderId="2" xfId="0" applyFont="1" applyBorder="1" applyAlignment="1">
      <alignment horizontal="left" vertical="top" wrapText="1" indent="2"/>
    </xf>
    <xf numFmtId="0" fontId="4" fillId="0" borderId="0" xfId="0" applyFont="1" applyAlignment="1">
      <alignment horizontal="left" vertical="top" wrapText="1" indent="2"/>
    </xf>
    <xf numFmtId="0" fontId="4" fillId="0" borderId="4" xfId="0" applyFont="1" applyBorder="1" applyAlignment="1">
      <alignment vertical="top" wrapText="1"/>
    </xf>
    <xf numFmtId="0" fontId="4" fillId="0" borderId="1" xfId="0" applyFont="1" applyBorder="1" applyAlignment="1">
      <alignment horizontal="left" wrapText="1" indent="4"/>
    </xf>
    <xf numFmtId="0" fontId="12" fillId="0" borderId="0" xfId="0" applyFont="1" applyAlignment="1">
      <alignment horizontal="left" wrapText="1"/>
    </xf>
    <xf numFmtId="3" fontId="4" fillId="0" borderId="0" xfId="0" applyNumberFormat="1" applyFont="1" applyAlignment="1">
      <alignment horizontal="center" vertical="top"/>
    </xf>
    <xf numFmtId="170" fontId="4" fillId="0" borderId="0" xfId="0" applyNumberFormat="1" applyFont="1" applyAlignment="1">
      <alignment horizontal="center" vertical="top" wrapText="1"/>
    </xf>
    <xf numFmtId="3" fontId="4" fillId="0" borderId="8" xfId="0" applyNumberFormat="1" applyFont="1" applyBorder="1" applyAlignment="1">
      <alignment horizontal="center" wrapText="1"/>
    </xf>
    <xf numFmtId="0" fontId="4" fillId="0" borderId="41" xfId="0" applyFont="1" applyBorder="1" applyAlignment="1">
      <alignment wrapText="1"/>
    </xf>
    <xf numFmtId="0" fontId="4" fillId="0" borderId="42" xfId="0" applyFont="1" applyBorder="1"/>
    <xf numFmtId="0" fontId="4" fillId="0" borderId="43" xfId="0" applyFont="1" applyBorder="1"/>
    <xf numFmtId="3" fontId="4" fillId="0" borderId="0" xfId="0" applyNumberFormat="1" applyFont="1" applyAlignment="1">
      <alignment horizontal="left" vertical="top"/>
    </xf>
    <xf numFmtId="3" fontId="4" fillId="0" borderId="0" xfId="0" applyNumberFormat="1" applyFont="1" applyAlignment="1">
      <alignment vertical="top" wrapText="1"/>
    </xf>
    <xf numFmtId="3" fontId="4" fillId="0" borderId="6" xfId="0" applyNumberFormat="1" applyFont="1" applyBorder="1" applyAlignment="1">
      <alignment horizontal="center"/>
    </xf>
    <xf numFmtId="3" fontId="4" fillId="0" borderId="2" xfId="0" applyNumberFormat="1" applyFont="1" applyBorder="1" applyAlignment="1">
      <alignment horizontal="center" vertical="top" wrapText="1"/>
    </xf>
    <xf numFmtId="0" fontId="4" fillId="0" borderId="0" xfId="0" applyFont="1" applyAlignment="1">
      <alignment horizontal="left" wrapText="1" indent="2"/>
    </xf>
    <xf numFmtId="3" fontId="4" fillId="0" borderId="7" xfId="0" applyNumberFormat="1" applyFont="1" applyBorder="1" applyAlignment="1">
      <alignment horizontal="center" vertical="top" wrapText="1"/>
    </xf>
    <xf numFmtId="0" fontId="4" fillId="0" borderId="0" xfId="0" applyFont="1" applyAlignment="1">
      <alignment horizontal="left" wrapText="1" indent="4"/>
    </xf>
    <xf numFmtId="0" fontId="4" fillId="0" borderId="4" xfId="0" applyFont="1" applyBorder="1" applyAlignment="1">
      <alignment wrapText="1"/>
    </xf>
    <xf numFmtId="0" fontId="4" fillId="0" borderId="2" xfId="0" applyFont="1" applyBorder="1" applyAlignment="1">
      <alignment horizontal="left" wrapText="1" indent="4"/>
    </xf>
    <xf numFmtId="3" fontId="28" fillId="0" borderId="0" xfId="0" applyNumberFormat="1" applyFont="1" applyAlignment="1">
      <alignment horizontal="center" wrapText="1"/>
    </xf>
    <xf numFmtId="3" fontId="4" fillId="0" borderId="7" xfId="0" applyNumberFormat="1" applyFont="1" applyBorder="1" applyAlignment="1">
      <alignment horizontal="center" wrapText="1"/>
    </xf>
    <xf numFmtId="168" fontId="4" fillId="0" borderId="1" xfId="0" applyNumberFormat="1" applyFont="1" applyBorder="1" applyAlignment="1">
      <alignment horizontal="center" wrapText="1"/>
    </xf>
    <xf numFmtId="168" fontId="4" fillId="0" borderId="2" xfId="0" applyNumberFormat="1" applyFont="1" applyBorder="1" applyAlignment="1">
      <alignment horizontal="center" wrapText="1"/>
    </xf>
    <xf numFmtId="0" fontId="29" fillId="0" borderId="0" xfId="0" applyFont="1"/>
    <xf numFmtId="165" fontId="4" fillId="7" borderId="7" xfId="0" applyNumberFormat="1" applyFont="1" applyFill="1" applyBorder="1" applyAlignment="1">
      <alignment horizontal="center" wrapText="1"/>
    </xf>
    <xf numFmtId="165" fontId="4" fillId="7" borderId="8" xfId="0" applyNumberFormat="1" applyFont="1" applyFill="1" applyBorder="1" applyAlignment="1">
      <alignment horizontal="center" wrapText="1"/>
    </xf>
    <xf numFmtId="0" fontId="12" fillId="0" borderId="0" xfId="0" applyFont="1" applyAlignment="1">
      <alignment wrapText="1"/>
    </xf>
    <xf numFmtId="3" fontId="4" fillId="0" borderId="0" xfId="0" applyNumberFormat="1" applyFont="1" applyAlignment="1">
      <alignment horizontal="left" vertical="top" wrapText="1"/>
    </xf>
    <xf numFmtId="0" fontId="4" fillId="7" borderId="1" xfId="0" applyFont="1" applyFill="1" applyBorder="1" applyAlignment="1">
      <alignment horizontal="center"/>
    </xf>
    <xf numFmtId="165" fontId="4" fillId="7" borderId="6" xfId="0" applyNumberFormat="1" applyFont="1" applyFill="1" applyBorder="1" applyAlignment="1">
      <alignment horizontal="center" wrapText="1"/>
    </xf>
    <xf numFmtId="168" fontId="4" fillId="0" borderId="0" xfId="0" applyNumberFormat="1" applyFont="1" applyAlignment="1">
      <alignment horizontal="center" wrapText="1"/>
    </xf>
    <xf numFmtId="165" fontId="4" fillId="0" borderId="7" xfId="0" applyNumberFormat="1" applyFont="1" applyBorder="1" applyAlignment="1">
      <alignment horizontal="center" wrapText="1"/>
    </xf>
    <xf numFmtId="165" fontId="4" fillId="0" borderId="0" xfId="0" applyNumberFormat="1" applyFont="1" applyAlignment="1">
      <alignment wrapText="1"/>
    </xf>
    <xf numFmtId="0" fontId="4" fillId="0" borderId="3" xfId="0" applyFont="1" applyBorder="1" applyAlignment="1">
      <alignment horizontal="left" wrapText="1"/>
    </xf>
    <xf numFmtId="0" fontId="12" fillId="0" borderId="0" xfId="0" applyFont="1" applyAlignment="1">
      <alignment horizontal="left" vertical="top" wrapText="1" indent="2"/>
    </xf>
    <xf numFmtId="165" fontId="4" fillId="13" borderId="4" xfId="0" applyNumberFormat="1" applyFont="1" applyFill="1" applyBorder="1" applyAlignment="1">
      <alignment horizontal="center" vertical="top" wrapText="1"/>
    </xf>
    <xf numFmtId="0" fontId="12" fillId="0" borderId="1" xfId="0" applyFont="1" applyBorder="1" applyAlignment="1">
      <alignment horizontal="left" vertical="top" wrapText="1"/>
    </xf>
    <xf numFmtId="165" fontId="4" fillId="13" borderId="4" xfId="0" applyNumberFormat="1" applyFont="1" applyFill="1" applyBorder="1" applyAlignment="1">
      <alignment horizontal="center" wrapText="1"/>
    </xf>
    <xf numFmtId="3" fontId="12" fillId="0" borderId="43" xfId="0" applyNumberFormat="1" applyFont="1" applyBorder="1" applyAlignment="1">
      <alignment horizontal="left" wrapText="1"/>
    </xf>
    <xf numFmtId="165" fontId="4" fillId="0" borderId="13" xfId="0" applyNumberFormat="1" applyFont="1" applyBorder="1" applyAlignment="1">
      <alignment horizontal="center" wrapText="1"/>
    </xf>
    <xf numFmtId="168" fontId="4" fillId="0" borderId="13" xfId="0" applyNumberFormat="1" applyFont="1" applyBorder="1" applyAlignment="1">
      <alignment horizontal="center" wrapText="1"/>
    </xf>
    <xf numFmtId="3" fontId="4" fillId="0" borderId="12" xfId="0" applyNumberFormat="1" applyFont="1" applyBorder="1" applyAlignment="1">
      <alignment horizontal="center" vertical="top"/>
    </xf>
    <xf numFmtId="0" fontId="12" fillId="0" borderId="0" xfId="0" applyFont="1" applyAlignment="1">
      <alignment horizontal="center" vertical="center" wrapText="1"/>
    </xf>
    <xf numFmtId="0" fontId="4" fillId="3" borderId="44" xfId="0" applyFont="1" applyFill="1" applyBorder="1" applyAlignment="1">
      <alignment horizontal="center" vertical="center" wrapText="1"/>
    </xf>
    <xf numFmtId="165" fontId="4" fillId="0" borderId="8" xfId="0" applyNumberFormat="1" applyFont="1" applyBorder="1" applyAlignment="1">
      <alignment horizontal="center" wrapText="1"/>
    </xf>
    <xf numFmtId="3" fontId="4" fillId="0" borderId="8" xfId="0" applyNumberFormat="1" applyFont="1" applyBorder="1" applyAlignment="1">
      <alignment horizontal="center"/>
    </xf>
    <xf numFmtId="165" fontId="4" fillId="7" borderId="5" xfId="0" applyNumberFormat="1" applyFont="1" applyFill="1" applyBorder="1" applyAlignment="1">
      <alignment horizontal="center" wrapText="1"/>
    </xf>
    <xf numFmtId="0" fontId="12" fillId="0" borderId="1" xfId="0" applyFont="1" applyBorder="1" applyAlignment="1">
      <alignment horizontal="left" vertical="top" wrapText="1" indent="2"/>
    </xf>
    <xf numFmtId="3" fontId="4" fillId="0" borderId="5" xfId="0" applyNumberFormat="1" applyFont="1" applyBorder="1" applyAlignment="1">
      <alignment horizontal="center" wrapText="1"/>
    </xf>
    <xf numFmtId="165" fontId="4" fillId="13" borderId="7" xfId="0" applyNumberFormat="1" applyFont="1" applyFill="1" applyBorder="1" applyAlignment="1">
      <alignment horizontal="center" wrapText="1"/>
    </xf>
    <xf numFmtId="165" fontId="4" fillId="13" borderId="8" xfId="0" applyNumberFormat="1" applyFont="1" applyFill="1" applyBorder="1" applyAlignment="1">
      <alignment horizontal="center" wrapText="1"/>
    </xf>
    <xf numFmtId="0" fontId="4" fillId="7" borderId="13" xfId="0" applyFont="1" applyFill="1" applyBorder="1" applyAlignment="1">
      <alignment horizontal="center"/>
    </xf>
    <xf numFmtId="0" fontId="4" fillId="0" borderId="1" xfId="0" applyFont="1" applyBorder="1" applyAlignment="1">
      <alignment horizontal="left" wrapText="1" indent="2"/>
    </xf>
    <xf numFmtId="165" fontId="4" fillId="7" borderId="4" xfId="0" applyNumberFormat="1" applyFont="1" applyFill="1" applyBorder="1" applyAlignment="1">
      <alignment horizontal="center" wrapText="1"/>
    </xf>
    <xf numFmtId="3" fontId="4" fillId="7" borderId="4" xfId="0" applyNumberFormat="1" applyFont="1" applyFill="1" applyBorder="1" applyAlignment="1">
      <alignment horizontal="center" wrapText="1"/>
    </xf>
    <xf numFmtId="3" fontId="4" fillId="0" borderId="5" xfId="0" applyNumberFormat="1" applyFont="1" applyBorder="1" applyAlignment="1">
      <alignment horizontal="center" vertical="top" wrapText="1"/>
    </xf>
    <xf numFmtId="0" fontId="4" fillId="0" borderId="5" xfId="0" applyFont="1" applyBorder="1" applyAlignment="1">
      <alignment horizontal="center" wrapText="1"/>
    </xf>
    <xf numFmtId="168" fontId="4" fillId="7" borderId="0" xfId="0" applyNumberFormat="1" applyFont="1" applyFill="1" applyAlignment="1">
      <alignment horizontal="center" wrapText="1"/>
    </xf>
    <xf numFmtId="168" fontId="4" fillId="7" borderId="4" xfId="0" applyNumberFormat="1" applyFont="1" applyFill="1" applyBorder="1" applyAlignment="1">
      <alignment horizontal="center" wrapText="1"/>
    </xf>
    <xf numFmtId="0" fontId="4" fillId="0" borderId="14" xfId="0" applyFont="1" applyBorder="1" applyAlignment="1">
      <alignment horizontal="center"/>
    </xf>
    <xf numFmtId="0" fontId="12" fillId="0" borderId="41" xfId="0" applyFont="1" applyBorder="1" applyAlignment="1">
      <alignment horizontal="center" wrapText="1"/>
    </xf>
    <xf numFmtId="0" fontId="12" fillId="0" borderId="41" xfId="0" applyFont="1" applyBorder="1" applyAlignment="1">
      <alignment wrapText="1"/>
    </xf>
    <xf numFmtId="3" fontId="12" fillId="0" borderId="42" xfId="0" applyNumberFormat="1" applyFont="1" applyBorder="1" applyAlignment="1">
      <alignment horizontal="center" wrapText="1"/>
    </xf>
    <xf numFmtId="0" fontId="4" fillId="0" borderId="1" xfId="0" applyFont="1" applyBorder="1" applyAlignment="1">
      <alignment vertical="top" wrapText="1"/>
    </xf>
    <xf numFmtId="0" fontId="4" fillId="0" borderId="1" xfId="0" applyFont="1" applyBorder="1" applyAlignment="1">
      <alignment horizontal="left" vertical="top" wrapText="1" indent="1"/>
    </xf>
    <xf numFmtId="0" fontId="4" fillId="0" borderId="1" xfId="0" applyFont="1" applyBorder="1" applyAlignment="1">
      <alignment horizontal="left" wrapText="1" indent="1"/>
    </xf>
    <xf numFmtId="0" fontId="12" fillId="0" borderId="1" xfId="0" applyFont="1" applyBorder="1" applyAlignment="1">
      <alignment horizontal="left" wrapText="1"/>
    </xf>
    <xf numFmtId="3" fontId="4" fillId="0" borderId="3" xfId="0" applyNumberFormat="1" applyFont="1" applyBorder="1" applyAlignment="1">
      <alignment horizontal="center" vertical="top" wrapText="1"/>
    </xf>
    <xf numFmtId="165" fontId="4" fillId="0" borderId="6" xfId="0" applyNumberFormat="1" applyFont="1" applyBorder="1" applyAlignment="1">
      <alignment horizontal="center" wrapText="1"/>
    </xf>
    <xf numFmtId="168" fontId="4" fillId="0" borderId="4" xfId="0" applyNumberFormat="1" applyFont="1" applyBorder="1" applyAlignment="1">
      <alignment horizontal="center" wrapText="1"/>
    </xf>
    <xf numFmtId="3" fontId="4" fillId="0" borderId="1" xfId="0" applyNumberFormat="1" applyFont="1" applyBorder="1" applyAlignment="1">
      <alignment horizontal="center" wrapText="1"/>
    </xf>
    <xf numFmtId="3" fontId="4" fillId="7" borderId="8" xfId="0" applyNumberFormat="1" applyFont="1" applyFill="1" applyBorder="1" applyAlignment="1">
      <alignment horizontal="center"/>
    </xf>
    <xf numFmtId="0" fontId="27" fillId="0" borderId="1" xfId="0" applyFont="1" applyBorder="1" applyAlignment="1">
      <alignment wrapText="1"/>
    </xf>
    <xf numFmtId="165" fontId="4" fillId="0" borderId="1" xfId="0" applyNumberFormat="1" applyFont="1" applyBorder="1" applyAlignment="1">
      <alignment horizontal="center" vertical="top" wrapText="1"/>
    </xf>
    <xf numFmtId="0" fontId="4" fillId="0" borderId="8" xfId="0" applyFont="1" applyBorder="1"/>
    <xf numFmtId="1" fontId="4" fillId="0" borderId="36" xfId="0" applyNumberFormat="1" applyFont="1" applyBorder="1" applyAlignment="1">
      <alignment horizontal="center" vertical="center"/>
    </xf>
    <xf numFmtId="168" fontId="4" fillId="0" borderId="0" xfId="0" applyNumberFormat="1" applyFont="1" applyAlignment="1">
      <alignment horizontal="center" vertical="center"/>
    </xf>
    <xf numFmtId="3" fontId="4" fillId="0" borderId="2" xfId="0" applyNumberFormat="1" applyFont="1" applyBorder="1" applyAlignment="1">
      <alignment horizontal="center"/>
    </xf>
    <xf numFmtId="165" fontId="4" fillId="0" borderId="5" xfId="0" applyNumberFormat="1" applyFont="1" applyBorder="1" applyAlignment="1">
      <alignment horizontal="center"/>
    </xf>
    <xf numFmtId="165" fontId="4" fillId="0" borderId="7" xfId="0" applyNumberFormat="1" applyFont="1" applyBorder="1" applyAlignment="1">
      <alignment horizontal="center"/>
    </xf>
    <xf numFmtId="1" fontId="4" fillId="0" borderId="1" xfId="0" applyNumberFormat="1" applyFont="1" applyBorder="1"/>
    <xf numFmtId="0" fontId="4" fillId="9" borderId="3" xfId="0" applyFont="1" applyFill="1" applyBorder="1" applyAlignment="1">
      <alignment horizontal="center" vertical="center"/>
    </xf>
    <xf numFmtId="0" fontId="12" fillId="9" borderId="41" xfId="0" applyFont="1" applyFill="1" applyBorder="1" applyAlignment="1">
      <alignment horizontal="center"/>
    </xf>
    <xf numFmtId="0" fontId="12" fillId="9" borderId="42" xfId="0" applyFont="1" applyFill="1" applyBorder="1" applyAlignment="1">
      <alignment horizontal="center"/>
    </xf>
    <xf numFmtId="165" fontId="4" fillId="7" borderId="36" xfId="0" applyNumberFormat="1" applyFont="1" applyFill="1" applyBorder="1" applyAlignment="1">
      <alignment horizontal="center"/>
    </xf>
    <xf numFmtId="3" fontId="27" fillId="7" borderId="0" xfId="0" applyNumberFormat="1" applyFont="1" applyFill="1" applyAlignment="1">
      <alignment horizontal="center"/>
    </xf>
    <xf numFmtId="0" fontId="4" fillId="0" borderId="0" xfId="0" applyFont="1" applyAlignment="1">
      <alignment horizontal="center" vertical="center" wrapText="1"/>
    </xf>
    <xf numFmtId="165" fontId="4" fillId="0" borderId="0" xfId="0" applyNumberFormat="1" applyFont="1" applyAlignment="1">
      <alignment horizontal="center" vertical="center"/>
    </xf>
    <xf numFmtId="168" fontId="4" fillId="7" borderId="0" xfId="0" applyNumberFormat="1" applyFont="1" applyFill="1" applyAlignment="1">
      <alignment horizontal="center" vertical="center"/>
    </xf>
    <xf numFmtId="168" fontId="4" fillId="9" borderId="0" xfId="0" applyNumberFormat="1" applyFont="1" applyFill="1" applyAlignment="1">
      <alignment horizontal="center" vertical="center"/>
    </xf>
    <xf numFmtId="1" fontId="27" fillId="7" borderId="0" xfId="0" applyNumberFormat="1" applyFont="1" applyFill="1" applyAlignment="1">
      <alignment horizontal="center" vertical="center"/>
    </xf>
    <xf numFmtId="0" fontId="30" fillId="0" borderId="3" xfId="0" applyFont="1" applyBorder="1" applyAlignment="1">
      <alignment horizontal="center" vertical="center" wrapText="1"/>
    </xf>
    <xf numFmtId="0" fontId="4" fillId="0" borderId="36" xfId="0" applyFont="1" applyBorder="1" applyAlignment="1">
      <alignment horizontal="center" vertical="center"/>
    </xf>
    <xf numFmtId="3" fontId="4" fillId="0" borderId="36" xfId="0" applyNumberFormat="1" applyFont="1" applyBorder="1" applyAlignment="1">
      <alignment horizontal="center" vertical="center"/>
    </xf>
    <xf numFmtId="1" fontId="4" fillId="7" borderId="36" xfId="0" applyNumberFormat="1" applyFont="1" applyFill="1" applyBorder="1" applyAlignment="1">
      <alignment horizontal="center" vertical="center"/>
    </xf>
    <xf numFmtId="1" fontId="4" fillId="7" borderId="6" xfId="0" applyNumberFormat="1" applyFont="1" applyFill="1" applyBorder="1" applyAlignment="1">
      <alignment horizontal="center" vertical="center"/>
    </xf>
    <xf numFmtId="168" fontId="4" fillId="7" borderId="4" xfId="0" applyNumberFormat="1" applyFont="1" applyFill="1" applyBorder="1" applyAlignment="1">
      <alignment horizontal="center" vertical="center"/>
    </xf>
    <xf numFmtId="1" fontId="27" fillId="7" borderId="4" xfId="0" applyNumberFormat="1" applyFont="1" applyFill="1" applyBorder="1" applyAlignment="1">
      <alignment horizontal="center" vertical="center"/>
    </xf>
    <xf numFmtId="3" fontId="4" fillId="7" borderId="8" xfId="0" applyNumberFormat="1" applyFont="1" applyFill="1" applyBorder="1" applyAlignment="1">
      <alignment horizontal="center" vertical="center"/>
    </xf>
    <xf numFmtId="2" fontId="4" fillId="0" borderId="0" xfId="0" applyNumberFormat="1" applyFont="1" applyAlignment="1">
      <alignment horizontal="center"/>
    </xf>
    <xf numFmtId="2" fontId="4" fillId="9" borderId="0" xfId="0" applyNumberFormat="1" applyFont="1" applyFill="1" applyAlignment="1">
      <alignment horizontal="center"/>
    </xf>
    <xf numFmtId="165" fontId="4" fillId="0" borderId="36" xfId="0" applyNumberFormat="1" applyFont="1" applyBorder="1" applyAlignment="1">
      <alignment horizontal="center"/>
    </xf>
    <xf numFmtId="0" fontId="4" fillId="0" borderId="0" xfId="0" applyFont="1" applyAlignment="1">
      <alignment horizontal="left"/>
    </xf>
    <xf numFmtId="1" fontId="4" fillId="0" borderId="0" xfId="0" applyNumberFormat="1" applyFont="1"/>
    <xf numFmtId="1" fontId="4" fillId="7" borderId="0" xfId="0" applyNumberFormat="1" applyFont="1" applyFill="1"/>
    <xf numFmtId="1" fontId="4" fillId="7" borderId="4" xfId="0" applyNumberFormat="1" applyFont="1" applyFill="1" applyBorder="1"/>
    <xf numFmtId="165" fontId="4" fillId="7" borderId="7" xfId="0" applyNumberFormat="1" applyFont="1" applyFill="1" applyBorder="1" applyAlignment="1">
      <alignment horizontal="center"/>
    </xf>
    <xf numFmtId="165" fontId="4" fillId="7" borderId="8" xfId="0" applyNumberFormat="1" applyFont="1" applyFill="1" applyBorder="1" applyAlignment="1">
      <alignment horizontal="center"/>
    </xf>
    <xf numFmtId="3" fontId="4" fillId="9" borderId="36" xfId="0" applyNumberFormat="1" applyFont="1" applyFill="1" applyBorder="1" applyAlignment="1">
      <alignment horizontal="center"/>
    </xf>
    <xf numFmtId="0" fontId="30" fillId="0" borderId="1" xfId="0" applyFont="1" applyBorder="1" applyAlignment="1">
      <alignment horizontal="center" vertical="center" wrapText="1"/>
    </xf>
    <xf numFmtId="0" fontId="4" fillId="9" borderId="1" xfId="0" applyFont="1" applyFill="1" applyBorder="1" applyAlignment="1">
      <alignment horizontal="center" vertical="center"/>
    </xf>
    <xf numFmtId="0" fontId="4" fillId="9" borderId="0" xfId="0" applyFont="1" applyFill="1" applyAlignment="1">
      <alignment horizontal="center" vertical="center"/>
    </xf>
    <xf numFmtId="0" fontId="4" fillId="9" borderId="4" xfId="0" applyFont="1" applyFill="1" applyBorder="1" applyAlignment="1">
      <alignment horizontal="center" vertical="center"/>
    </xf>
    <xf numFmtId="0" fontId="4" fillId="0" borderId="2" xfId="0" applyFont="1" applyBorder="1" applyAlignment="1">
      <alignment horizontal="center" vertical="center" wrapText="1"/>
    </xf>
    <xf numFmtId="0" fontId="4" fillId="0" borderId="7" xfId="0" applyFont="1" applyBorder="1" applyAlignment="1">
      <alignment horizontal="center" vertical="center" wrapText="1"/>
    </xf>
    <xf numFmtId="3" fontId="4" fillId="7" borderId="7" xfId="0" applyNumberFormat="1" applyFont="1" applyFill="1" applyBorder="1" applyAlignment="1">
      <alignment horizontal="center" vertical="center"/>
    </xf>
    <xf numFmtId="3" fontId="4" fillId="9" borderId="7" xfId="0" applyNumberFormat="1" applyFont="1" applyFill="1" applyBorder="1" applyAlignment="1">
      <alignment horizontal="center" vertical="center"/>
    </xf>
    <xf numFmtId="3" fontId="4" fillId="0" borderId="7" xfId="0" applyNumberFormat="1" applyFont="1" applyBorder="1" applyAlignment="1">
      <alignment horizontal="center" vertical="center"/>
    </xf>
    <xf numFmtId="0" fontId="4" fillId="0" borderId="1" xfId="0" applyFont="1" applyBorder="1" applyAlignment="1">
      <alignment horizontal="center" vertical="center" wrapText="1"/>
    </xf>
    <xf numFmtId="0" fontId="4" fillId="0" borderId="1" xfId="0" applyFont="1" applyBorder="1" applyAlignment="1">
      <alignment wrapText="1"/>
    </xf>
    <xf numFmtId="0" fontId="4" fillId="0" borderId="2" xfId="0" applyFont="1" applyBorder="1" applyAlignment="1">
      <alignment horizontal="left" wrapText="1"/>
    </xf>
    <xf numFmtId="0" fontId="4" fillId="0" borderId="7" xfId="0" applyFont="1" applyBorder="1" applyAlignment="1">
      <alignment horizontal="left" wrapText="1"/>
    </xf>
    <xf numFmtId="3" fontId="4" fillId="0" borderId="36" xfId="0" applyNumberFormat="1" applyFont="1" applyBorder="1" applyAlignment="1">
      <alignment horizontal="center"/>
    </xf>
    <xf numFmtId="0" fontId="4" fillId="0" borderId="36" xfId="0" applyFont="1" applyBorder="1" applyAlignment="1">
      <alignment horizontal="left"/>
    </xf>
    <xf numFmtId="165" fontId="4" fillId="2" borderId="36" xfId="0" applyNumberFormat="1" applyFont="1" applyFill="1" applyBorder="1" applyAlignment="1">
      <alignment horizontal="center"/>
    </xf>
    <xf numFmtId="165" fontId="4" fillId="0" borderId="4" xfId="0" applyNumberFormat="1" applyFont="1" applyBorder="1" applyAlignment="1">
      <alignment horizontal="center"/>
    </xf>
    <xf numFmtId="165" fontId="4" fillId="0" borderId="8" xfId="0" applyNumberFormat="1" applyFont="1" applyBorder="1" applyAlignment="1">
      <alignment horizontal="center"/>
    </xf>
    <xf numFmtId="0" fontId="4" fillId="0" borderId="5" xfId="0" applyFont="1" applyBorder="1"/>
    <xf numFmtId="168" fontId="12" fillId="0" borderId="0" xfId="0" applyNumberFormat="1" applyFont="1"/>
    <xf numFmtId="171" fontId="4" fillId="0" borderId="0" xfId="0" applyNumberFormat="1" applyFont="1" applyAlignment="1">
      <alignment horizontal="center"/>
    </xf>
    <xf numFmtId="17" fontId="12" fillId="3" borderId="45" xfId="0" applyNumberFormat="1" applyFont="1" applyFill="1" applyBorder="1" applyAlignment="1">
      <alignment horizontal="left" wrapText="1"/>
    </xf>
    <xf numFmtId="17" fontId="12" fillId="3" borderId="11" xfId="0" applyNumberFormat="1" applyFont="1" applyFill="1" applyBorder="1" applyAlignment="1">
      <alignment horizontal="left" wrapText="1"/>
    </xf>
    <xf numFmtId="0" fontId="4" fillId="0" borderId="1" xfId="0" applyFont="1" applyBorder="1" applyAlignment="1">
      <alignment horizontal="left"/>
    </xf>
    <xf numFmtId="3" fontId="4" fillId="0" borderId="7" xfId="0" applyNumberFormat="1" applyFont="1" applyBorder="1" applyAlignment="1">
      <alignment horizontal="center"/>
    </xf>
    <xf numFmtId="165" fontId="4" fillId="0" borderId="0" xfId="0" applyNumberFormat="1" applyFont="1"/>
    <xf numFmtId="0" fontId="12" fillId="3" borderId="3" xfId="0" applyFont="1" applyFill="1" applyBorder="1" applyAlignment="1">
      <alignment horizontal="left" wrapText="1"/>
    </xf>
    <xf numFmtId="0" fontId="4" fillId="0" borderId="3" xfId="0" applyFont="1" applyBorder="1" applyAlignment="1">
      <alignment wrapText="1"/>
    </xf>
    <xf numFmtId="0" fontId="4" fillId="0" borderId="2" xfId="0" applyFont="1" applyBorder="1" applyAlignment="1">
      <alignment vertical="top" wrapText="1"/>
    </xf>
    <xf numFmtId="17" fontId="12" fillId="3" borderId="41" xfId="0" applyNumberFormat="1" applyFont="1" applyFill="1" applyBorder="1" applyAlignment="1">
      <alignment horizontal="left" wrapText="1"/>
    </xf>
    <xf numFmtId="17" fontId="12" fillId="3" borderId="42" xfId="0" applyNumberFormat="1" applyFont="1" applyFill="1" applyBorder="1" applyAlignment="1">
      <alignment horizontal="left" wrapText="1"/>
    </xf>
    <xf numFmtId="17" fontId="12" fillId="3" borderId="5" xfId="0" applyNumberFormat="1" applyFont="1" applyFill="1" applyBorder="1" applyAlignment="1">
      <alignment horizontal="left" vertical="top" wrapText="1"/>
    </xf>
    <xf numFmtId="0" fontId="27" fillId="0" borderId="1" xfId="0" applyFont="1" applyBorder="1" applyAlignment="1">
      <alignment horizontal="left" vertical="top" wrapText="1"/>
    </xf>
    <xf numFmtId="0" fontId="31" fillId="0" borderId="0" xfId="0" applyFont="1" applyAlignment="1">
      <alignment horizontal="center" vertical="center" wrapText="1"/>
    </xf>
    <xf numFmtId="0" fontId="30" fillId="0" borderId="1" xfId="0" applyFont="1" applyBorder="1" applyAlignment="1">
      <alignment wrapText="1"/>
    </xf>
    <xf numFmtId="3" fontId="27" fillId="0" borderId="0" xfId="0" applyNumberFormat="1" applyFont="1" applyAlignment="1">
      <alignment horizontal="center" wrapText="1"/>
    </xf>
    <xf numFmtId="1" fontId="27" fillId="0" borderId="7" xfId="0" applyNumberFormat="1" applyFont="1" applyBorder="1" applyAlignment="1">
      <alignment horizontal="center"/>
    </xf>
    <xf numFmtId="0" fontId="12" fillId="0" borderId="3" xfId="0" applyFont="1" applyBorder="1" applyAlignment="1">
      <alignment horizontal="center" vertical="top" wrapText="1"/>
    </xf>
    <xf numFmtId="0" fontId="12" fillId="0" borderId="0" xfId="0" applyFont="1" applyAlignment="1">
      <alignment horizontal="center" wrapText="1"/>
    </xf>
    <xf numFmtId="0" fontId="32" fillId="0" borderId="1" xfId="0" applyFont="1" applyBorder="1" applyAlignment="1">
      <alignment horizontal="left" indent="2"/>
    </xf>
    <xf numFmtId="3" fontId="12" fillId="0" borderId="0" xfId="0" applyNumberFormat="1" applyFont="1" applyAlignment="1">
      <alignment horizontal="center" wrapText="1"/>
    </xf>
    <xf numFmtId="3" fontId="12" fillId="0" borderId="4" xfId="0" applyNumberFormat="1" applyFont="1" applyBorder="1" applyAlignment="1">
      <alignment horizontal="center" wrapText="1"/>
    </xf>
    <xf numFmtId="0" fontId="4" fillId="0" borderId="7" xfId="0" applyFont="1" applyBorder="1" applyAlignment="1">
      <alignment horizontal="center" wrapText="1"/>
    </xf>
    <xf numFmtId="3" fontId="12" fillId="0" borderId="7" xfId="0" applyNumberFormat="1" applyFont="1" applyBorder="1" applyAlignment="1">
      <alignment horizontal="center" wrapText="1"/>
    </xf>
    <xf numFmtId="3" fontId="12" fillId="0" borderId="8" xfId="0" applyNumberFormat="1" applyFont="1" applyBorder="1" applyAlignment="1">
      <alignment horizontal="center" wrapText="1"/>
    </xf>
    <xf numFmtId="3" fontId="12" fillId="7" borderId="0" xfId="0" applyNumberFormat="1" applyFont="1" applyFill="1" applyAlignment="1">
      <alignment horizontal="center" wrapText="1"/>
    </xf>
    <xf numFmtId="3" fontId="12" fillId="7" borderId="4" xfId="0" applyNumberFormat="1" applyFont="1" applyFill="1" applyBorder="1" applyAlignment="1">
      <alignment horizontal="center" wrapText="1"/>
    </xf>
    <xf numFmtId="3" fontId="12" fillId="7" borderId="7" xfId="0" applyNumberFormat="1" applyFont="1" applyFill="1" applyBorder="1" applyAlignment="1">
      <alignment horizontal="center" wrapText="1"/>
    </xf>
    <xf numFmtId="3" fontId="12" fillId="7" borderId="8" xfId="0" applyNumberFormat="1" applyFont="1" applyFill="1" applyBorder="1" applyAlignment="1">
      <alignment horizontal="center" wrapText="1"/>
    </xf>
    <xf numFmtId="0" fontId="12" fillId="0" borderId="0" xfId="0" applyFont="1"/>
    <xf numFmtId="0" fontId="12" fillId="0" borderId="1" xfId="0" applyFont="1" applyBorder="1" applyAlignment="1">
      <alignment horizontal="center" wrapText="1"/>
    </xf>
    <xf numFmtId="0" fontId="12" fillId="0" borderId="1" xfId="0" applyFont="1" applyBorder="1" applyAlignment="1">
      <alignment horizontal="center" vertical="top" wrapText="1"/>
    </xf>
    <xf numFmtId="0" fontId="4" fillId="0" borderId="2" xfId="0" applyFont="1" applyBorder="1" applyAlignment="1">
      <alignment wrapText="1"/>
    </xf>
    <xf numFmtId="0" fontId="4" fillId="0" borderId="7" xfId="0" applyFont="1" applyBorder="1" applyAlignment="1">
      <alignment wrapText="1"/>
    </xf>
    <xf numFmtId="170" fontId="4" fillId="0" borderId="0" xfId="0" applyNumberFormat="1" applyFont="1" applyAlignment="1">
      <alignment horizontal="center" wrapText="1"/>
    </xf>
    <xf numFmtId="0" fontId="27" fillId="0" borderId="0" xfId="0" applyFont="1" applyAlignment="1">
      <alignment wrapText="1"/>
    </xf>
    <xf numFmtId="170" fontId="27" fillId="0" borderId="0" xfId="0" applyNumberFormat="1" applyFont="1" applyAlignment="1">
      <alignment wrapText="1"/>
    </xf>
    <xf numFmtId="0" fontId="12" fillId="0" borderId="36" xfId="0" applyFont="1" applyBorder="1" applyAlignment="1">
      <alignment horizontal="center" vertical="top" wrapText="1"/>
    </xf>
    <xf numFmtId="3" fontId="27" fillId="0" borderId="4" xfId="0" applyNumberFormat="1" applyFont="1" applyBorder="1" applyAlignment="1">
      <alignment horizontal="center" wrapText="1"/>
    </xf>
    <xf numFmtId="1" fontId="27" fillId="0" borderId="8" xfId="0" applyNumberFormat="1" applyFont="1" applyBorder="1" applyAlignment="1">
      <alignment horizontal="center"/>
    </xf>
    <xf numFmtId="170" fontId="4" fillId="0" borderId="7" xfId="0" applyNumberFormat="1" applyFont="1" applyBorder="1" applyAlignment="1">
      <alignment horizontal="center" wrapText="1"/>
    </xf>
    <xf numFmtId="3" fontId="4" fillId="0" borderId="0" xfId="0" applyNumberFormat="1" applyFont="1" applyAlignment="1">
      <alignment vertical="top"/>
    </xf>
    <xf numFmtId="1" fontId="12" fillId="0" borderId="0" xfId="0" applyNumberFormat="1" applyFont="1" applyAlignment="1">
      <alignment horizontal="center" wrapText="1"/>
    </xf>
    <xf numFmtId="0" fontId="33" fillId="0" borderId="0" xfId="0" applyFont="1"/>
    <xf numFmtId="1" fontId="4" fillId="0" borderId="36" xfId="0" applyNumberFormat="1" applyFont="1" applyBorder="1" applyAlignment="1">
      <alignment horizontal="center" wrapText="1"/>
    </xf>
    <xf numFmtId="1" fontId="4" fillId="9" borderId="36" xfId="0" applyNumberFormat="1" applyFont="1" applyFill="1" applyBorder="1" applyAlignment="1">
      <alignment horizontal="center" wrapText="1"/>
    </xf>
    <xf numFmtId="1" fontId="4" fillId="0" borderId="4" xfId="0" applyNumberFormat="1" applyFont="1" applyBorder="1" applyAlignment="1">
      <alignment horizontal="center" wrapText="1"/>
    </xf>
    <xf numFmtId="0" fontId="1" fillId="7" borderId="6" xfId="0" applyFont="1" applyFill="1" applyBorder="1"/>
    <xf numFmtId="0" fontId="27" fillId="0" borderId="2" xfId="0" applyFont="1" applyBorder="1"/>
    <xf numFmtId="0" fontId="27" fillId="0" borderId="7" xfId="0" applyFont="1" applyBorder="1"/>
    <xf numFmtId="0" fontId="1" fillId="7" borderId="0" xfId="0" applyFont="1" applyFill="1"/>
    <xf numFmtId="1" fontId="4" fillId="7" borderId="0" xfId="0" applyNumberFormat="1" applyFont="1" applyFill="1" applyAlignment="1">
      <alignment horizontal="center" wrapText="1"/>
    </xf>
    <xf numFmtId="3" fontId="1" fillId="7" borderId="0" xfId="0" applyNumberFormat="1" applyFont="1" applyFill="1"/>
    <xf numFmtId="1" fontId="27" fillId="0" borderId="0" xfId="0" applyNumberFormat="1" applyFont="1" applyAlignment="1">
      <alignment horizontal="center"/>
    </xf>
    <xf numFmtId="3" fontId="27" fillId="7" borderId="0" xfId="0" applyNumberFormat="1" applyFont="1" applyFill="1" applyAlignment="1">
      <alignment horizontal="center" wrapText="1"/>
    </xf>
    <xf numFmtId="1" fontId="27" fillId="7" borderId="7" xfId="0" applyNumberFormat="1" applyFont="1" applyFill="1" applyBorder="1" applyAlignment="1">
      <alignment horizontal="center"/>
    </xf>
    <xf numFmtId="1" fontId="27" fillId="7" borderId="8" xfId="0" applyNumberFormat="1" applyFont="1" applyFill="1" applyBorder="1" applyAlignment="1">
      <alignment horizontal="center"/>
    </xf>
    <xf numFmtId="3" fontId="4" fillId="7" borderId="6" xfId="0" applyNumberFormat="1" applyFont="1" applyFill="1" applyBorder="1" applyAlignment="1">
      <alignment horizontal="center" wrapText="1"/>
    </xf>
    <xf numFmtId="0" fontId="1" fillId="7" borderId="4" xfId="0" applyFont="1" applyFill="1" applyBorder="1"/>
    <xf numFmtId="0" fontId="32" fillId="0" borderId="1" xfId="0" applyFont="1" applyBorder="1" applyAlignment="1">
      <alignment horizontal="left" indent="5"/>
    </xf>
    <xf numFmtId="0" fontId="4" fillId="0" borderId="1" xfId="0" applyFont="1" applyBorder="1" applyAlignment="1">
      <alignment horizontal="left" vertical="top" wrapText="1" indent="5"/>
    </xf>
    <xf numFmtId="0" fontId="3" fillId="0" borderId="0" xfId="0" applyFont="1"/>
    <xf numFmtId="3" fontId="4" fillId="7" borderId="5" xfId="0" applyNumberFormat="1" applyFont="1" applyFill="1" applyBorder="1" applyAlignment="1">
      <alignment horizontal="center" wrapText="1"/>
    </xf>
    <xf numFmtId="0" fontId="1" fillId="7" borderId="5" xfId="0" applyFont="1" applyFill="1" applyBorder="1"/>
    <xf numFmtId="1" fontId="4" fillId="7" borderId="4" xfId="0" applyNumberFormat="1" applyFont="1" applyFill="1" applyBorder="1" applyAlignment="1">
      <alignment horizontal="center" wrapText="1"/>
    </xf>
    <xf numFmtId="3" fontId="27" fillId="7" borderId="4" xfId="0" applyNumberFormat="1" applyFont="1" applyFill="1" applyBorder="1" applyAlignment="1">
      <alignment horizontal="center" wrapText="1"/>
    </xf>
    <xf numFmtId="0" fontId="4" fillId="0" borderId="1" xfId="0" applyFont="1" applyBorder="1" applyAlignment="1">
      <alignment horizontal="left" wrapText="1" indent="3"/>
    </xf>
    <xf numFmtId="0" fontId="4" fillId="0" borderId="0" xfId="0" applyFont="1" applyAlignment="1">
      <alignment horizontal="left" wrapText="1" indent="3"/>
    </xf>
    <xf numFmtId="0" fontId="4" fillId="0" borderId="4" xfId="0" applyFont="1" applyBorder="1" applyAlignment="1">
      <alignment horizontal="left" wrapText="1" indent="3"/>
    </xf>
    <xf numFmtId="168" fontId="4" fillId="0" borderId="0" xfId="0" applyNumberFormat="1" applyFont="1" applyAlignment="1">
      <alignment horizontal="center"/>
    </xf>
    <xf numFmtId="168" fontId="4" fillId="7" borderId="0" xfId="0" applyNumberFormat="1" applyFont="1" applyFill="1" applyAlignment="1">
      <alignment horizontal="center"/>
    </xf>
    <xf numFmtId="169" fontId="4" fillId="0" borderId="0" xfId="0" applyNumberFormat="1" applyFont="1" applyAlignment="1">
      <alignment horizontal="center"/>
    </xf>
    <xf numFmtId="3" fontId="4" fillId="0" borderId="4" xfId="0" applyNumberFormat="1" applyFont="1" applyBorder="1" applyAlignment="1">
      <alignment horizontal="right"/>
    </xf>
    <xf numFmtId="0" fontId="4" fillId="0" borderId="7" xfId="0" applyFont="1" applyBorder="1" applyAlignment="1">
      <alignment horizontal="center"/>
    </xf>
    <xf numFmtId="168" fontId="4" fillId="0" borderId="7" xfId="0" applyNumberFormat="1" applyFont="1" applyBorder="1" applyAlignment="1">
      <alignment horizontal="center"/>
    </xf>
    <xf numFmtId="0" fontId="12" fillId="11" borderId="3" xfId="0" applyFont="1" applyFill="1" applyBorder="1"/>
    <xf numFmtId="0" fontId="4" fillId="11" borderId="36" xfId="0" applyFont="1" applyFill="1" applyBorder="1" applyAlignment="1">
      <alignment horizontal="center"/>
    </xf>
    <xf numFmtId="0" fontId="4" fillId="11" borderId="6" xfId="0" applyFont="1" applyFill="1" applyBorder="1" applyAlignment="1">
      <alignment horizontal="center"/>
    </xf>
    <xf numFmtId="0" fontId="4" fillId="0" borderId="4" xfId="0" applyFont="1" applyBorder="1" applyAlignment="1">
      <alignment horizontal="center"/>
    </xf>
    <xf numFmtId="0" fontId="4" fillId="0" borderId="8" xfId="0" applyFont="1" applyBorder="1" applyAlignment="1">
      <alignment horizontal="center"/>
    </xf>
    <xf numFmtId="0" fontId="4" fillId="0" borderId="1" xfId="0" applyFont="1" applyBorder="1"/>
    <xf numFmtId="168" fontId="4" fillId="9" borderId="0" xfId="0" applyNumberFormat="1" applyFont="1" applyFill="1" applyAlignment="1">
      <alignment horizontal="center"/>
    </xf>
    <xf numFmtId="168" fontId="4" fillId="9" borderId="4" xfId="0" applyNumberFormat="1" applyFont="1" applyFill="1" applyBorder="1" applyAlignment="1">
      <alignment horizontal="center"/>
    </xf>
    <xf numFmtId="168" fontId="4" fillId="0" borderId="3" xfId="0" applyNumberFormat="1" applyFont="1" applyBorder="1" applyAlignment="1">
      <alignment horizontal="center"/>
    </xf>
    <xf numFmtId="168" fontId="4" fillId="0" borderId="36" xfId="0" applyNumberFormat="1" applyFont="1" applyBorder="1" applyAlignment="1">
      <alignment horizontal="center"/>
    </xf>
    <xf numFmtId="168" fontId="4" fillId="9" borderId="36" xfId="0" applyNumberFormat="1" applyFont="1" applyFill="1" applyBorder="1" applyAlignment="1">
      <alignment horizontal="center"/>
    </xf>
    <xf numFmtId="169" fontId="4" fillId="9" borderId="7" xfId="0" applyNumberFormat="1" applyFont="1" applyFill="1" applyBorder="1" applyAlignment="1">
      <alignment horizontal="center"/>
    </xf>
    <xf numFmtId="168" fontId="27" fillId="0" borderId="0" xfId="0" applyNumberFormat="1" applyFont="1" applyAlignment="1">
      <alignment horizontal="center"/>
    </xf>
    <xf numFmtId="168" fontId="27" fillId="9" borderId="0" xfId="0" applyNumberFormat="1" applyFont="1" applyFill="1" applyAlignment="1">
      <alignment horizontal="center"/>
    </xf>
    <xf numFmtId="168" fontId="27" fillId="0" borderId="3" xfId="0" applyNumberFormat="1" applyFont="1" applyBorder="1" applyAlignment="1">
      <alignment horizontal="center"/>
    </xf>
    <xf numFmtId="168" fontId="27" fillId="0" borderId="36" xfId="0" applyNumberFormat="1" applyFont="1" applyBorder="1" applyAlignment="1">
      <alignment horizontal="center"/>
    </xf>
    <xf numFmtId="168" fontId="27" fillId="9" borderId="36" xfId="0" applyNumberFormat="1" applyFont="1" applyFill="1" applyBorder="1" applyAlignment="1">
      <alignment horizontal="center"/>
    </xf>
    <xf numFmtId="168" fontId="27" fillId="9" borderId="6" xfId="0" applyNumberFormat="1" applyFont="1" applyFill="1" applyBorder="1" applyAlignment="1">
      <alignment horizontal="center"/>
    </xf>
    <xf numFmtId="168" fontId="27" fillId="7" borderId="0" xfId="0" applyNumberFormat="1" applyFont="1" applyFill="1" applyAlignment="1">
      <alignment horizontal="center"/>
    </xf>
    <xf numFmtId="169" fontId="4" fillId="9" borderId="8" xfId="0" applyNumberFormat="1" applyFont="1" applyFill="1" applyBorder="1" applyAlignment="1">
      <alignment horizontal="center"/>
    </xf>
    <xf numFmtId="169" fontId="4" fillId="0" borderId="4" xfId="0" applyNumberFormat="1" applyFont="1" applyBorder="1" applyAlignment="1">
      <alignment horizontal="center"/>
    </xf>
    <xf numFmtId="168" fontId="1" fillId="0" borderId="0" xfId="0" applyNumberFormat="1" applyFont="1"/>
    <xf numFmtId="169" fontId="4" fillId="0" borderId="7" xfId="0" applyNumberFormat="1" applyFont="1" applyBorder="1" applyAlignment="1">
      <alignment horizontal="center"/>
    </xf>
    <xf numFmtId="0" fontId="4" fillId="0" borderId="3" xfId="0" applyFont="1" applyBorder="1"/>
    <xf numFmtId="0" fontId="27" fillId="0" borderId="1" xfId="0" applyFont="1" applyBorder="1"/>
    <xf numFmtId="168" fontId="27" fillId="7" borderId="6" xfId="0" applyNumberFormat="1" applyFont="1" applyFill="1" applyBorder="1" applyAlignment="1">
      <alignment horizontal="center"/>
    </xf>
    <xf numFmtId="172" fontId="4" fillId="0" borderId="0" xfId="0" applyNumberFormat="1" applyFont="1"/>
    <xf numFmtId="169" fontId="4" fillId="0" borderId="0" xfId="0" applyNumberFormat="1" applyFont="1"/>
    <xf numFmtId="0" fontId="12" fillId="3" borderId="41" xfId="0" applyFont="1" applyFill="1" applyBorder="1"/>
    <xf numFmtId="0" fontId="12" fillId="3" borderId="42" xfId="0" applyFont="1" applyFill="1" applyBorder="1"/>
    <xf numFmtId="0" fontId="12" fillId="3" borderId="43" xfId="0" applyFont="1" applyFill="1" applyBorder="1"/>
    <xf numFmtId="0" fontId="12" fillId="3" borderId="42" xfId="0" applyFont="1" applyFill="1" applyBorder="1" applyAlignment="1">
      <alignment horizontal="center"/>
    </xf>
    <xf numFmtId="0" fontId="12" fillId="3" borderId="43" xfId="0" applyFont="1" applyFill="1" applyBorder="1" applyAlignment="1">
      <alignment horizontal="center"/>
    </xf>
    <xf numFmtId="168" fontId="4" fillId="7" borderId="7" xfId="0" applyNumberFormat="1" applyFont="1" applyFill="1" applyBorder="1" applyAlignment="1">
      <alignment horizontal="center"/>
    </xf>
    <xf numFmtId="168" fontId="4" fillId="7" borderId="8" xfId="0" applyNumberFormat="1" applyFont="1" applyFill="1" applyBorder="1" applyAlignment="1">
      <alignment horizontal="center"/>
    </xf>
    <xf numFmtId="168" fontId="27" fillId="7" borderId="5" xfId="0" applyNumberFormat="1" applyFont="1" applyFill="1" applyBorder="1" applyAlignment="1">
      <alignment horizontal="center"/>
    </xf>
    <xf numFmtId="0" fontId="27" fillId="0" borderId="3" xfId="0" applyFont="1" applyBorder="1"/>
    <xf numFmtId="0" fontId="27" fillId="0" borderId="5" xfId="0" applyFont="1" applyBorder="1"/>
    <xf numFmtId="168" fontId="27" fillId="0" borderId="1" xfId="0" applyNumberFormat="1" applyFont="1" applyBorder="1" applyAlignment="1">
      <alignment horizontal="center"/>
    </xf>
    <xf numFmtId="168" fontId="4" fillId="0" borderId="1" xfId="0" applyNumberFormat="1" applyFont="1" applyBorder="1" applyAlignment="1">
      <alignment horizontal="center"/>
    </xf>
    <xf numFmtId="168" fontId="4" fillId="0" borderId="2" xfId="0" applyNumberFormat="1" applyFont="1" applyBorder="1" applyAlignment="1">
      <alignment horizontal="center"/>
    </xf>
    <xf numFmtId="0" fontId="35" fillId="0" borderId="1" xfId="0" applyFont="1" applyBorder="1" applyAlignment="1">
      <alignment horizontal="left" wrapText="1"/>
    </xf>
    <xf numFmtId="169" fontId="4" fillId="0" borderId="2" xfId="0" applyNumberFormat="1" applyFont="1" applyBorder="1" applyAlignment="1">
      <alignment horizontal="center"/>
    </xf>
    <xf numFmtId="0" fontId="12" fillId="0" borderId="0" xfId="0" applyFont="1" applyAlignment="1">
      <alignment vertical="top" wrapText="1"/>
    </xf>
    <xf numFmtId="169" fontId="4" fillId="0" borderId="8" xfId="0" applyNumberFormat="1" applyFont="1" applyBorder="1" applyAlignment="1">
      <alignment horizontal="center"/>
    </xf>
    <xf numFmtId="169" fontId="4" fillId="7" borderId="7" xfId="0" applyNumberFormat="1" applyFont="1" applyFill="1" applyBorder="1" applyAlignment="1">
      <alignment horizontal="center"/>
    </xf>
    <xf numFmtId="169" fontId="4" fillId="7" borderId="8" xfId="0" applyNumberFormat="1" applyFont="1" applyFill="1" applyBorder="1" applyAlignment="1">
      <alignment horizontal="center"/>
    </xf>
    <xf numFmtId="168" fontId="27" fillId="9" borderId="4" xfId="0" applyNumberFormat="1" applyFont="1" applyFill="1" applyBorder="1" applyAlignment="1">
      <alignment horizontal="center"/>
    </xf>
    <xf numFmtId="2" fontId="4" fillId="0" borderId="0" xfId="0" applyNumberFormat="1" applyFont="1"/>
    <xf numFmtId="2" fontId="4" fillId="0" borderId="0" xfId="0" applyNumberFormat="1" applyFont="1" applyAlignment="1">
      <alignment horizontal="right"/>
    </xf>
    <xf numFmtId="2" fontId="4" fillId="0" borderId="5" xfId="0" applyNumberFormat="1" applyFont="1" applyBorder="1"/>
    <xf numFmtId="2" fontId="4" fillId="0" borderId="5" xfId="0" applyNumberFormat="1" applyFont="1" applyBorder="1" applyAlignment="1">
      <alignment horizontal="right"/>
    </xf>
    <xf numFmtId="3" fontId="4" fillId="0" borderId="6" xfId="0" applyNumberFormat="1" applyFont="1" applyBorder="1" applyAlignment="1">
      <alignment horizontal="right"/>
    </xf>
    <xf numFmtId="0" fontId="14" fillId="0" borderId="7" xfId="0" applyFont="1" applyBorder="1"/>
    <xf numFmtId="0" fontId="12" fillId="0" borderId="14" xfId="0" applyFont="1" applyBorder="1"/>
    <xf numFmtId="0" fontId="12" fillId="0" borderId="13" xfId="0" applyFont="1" applyBorder="1"/>
    <xf numFmtId="0" fontId="4" fillId="0" borderId="13" xfId="0" applyFont="1" applyBorder="1" applyAlignment="1">
      <alignment horizontal="right"/>
    </xf>
    <xf numFmtId="0" fontId="4" fillId="0" borderId="12" xfId="0" applyFont="1" applyBorder="1"/>
    <xf numFmtId="168" fontId="4" fillId="15" borderId="0" xfId="0" applyNumberFormat="1" applyFont="1" applyFill="1" applyAlignment="1">
      <alignment horizontal="center"/>
    </xf>
    <xf numFmtId="168" fontId="4" fillId="15" borderId="0" xfId="0" applyNumberFormat="1" applyFont="1" applyFill="1" applyAlignment="1">
      <alignment horizontal="center" wrapText="1"/>
    </xf>
    <xf numFmtId="168" fontId="4" fillId="9" borderId="0" xfId="0" applyNumberFormat="1" applyFont="1" applyFill="1" applyAlignment="1">
      <alignment horizontal="center" wrapText="1"/>
    </xf>
    <xf numFmtId="169" fontId="4" fillId="14" borderId="7" xfId="0" applyNumberFormat="1" applyFont="1" applyFill="1" applyBorder="1" applyAlignment="1">
      <alignment horizontal="center"/>
    </xf>
    <xf numFmtId="168" fontId="4" fillId="9" borderId="4" xfId="0" applyNumberFormat="1" applyFont="1" applyFill="1" applyBorder="1" applyAlignment="1">
      <alignment horizontal="center" wrapText="1"/>
    </xf>
    <xf numFmtId="168" fontId="4" fillId="10" borderId="0" xfId="0" applyNumberFormat="1" applyFont="1" applyFill="1" applyAlignment="1">
      <alignment horizontal="center" wrapText="1"/>
    </xf>
    <xf numFmtId="0" fontId="1" fillId="15" borderId="0" xfId="0" applyFont="1" applyFill="1"/>
    <xf numFmtId="0" fontId="4" fillId="0" borderId="0" xfId="0" applyFont="1" applyAlignment="1">
      <alignment horizontal="left" indent="4"/>
    </xf>
    <xf numFmtId="169" fontId="4" fillId="0" borderId="7" xfId="0" applyNumberFormat="1" applyFont="1" applyBorder="1"/>
    <xf numFmtId="0" fontId="4" fillId="0" borderId="2" xfId="0" applyFont="1" applyBorder="1" applyAlignment="1">
      <alignment horizontal="left" indent="4"/>
    </xf>
    <xf numFmtId="3" fontId="37" fillId="0" borderId="0" xfId="0" applyNumberFormat="1" applyFont="1"/>
    <xf numFmtId="0" fontId="4" fillId="0" borderId="4" xfId="0" applyFont="1" applyBorder="1"/>
    <xf numFmtId="173" fontId="4" fillId="0" borderId="0" xfId="0" applyNumberFormat="1" applyFont="1"/>
    <xf numFmtId="0" fontId="4" fillId="16" borderId="3" xfId="0" applyFont="1" applyFill="1" applyBorder="1"/>
    <xf numFmtId="0" fontId="4" fillId="16" borderId="5" xfId="0" applyFont="1" applyFill="1" applyBorder="1"/>
    <xf numFmtId="0" fontId="4" fillId="16" borderId="6" xfId="0" applyFont="1" applyFill="1" applyBorder="1"/>
    <xf numFmtId="0" fontId="4" fillId="15" borderId="1" xfId="0" applyFont="1" applyFill="1" applyBorder="1" applyAlignment="1">
      <alignment horizontal="left" vertical="top" wrapText="1" indent="3"/>
    </xf>
    <xf numFmtId="168" fontId="4" fillId="15" borderId="1" xfId="0" applyNumberFormat="1" applyFont="1" applyFill="1" applyBorder="1" applyAlignment="1">
      <alignment horizontal="center"/>
    </xf>
    <xf numFmtId="168" fontId="4" fillId="10" borderId="4" xfId="0" applyNumberFormat="1" applyFont="1" applyFill="1" applyBorder="1" applyAlignment="1">
      <alignment horizontal="center" wrapText="1"/>
    </xf>
    <xf numFmtId="0" fontId="4" fillId="0" borderId="13" xfId="0" applyFont="1" applyBorder="1"/>
    <xf numFmtId="3" fontId="4" fillId="0" borderId="5" xfId="0" applyNumberFormat="1" applyFont="1" applyBorder="1" applyAlignment="1">
      <alignment horizontal="right"/>
    </xf>
    <xf numFmtId="0" fontId="4" fillId="7" borderId="6" xfId="0" applyFont="1" applyFill="1" applyBorder="1"/>
    <xf numFmtId="0" fontId="4" fillId="9" borderId="8" xfId="0" applyFont="1" applyFill="1" applyBorder="1" applyAlignment="1">
      <alignment horizontal="center"/>
    </xf>
    <xf numFmtId="0" fontId="4" fillId="9" borderId="2" xfId="0" applyFont="1" applyFill="1" applyBorder="1" applyAlignment="1">
      <alignment horizontal="center"/>
    </xf>
    <xf numFmtId="0" fontId="4" fillId="9" borderId="7" xfId="0" applyFont="1" applyFill="1" applyBorder="1" applyAlignment="1">
      <alignment horizontal="center"/>
    </xf>
    <xf numFmtId="0" fontId="1" fillId="0" borderId="7" xfId="0" applyFont="1" applyBorder="1" applyAlignment="1">
      <alignment horizontal="center"/>
    </xf>
    <xf numFmtId="0" fontId="27" fillId="0" borderId="0" xfId="0" applyFont="1" applyAlignment="1">
      <alignment horizontal="center"/>
    </xf>
    <xf numFmtId="0" fontId="27" fillId="0" borderId="7" xfId="0" applyFont="1" applyBorder="1" applyAlignment="1">
      <alignment horizontal="center"/>
    </xf>
    <xf numFmtId="0" fontId="1" fillId="0" borderId="8" xfId="0" applyFont="1" applyBorder="1" applyAlignment="1">
      <alignment horizontal="center"/>
    </xf>
    <xf numFmtId="10" fontId="1" fillId="0" borderId="5" xfId="0" applyNumberFormat="1" applyFont="1" applyBorder="1" applyAlignment="1">
      <alignment horizontal="center"/>
    </xf>
    <xf numFmtId="10" fontId="1" fillId="0" borderId="6" xfId="0" applyNumberFormat="1" applyFont="1" applyBorder="1" applyAlignment="1">
      <alignment horizontal="center"/>
    </xf>
    <xf numFmtId="10" fontId="4" fillId="0" borderId="5" xfId="0" applyNumberFormat="1" applyFont="1" applyBorder="1"/>
    <xf numFmtId="10" fontId="4" fillId="0" borderId="3" xfId="0" applyNumberFormat="1" applyFont="1" applyBorder="1"/>
    <xf numFmtId="10" fontId="4" fillId="0" borderId="5" xfId="0" applyNumberFormat="1" applyFont="1" applyBorder="1" applyAlignment="1">
      <alignment horizontal="center"/>
    </xf>
    <xf numFmtId="10" fontId="1" fillId="0" borderId="0" xfId="0" applyNumberFormat="1" applyFont="1" applyAlignment="1">
      <alignment horizontal="center"/>
    </xf>
    <xf numFmtId="10" fontId="1" fillId="0" borderId="4" xfId="0" applyNumberFormat="1" applyFont="1" applyBorder="1" applyAlignment="1">
      <alignment horizontal="center"/>
    </xf>
    <xf numFmtId="1" fontId="1" fillId="0" borderId="7" xfId="0" applyNumberFormat="1" applyFont="1" applyBorder="1" applyAlignment="1">
      <alignment horizontal="center"/>
    </xf>
    <xf numFmtId="0" fontId="12" fillId="0" borderId="3" xfId="0" applyFont="1" applyBorder="1" applyAlignment="1">
      <alignment horizontal="center"/>
    </xf>
    <xf numFmtId="0" fontId="12" fillId="0" borderId="5" xfId="0" applyFont="1" applyBorder="1" applyAlignment="1">
      <alignment horizontal="center"/>
    </xf>
    <xf numFmtId="0" fontId="4" fillId="0" borderId="2" xfId="0" applyFont="1" applyBorder="1" applyAlignment="1">
      <alignment horizontal="right"/>
    </xf>
    <xf numFmtId="3" fontId="4" fillId="0" borderId="7" xfId="0" applyNumberFormat="1" applyFont="1" applyBorder="1" applyAlignment="1">
      <alignment horizontal="right"/>
    </xf>
    <xf numFmtId="0" fontId="4" fillId="0" borderId="36" xfId="0" applyFont="1" applyBorder="1"/>
    <xf numFmtId="1" fontId="4" fillId="0" borderId="36" xfId="0" applyNumberFormat="1" applyFont="1" applyBorder="1"/>
    <xf numFmtId="168" fontId="4" fillId="0" borderId="6" xfId="0" applyNumberFormat="1" applyFont="1" applyBorder="1"/>
    <xf numFmtId="3" fontId="4" fillId="0" borderId="8" xfId="0" applyNumberFormat="1" applyFont="1" applyBorder="1" applyAlignment="1">
      <alignment horizontal="right"/>
    </xf>
    <xf numFmtId="167" fontId="4" fillId="7" borderId="0" xfId="0" applyNumberFormat="1" applyFont="1" applyFill="1"/>
    <xf numFmtId="167" fontId="4" fillId="7" borderId="4" xfId="0" applyNumberFormat="1" applyFont="1" applyFill="1" applyBorder="1"/>
    <xf numFmtId="168" fontId="4" fillId="9" borderId="8" xfId="0" applyNumberFormat="1" applyFont="1" applyFill="1" applyBorder="1"/>
    <xf numFmtId="0" fontId="4" fillId="0" borderId="2" xfId="0" applyFont="1" applyBorder="1" applyAlignment="1">
      <alignment horizontal="center"/>
    </xf>
    <xf numFmtId="168" fontId="12" fillId="0" borderId="0" xfId="0" applyNumberFormat="1" applyFont="1" applyAlignment="1">
      <alignment horizontal="center"/>
    </xf>
    <xf numFmtId="168" fontId="12" fillId="7" borderId="0" xfId="0" applyNumberFormat="1" applyFont="1" applyFill="1" applyAlignment="1">
      <alignment horizontal="center"/>
    </xf>
    <xf numFmtId="168" fontId="12" fillId="7" borderId="4" xfId="0" applyNumberFormat="1" applyFont="1" applyFill="1" applyBorder="1" applyAlignment="1">
      <alignment horizontal="center"/>
    </xf>
    <xf numFmtId="3" fontId="4" fillId="0" borderId="0" xfId="0" applyNumberFormat="1" applyFont="1"/>
    <xf numFmtId="168" fontId="4" fillId="7" borderId="4" xfId="0" applyNumberFormat="1" applyFont="1" applyFill="1" applyBorder="1" applyAlignment="1">
      <alignment horizontal="center"/>
    </xf>
    <xf numFmtId="0" fontId="27" fillId="7" borderId="0" xfId="0" applyFont="1" applyFill="1" applyAlignment="1">
      <alignment horizontal="center"/>
    </xf>
    <xf numFmtId="0" fontId="27" fillId="7" borderId="4" xfId="0" applyFont="1" applyFill="1" applyBorder="1" applyAlignment="1">
      <alignment horizontal="center"/>
    </xf>
    <xf numFmtId="0" fontId="4" fillId="9" borderId="0" xfId="0" applyFont="1" applyFill="1"/>
    <xf numFmtId="165" fontId="4" fillId="9" borderId="0" xfId="0" applyNumberFormat="1" applyFont="1" applyFill="1" applyAlignment="1">
      <alignment horizontal="center"/>
    </xf>
    <xf numFmtId="0" fontId="12" fillId="0" borderId="36" xfId="0" applyFont="1" applyBorder="1" applyAlignment="1">
      <alignment horizontal="center"/>
    </xf>
    <xf numFmtId="0" fontId="4" fillId="0" borderId="6" xfId="0" applyFont="1" applyBorder="1" applyAlignment="1">
      <alignment horizontal="center"/>
    </xf>
    <xf numFmtId="165" fontId="4" fillId="9" borderId="4" xfId="0" applyNumberFormat="1" applyFont="1" applyFill="1" applyBorder="1" applyAlignment="1">
      <alignment horizontal="center"/>
    </xf>
    <xf numFmtId="168" fontId="4" fillId="9" borderId="0" xfId="0" applyNumberFormat="1" applyFont="1" applyFill="1"/>
    <xf numFmtId="168" fontId="4" fillId="3" borderId="0" xfId="0" applyNumberFormat="1" applyFont="1" applyFill="1"/>
    <xf numFmtId="168" fontId="4" fillId="9" borderId="7" xfId="0" applyNumberFormat="1" applyFont="1" applyFill="1" applyBorder="1"/>
    <xf numFmtId="168" fontId="4" fillId="9" borderId="4" xfId="0" applyNumberFormat="1" applyFont="1" applyFill="1" applyBorder="1"/>
    <xf numFmtId="0" fontId="4" fillId="9" borderId="4" xfId="0" applyFont="1" applyFill="1" applyBorder="1"/>
    <xf numFmtId="0" fontId="27" fillId="0" borderId="1" xfId="0" applyFont="1" applyBorder="1" applyAlignment="1">
      <alignment horizontal="center"/>
    </xf>
    <xf numFmtId="0" fontId="4" fillId="7" borderId="0" xfId="0" applyFont="1" applyFill="1" applyAlignment="1">
      <alignment horizontal="center" wrapText="1"/>
    </xf>
    <xf numFmtId="0" fontId="4" fillId="7" borderId="0" xfId="0" applyFont="1" applyFill="1"/>
    <xf numFmtId="0" fontId="4" fillId="7" borderId="5" xfId="0" applyFont="1" applyFill="1" applyBorder="1"/>
    <xf numFmtId="168" fontId="4" fillId="7" borderId="5" xfId="0" applyNumberFormat="1" applyFont="1" applyFill="1" applyBorder="1" applyAlignment="1">
      <alignment horizontal="center"/>
    </xf>
    <xf numFmtId="168" fontId="27" fillId="7" borderId="4" xfId="0" applyNumberFormat="1" applyFont="1" applyFill="1" applyBorder="1" applyAlignment="1">
      <alignment horizontal="center"/>
    </xf>
    <xf numFmtId="3" fontId="4" fillId="0" borderId="5" xfId="0" applyNumberFormat="1" applyFont="1" applyBorder="1"/>
    <xf numFmtId="3" fontId="4" fillId="0" borderId="6" xfId="0" applyNumberFormat="1" applyFont="1" applyBorder="1"/>
    <xf numFmtId="3" fontId="4" fillId="0" borderId="1" xfId="0" applyNumberFormat="1" applyFont="1" applyBorder="1"/>
    <xf numFmtId="0" fontId="4" fillId="0" borderId="41" xfId="0" applyFont="1" applyBorder="1"/>
    <xf numFmtId="0" fontId="4" fillId="0" borderId="12" xfId="0" applyFont="1" applyBorder="1" applyAlignment="1">
      <alignment horizontal="left" wrapText="1" indent="8"/>
    </xf>
    <xf numFmtId="0" fontId="12" fillId="0" borderId="0" xfId="0" applyFont="1" applyAlignment="1">
      <alignment horizontal="left" indent="1"/>
    </xf>
    <xf numFmtId="0" fontId="4" fillId="0" borderId="0" xfId="0" applyFont="1" applyAlignment="1">
      <alignment horizontal="left" wrapText="1" indent="1"/>
    </xf>
    <xf numFmtId="0" fontId="4" fillId="7" borderId="4" xfId="0" applyFont="1" applyFill="1" applyBorder="1" applyAlignment="1">
      <alignment horizontal="center" wrapText="1"/>
    </xf>
    <xf numFmtId="168" fontId="4" fillId="7" borderId="7" xfId="0" applyNumberFormat="1" applyFont="1" applyFill="1" applyBorder="1"/>
    <xf numFmtId="0" fontId="12" fillId="0" borderId="42" xfId="0" applyFont="1" applyBorder="1"/>
    <xf numFmtId="0" fontId="12" fillId="0" borderId="43" xfId="0" applyFont="1" applyBorder="1"/>
    <xf numFmtId="169" fontId="4" fillId="8" borderId="7" xfId="0" applyNumberFormat="1" applyFont="1" applyFill="1" applyBorder="1"/>
    <xf numFmtId="4" fontId="4" fillId="0" borderId="0" xfId="0" applyNumberFormat="1" applyFont="1"/>
    <xf numFmtId="0" fontId="4" fillId="7" borderId="4" xfId="0" applyFont="1" applyFill="1" applyBorder="1"/>
    <xf numFmtId="168" fontId="4" fillId="3" borderId="4" xfId="0" applyNumberFormat="1" applyFont="1" applyFill="1" applyBorder="1"/>
    <xf numFmtId="3" fontId="4" fillId="0" borderId="4" xfId="0" applyNumberFormat="1" applyFont="1" applyBorder="1"/>
    <xf numFmtId="169" fontId="4" fillId="8" borderId="8" xfId="0" applyNumberFormat="1" applyFont="1" applyFill="1" applyBorder="1"/>
    <xf numFmtId="3" fontId="4" fillId="0" borderId="3" xfId="0" applyNumberFormat="1" applyFont="1" applyBorder="1"/>
    <xf numFmtId="0" fontId="12" fillId="0" borderId="41" xfId="0" applyFont="1" applyBorder="1" applyAlignment="1">
      <alignment horizontal="center"/>
    </xf>
    <xf numFmtId="0" fontId="12" fillId="0" borderId="42" xfId="0" applyFont="1" applyBorder="1" applyAlignment="1">
      <alignment horizontal="center"/>
    </xf>
    <xf numFmtId="0" fontId="12" fillId="0" borderId="43" xfId="0" applyFont="1" applyBorder="1" applyAlignment="1">
      <alignment horizontal="center"/>
    </xf>
    <xf numFmtId="1" fontId="4" fillId="7" borderId="1" xfId="0" applyNumberFormat="1" applyFont="1" applyFill="1" applyBorder="1"/>
    <xf numFmtId="0" fontId="12" fillId="0" borderId="1" xfId="0" applyFont="1" applyBorder="1"/>
    <xf numFmtId="0" fontId="12" fillId="0" borderId="3" xfId="0" applyFont="1" applyBorder="1"/>
    <xf numFmtId="1" fontId="4" fillId="0" borderId="7" xfId="0" applyNumberFormat="1" applyFont="1" applyBorder="1"/>
    <xf numFmtId="0" fontId="39" fillId="0" borderId="3" xfId="0" applyFont="1" applyBorder="1" applyAlignment="1">
      <alignment wrapText="1"/>
    </xf>
    <xf numFmtId="174" fontId="39" fillId="0" borderId="36" xfId="0" applyNumberFormat="1" applyFont="1" applyBorder="1" applyAlignment="1">
      <alignment horizontal="center"/>
    </xf>
    <xf numFmtId="174" fontId="39" fillId="0" borderId="6" xfId="0" applyNumberFormat="1" applyFont="1" applyBorder="1" applyAlignment="1">
      <alignment horizontal="center"/>
    </xf>
    <xf numFmtId="174" fontId="39" fillId="7" borderId="36" xfId="0" applyNumberFormat="1" applyFont="1" applyFill="1" applyBorder="1" applyAlignment="1">
      <alignment horizontal="center"/>
    </xf>
    <xf numFmtId="174" fontId="39" fillId="7" borderId="6" xfId="0" applyNumberFormat="1" applyFont="1" applyFill="1" applyBorder="1" applyAlignment="1">
      <alignment horizontal="center"/>
    </xf>
    <xf numFmtId="1" fontId="32" fillId="0" borderId="0" xfId="0" applyNumberFormat="1" applyFont="1" applyAlignment="1">
      <alignment horizontal="center"/>
    </xf>
    <xf numFmtId="1" fontId="4" fillId="0" borderId="0" xfId="0" applyNumberFormat="1" applyFont="1" applyAlignment="1">
      <alignment horizontal="center"/>
    </xf>
    <xf numFmtId="0" fontId="32" fillId="0" borderId="3" xfId="0" applyFont="1" applyBorder="1" applyAlignment="1">
      <alignment wrapText="1"/>
    </xf>
    <xf numFmtId="1" fontId="32" fillId="0" borderId="36" xfId="0" applyNumberFormat="1" applyFont="1" applyBorder="1" applyAlignment="1">
      <alignment horizontal="center"/>
    </xf>
    <xf numFmtId="0" fontId="32" fillId="0" borderId="2" xfId="0" applyFont="1" applyBorder="1"/>
    <xf numFmtId="1" fontId="32" fillId="0" borderId="7" xfId="0" applyNumberFormat="1" applyFont="1" applyBorder="1" applyAlignment="1">
      <alignment horizontal="center"/>
    </xf>
    <xf numFmtId="37" fontId="4" fillId="0" borderId="0" xfId="0" applyNumberFormat="1" applyFont="1" applyAlignment="1">
      <alignment horizontal="center" wrapText="1"/>
    </xf>
    <xf numFmtId="37" fontId="4" fillId="0" borderId="1" xfId="0" applyNumberFormat="1" applyFont="1" applyBorder="1" applyAlignment="1">
      <alignment horizontal="center" wrapText="1"/>
    </xf>
    <xf numFmtId="37" fontId="4" fillId="0" borderId="4" xfId="0" applyNumberFormat="1" applyFont="1" applyBorder="1" applyAlignment="1">
      <alignment horizontal="center" wrapText="1"/>
    </xf>
    <xf numFmtId="174" fontId="39" fillId="13" borderId="36" xfId="0" applyNumberFormat="1" applyFont="1" applyFill="1" applyBorder="1" applyAlignment="1">
      <alignment horizontal="center"/>
    </xf>
    <xf numFmtId="1" fontId="4" fillId="0" borderId="0" xfId="0" applyNumberFormat="1" applyFont="1" applyAlignment="1">
      <alignment horizontal="center" vertical="center"/>
    </xf>
    <xf numFmtId="1" fontId="4" fillId="7" borderId="36" xfId="0" applyNumberFormat="1" applyFont="1" applyFill="1" applyBorder="1"/>
    <xf numFmtId="1" fontId="4" fillId="7" borderId="6" xfId="0" applyNumberFormat="1" applyFont="1" applyFill="1" applyBorder="1"/>
    <xf numFmtId="1" fontId="4" fillId="0" borderId="4" xfId="0" applyNumberFormat="1" applyFont="1" applyBorder="1"/>
    <xf numFmtId="1" fontId="4" fillId="0" borderId="7" xfId="0" applyNumberFormat="1" applyFont="1" applyBorder="1" applyAlignment="1">
      <alignment horizontal="center" vertical="center"/>
    </xf>
    <xf numFmtId="1" fontId="4" fillId="0" borderId="8" xfId="0" applyNumberFormat="1" applyFont="1" applyBorder="1"/>
    <xf numFmtId="169" fontId="4" fillId="0" borderId="36" xfId="0" applyNumberFormat="1" applyFont="1" applyBorder="1"/>
    <xf numFmtId="1" fontId="4" fillId="7" borderId="7" xfId="0" applyNumberFormat="1" applyFont="1" applyFill="1" applyBorder="1"/>
    <xf numFmtId="1" fontId="4" fillId="7" borderId="8" xfId="0" applyNumberFormat="1" applyFont="1" applyFill="1" applyBorder="1"/>
    <xf numFmtId="168" fontId="27" fillId="0" borderId="0" xfId="0" applyNumberFormat="1" applyFont="1"/>
    <xf numFmtId="1" fontId="4" fillId="7" borderId="0" xfId="0" applyNumberFormat="1" applyFont="1" applyFill="1" applyAlignment="1">
      <alignment horizontal="center"/>
    </xf>
    <xf numFmtId="167" fontId="4" fillId="0" borderId="0" xfId="0" applyNumberFormat="1" applyFont="1" applyAlignment="1">
      <alignment horizontal="center"/>
    </xf>
    <xf numFmtId="167" fontId="4" fillId="7" borderId="0" xfId="0" applyNumberFormat="1" applyFont="1" applyFill="1" applyAlignment="1">
      <alignment horizontal="center"/>
    </xf>
    <xf numFmtId="1" fontId="4" fillId="7" borderId="6" xfId="0" applyNumberFormat="1" applyFont="1" applyFill="1" applyBorder="1" applyAlignment="1">
      <alignment horizontal="center"/>
    </xf>
    <xf numFmtId="1" fontId="4" fillId="7" borderId="36" xfId="0" applyNumberFormat="1" applyFont="1" applyFill="1" applyBorder="1" applyAlignment="1">
      <alignment horizontal="center"/>
    </xf>
    <xf numFmtId="174" fontId="39" fillId="0" borderId="42" xfId="0" applyNumberFormat="1" applyFont="1" applyBorder="1" applyAlignment="1">
      <alignment horizontal="center"/>
    </xf>
    <xf numFmtId="168" fontId="4" fillId="0" borderId="1" xfId="0" applyNumberFormat="1" applyFont="1" applyBorder="1" applyAlignment="1">
      <alignment horizontal="center" vertical="top" wrapText="1"/>
    </xf>
    <xf numFmtId="168" fontId="4" fillId="0" borderId="0" xfId="0" applyNumberFormat="1" applyFont="1" applyAlignment="1">
      <alignment horizontal="center" vertical="top" wrapText="1"/>
    </xf>
    <xf numFmtId="167" fontId="4" fillId="0" borderId="0" xfId="0" applyNumberFormat="1" applyFont="1"/>
    <xf numFmtId="1" fontId="27" fillId="7" borderId="4" xfId="0" applyNumberFormat="1" applyFont="1" applyFill="1" applyBorder="1" applyAlignment="1">
      <alignment horizontal="center" vertical="top" wrapText="1"/>
    </xf>
    <xf numFmtId="174" fontId="39" fillId="0" borderId="41" xfId="0" applyNumberFormat="1" applyFont="1" applyBorder="1" applyAlignment="1">
      <alignment horizontal="center"/>
    </xf>
    <xf numFmtId="174" fontId="39" fillId="0" borderId="3" xfId="0" applyNumberFormat="1" applyFont="1" applyBorder="1" applyAlignment="1">
      <alignment horizontal="center"/>
    </xf>
    <xf numFmtId="174" fontId="39" fillId="0" borderId="5" xfId="0" applyNumberFormat="1" applyFont="1" applyBorder="1" applyAlignment="1">
      <alignment horizontal="center"/>
    </xf>
    <xf numFmtId="1" fontId="4" fillId="7" borderId="0" xfId="0" applyNumberFormat="1" applyFont="1" applyFill="1" applyAlignment="1">
      <alignment horizontal="center" vertical="top" wrapText="1"/>
    </xf>
    <xf numFmtId="168" fontId="27" fillId="0" borderId="0" xfId="0" applyNumberFormat="1" applyFont="1" applyAlignment="1">
      <alignment horizontal="center" vertical="top" wrapText="1"/>
    </xf>
    <xf numFmtId="1" fontId="27" fillId="7" borderId="0" xfId="0" applyNumberFormat="1" applyFont="1" applyFill="1" applyAlignment="1">
      <alignment horizontal="center" vertical="top" wrapText="1"/>
    </xf>
    <xf numFmtId="168" fontId="27" fillId="13" borderId="0" xfId="0" applyNumberFormat="1" applyFont="1" applyFill="1" applyAlignment="1">
      <alignment horizontal="center" vertical="top" wrapText="1"/>
    </xf>
    <xf numFmtId="168" fontId="4" fillId="7" borderId="0" xfId="0" applyNumberFormat="1" applyFont="1" applyFill="1" applyAlignment="1">
      <alignment horizontal="center" vertical="top" wrapText="1"/>
    </xf>
    <xf numFmtId="168" fontId="4" fillId="13" borderId="0" xfId="0" applyNumberFormat="1" applyFont="1" applyFill="1" applyAlignment="1">
      <alignment horizontal="center" vertical="top" wrapText="1"/>
    </xf>
    <xf numFmtId="1" fontId="27" fillId="7" borderId="1" xfId="0" applyNumberFormat="1" applyFont="1" applyFill="1" applyBorder="1" applyAlignment="1">
      <alignment horizontal="center" vertical="top" wrapText="1"/>
    </xf>
    <xf numFmtId="1" fontId="4" fillId="7" borderId="1" xfId="0" applyNumberFormat="1" applyFont="1" applyFill="1" applyBorder="1" applyAlignment="1">
      <alignment horizontal="center" vertical="top" wrapText="1"/>
    </xf>
    <xf numFmtId="168" fontId="27" fillId="13" borderId="1" xfId="0" applyNumberFormat="1" applyFont="1" applyFill="1" applyBorder="1" applyAlignment="1">
      <alignment horizontal="center" vertical="top" wrapText="1"/>
    </xf>
    <xf numFmtId="168" fontId="4" fillId="7" borderId="1" xfId="0" applyNumberFormat="1" applyFont="1" applyFill="1" applyBorder="1" applyAlignment="1">
      <alignment horizontal="center" wrapText="1"/>
    </xf>
    <xf numFmtId="168" fontId="4" fillId="7" borderId="1" xfId="0" applyNumberFormat="1" applyFont="1" applyFill="1" applyBorder="1" applyAlignment="1">
      <alignment horizontal="center" vertical="top" wrapText="1"/>
    </xf>
    <xf numFmtId="168" fontId="4" fillId="7" borderId="4" xfId="0" applyNumberFormat="1" applyFont="1" applyFill="1" applyBorder="1" applyAlignment="1">
      <alignment horizontal="center" vertical="top" wrapText="1"/>
    </xf>
    <xf numFmtId="168" fontId="4" fillId="13" borderId="4" xfId="0" applyNumberFormat="1" applyFont="1" applyFill="1" applyBorder="1" applyAlignment="1">
      <alignment horizontal="center" vertical="top" wrapText="1"/>
    </xf>
    <xf numFmtId="168" fontId="40" fillId="7" borderId="2" xfId="0" applyNumberFormat="1" applyFont="1" applyFill="1" applyBorder="1" applyAlignment="1">
      <alignment horizontal="center"/>
    </xf>
    <xf numFmtId="0" fontId="4" fillId="0" borderId="1" xfId="0" applyFont="1" applyBorder="1" applyAlignment="1">
      <alignment horizontal="left" indent="1"/>
    </xf>
    <xf numFmtId="9" fontId="4" fillId="0" borderId="0" xfId="0" applyNumberFormat="1" applyFont="1"/>
    <xf numFmtId="9" fontId="4" fillId="0" borderId="4" xfId="0" applyNumberFormat="1" applyFont="1" applyBorder="1"/>
    <xf numFmtId="10" fontId="4" fillId="0" borderId="0" xfId="0" applyNumberFormat="1" applyFont="1"/>
    <xf numFmtId="0" fontId="4" fillId="0" borderId="2" xfId="0" applyFont="1" applyBorder="1" applyAlignment="1">
      <alignment horizontal="left" indent="1"/>
    </xf>
    <xf numFmtId="9" fontId="4" fillId="0" borderId="7" xfId="0" applyNumberFormat="1" applyFont="1" applyBorder="1"/>
    <xf numFmtId="9" fontId="4" fillId="0" borderId="8" xfId="0" applyNumberFormat="1" applyFont="1" applyBorder="1"/>
    <xf numFmtId="2" fontId="4" fillId="0" borderId="1" xfId="0" applyNumberFormat="1" applyFont="1" applyBorder="1" applyAlignment="1">
      <alignment horizontal="center"/>
    </xf>
    <xf numFmtId="2" fontId="4" fillId="0" borderId="2" xfId="0" applyNumberFormat="1" applyFont="1" applyBorder="1" applyAlignment="1">
      <alignment horizontal="center"/>
    </xf>
    <xf numFmtId="2" fontId="4" fillId="0" borderId="7" xfId="0" applyNumberFormat="1" applyFont="1" applyBorder="1" applyAlignment="1">
      <alignment horizontal="center"/>
    </xf>
    <xf numFmtId="167" fontId="4" fillId="0" borderId="2" xfId="0" applyNumberFormat="1" applyFont="1" applyBorder="1" applyAlignment="1">
      <alignment horizontal="center"/>
    </xf>
    <xf numFmtId="167" fontId="4" fillId="0" borderId="7" xfId="0" applyNumberFormat="1" applyFont="1" applyBorder="1" applyAlignment="1">
      <alignment horizontal="center"/>
    </xf>
    <xf numFmtId="167" fontId="4" fillId="0" borderId="8" xfId="0" applyNumberFormat="1" applyFont="1" applyBorder="1" applyAlignment="1">
      <alignment horizontal="center"/>
    </xf>
    <xf numFmtId="1" fontId="4" fillId="7" borderId="4" xfId="0" applyNumberFormat="1" applyFont="1" applyFill="1" applyBorder="1" applyAlignment="1">
      <alignment horizontal="center"/>
    </xf>
    <xf numFmtId="1" fontId="4" fillId="0" borderId="1" xfId="0" applyNumberFormat="1" applyFont="1" applyBorder="1" applyAlignment="1">
      <alignment horizontal="center"/>
    </xf>
    <xf numFmtId="0" fontId="1" fillId="0" borderId="3" xfId="0" applyFont="1" applyBorder="1"/>
    <xf numFmtId="1" fontId="4" fillId="9" borderId="0" xfId="0" applyNumberFormat="1" applyFont="1" applyFill="1" applyAlignment="1">
      <alignment horizontal="center"/>
    </xf>
    <xf numFmtId="1" fontId="4" fillId="0" borderId="4" xfId="0" applyNumberFormat="1" applyFont="1" applyBorder="1" applyAlignment="1">
      <alignment horizontal="center"/>
    </xf>
    <xf numFmtId="167" fontId="4" fillId="9" borderId="0" xfId="0" applyNumberFormat="1" applyFont="1" applyFill="1" applyAlignment="1">
      <alignment horizontal="center"/>
    </xf>
    <xf numFmtId="0" fontId="4" fillId="0" borderId="5" xfId="0" applyFont="1" applyBorder="1" applyAlignment="1">
      <alignment horizontal="center"/>
    </xf>
    <xf numFmtId="167" fontId="4" fillId="0" borderId="6" xfId="0" applyNumberFormat="1" applyFont="1" applyBorder="1" applyAlignment="1">
      <alignment horizontal="center"/>
    </xf>
    <xf numFmtId="167" fontId="4" fillId="0" borderId="4" xfId="0" applyNumberFormat="1" applyFont="1" applyBorder="1" applyAlignment="1">
      <alignment horizontal="center"/>
    </xf>
    <xf numFmtId="167" fontId="4" fillId="0" borderId="5" xfId="0" applyNumberFormat="1" applyFont="1" applyBorder="1" applyAlignment="1">
      <alignment horizontal="center"/>
    </xf>
    <xf numFmtId="167" fontId="4" fillId="7" borderId="5" xfId="0" applyNumberFormat="1" applyFont="1" applyFill="1" applyBorder="1" applyAlignment="1">
      <alignment horizontal="center"/>
    </xf>
    <xf numFmtId="167" fontId="4" fillId="7" borderId="6" xfId="0" applyNumberFormat="1" applyFont="1" applyFill="1" applyBorder="1" applyAlignment="1">
      <alignment horizontal="center"/>
    </xf>
    <xf numFmtId="167" fontId="4" fillId="7" borderId="4" xfId="0" applyNumberFormat="1" applyFont="1" applyFill="1" applyBorder="1" applyAlignment="1">
      <alignment horizontal="center"/>
    </xf>
    <xf numFmtId="167" fontId="4" fillId="7" borderId="7" xfId="0" applyNumberFormat="1" applyFont="1" applyFill="1" applyBorder="1" applyAlignment="1">
      <alignment horizontal="center"/>
    </xf>
    <xf numFmtId="167" fontId="4" fillId="7" borderId="8" xfId="0" applyNumberFormat="1" applyFont="1" applyFill="1" applyBorder="1" applyAlignment="1">
      <alignment horizontal="center"/>
    </xf>
    <xf numFmtId="168" fontId="4" fillId="9" borderId="4" xfId="0" applyNumberFormat="1" applyFont="1" applyFill="1" applyBorder="1" applyAlignment="1">
      <alignment horizontal="center" vertical="top" wrapText="1"/>
    </xf>
    <xf numFmtId="167" fontId="4" fillId="9" borderId="4" xfId="0" applyNumberFormat="1" applyFont="1" applyFill="1" applyBorder="1" applyAlignment="1">
      <alignment horizontal="center"/>
    </xf>
    <xf numFmtId="1" fontId="4" fillId="9" borderId="4" xfId="0" applyNumberFormat="1" applyFont="1" applyFill="1" applyBorder="1" applyAlignment="1">
      <alignment horizontal="center"/>
    </xf>
    <xf numFmtId="167" fontId="4" fillId="9" borderId="7" xfId="0" applyNumberFormat="1" applyFont="1" applyFill="1" applyBorder="1" applyAlignment="1">
      <alignment horizontal="center"/>
    </xf>
    <xf numFmtId="168" fontId="27" fillId="0" borderId="7" xfId="0" applyNumberFormat="1" applyFont="1" applyBorder="1" applyAlignment="1">
      <alignment horizontal="center" vertical="top" wrapText="1"/>
    </xf>
    <xf numFmtId="1" fontId="4" fillId="0" borderId="7" xfId="0" applyNumberFormat="1" applyFont="1" applyBorder="1" applyAlignment="1">
      <alignment horizontal="center"/>
    </xf>
    <xf numFmtId="167" fontId="4" fillId="0" borderId="1" xfId="0" applyNumberFormat="1" applyFont="1" applyBorder="1" applyAlignment="1">
      <alignment horizontal="center"/>
    </xf>
    <xf numFmtId="1" fontId="4" fillId="7" borderId="7" xfId="0" applyNumberFormat="1" applyFont="1" applyFill="1" applyBorder="1" applyAlignment="1">
      <alignment horizontal="center"/>
    </xf>
    <xf numFmtId="1" fontId="4" fillId="7" borderId="8" xfId="0" applyNumberFormat="1" applyFont="1" applyFill="1" applyBorder="1" applyAlignment="1">
      <alignment horizontal="center"/>
    </xf>
    <xf numFmtId="1" fontId="4" fillId="7" borderId="4" xfId="0" applyNumberFormat="1" applyFont="1" applyFill="1" applyBorder="1" applyAlignment="1">
      <alignment horizontal="center" vertical="top" wrapText="1"/>
    </xf>
    <xf numFmtId="0" fontId="32" fillId="0" borderId="46" xfId="0" applyFont="1" applyBorder="1" applyAlignment="1">
      <alignment horizontal="left" indent="2"/>
    </xf>
    <xf numFmtId="0" fontId="27" fillId="0" borderId="0" xfId="0" applyFont="1" applyAlignment="1">
      <alignment horizontal="center" vertical="top" wrapText="1"/>
    </xf>
    <xf numFmtId="3" fontId="27" fillId="0" borderId="0" xfId="0" applyNumberFormat="1" applyFont="1" applyAlignment="1">
      <alignment horizontal="center" vertical="top" wrapText="1"/>
    </xf>
    <xf numFmtId="2" fontId="4" fillId="0" borderId="3" xfId="0" applyNumberFormat="1" applyFont="1" applyBorder="1" applyAlignment="1">
      <alignment horizontal="center"/>
    </xf>
    <xf numFmtId="2" fontId="4" fillId="0" borderId="5" xfId="0" applyNumberFormat="1" applyFont="1" applyBorder="1" applyAlignment="1">
      <alignment horizontal="center"/>
    </xf>
    <xf numFmtId="2" fontId="4" fillId="0" borderId="6" xfId="0" applyNumberFormat="1" applyFont="1" applyBorder="1" applyAlignment="1">
      <alignment horizontal="center"/>
    </xf>
    <xf numFmtId="167" fontId="4" fillId="0" borderId="3" xfId="0" applyNumberFormat="1" applyFont="1" applyBorder="1" applyAlignment="1">
      <alignment horizontal="center"/>
    </xf>
    <xf numFmtId="0" fontId="27" fillId="0" borderId="0" xfId="0" applyFont="1" applyAlignment="1">
      <alignment horizontal="left" vertical="top" wrapText="1"/>
    </xf>
    <xf numFmtId="0" fontId="39" fillId="0" borderId="3" xfId="0" applyFont="1" applyBorder="1" applyAlignment="1">
      <alignment horizontal="left"/>
    </xf>
    <xf numFmtId="168" fontId="27" fillId="13" borderId="4" xfId="0" applyNumberFormat="1" applyFont="1" applyFill="1" applyBorder="1" applyAlignment="1">
      <alignment horizontal="center" vertical="top" wrapText="1"/>
    </xf>
    <xf numFmtId="0" fontId="32" fillId="0" borderId="47" xfId="0" applyFont="1" applyBorder="1" applyAlignment="1">
      <alignment horizontal="left" indent="2"/>
    </xf>
    <xf numFmtId="165" fontId="4" fillId="0" borderId="22" xfId="0" applyNumberFormat="1" applyFont="1" applyBorder="1" applyAlignment="1">
      <alignment horizontal="center" vertical="top" wrapText="1"/>
    </xf>
    <xf numFmtId="174" fontId="32" fillId="0" borderId="0" xfId="0" applyNumberFormat="1" applyFont="1" applyAlignment="1">
      <alignment horizontal="center"/>
    </xf>
    <xf numFmtId="0" fontId="4" fillId="0" borderId="3" xfId="0" applyFont="1" applyBorder="1" applyAlignment="1">
      <alignment horizontal="left" indent="1"/>
    </xf>
    <xf numFmtId="0" fontId="39" fillId="0" borderId="1" xfId="0" applyFont="1" applyBorder="1" applyAlignment="1">
      <alignment horizontal="left" wrapText="1"/>
    </xf>
    <xf numFmtId="43" fontId="32" fillId="0" borderId="0" xfId="0" applyNumberFormat="1" applyFont="1"/>
    <xf numFmtId="0" fontId="4" fillId="0" borderId="1" xfId="0" applyFont="1" applyBorder="1" applyAlignment="1">
      <alignment horizontal="left" indent="2"/>
    </xf>
    <xf numFmtId="0" fontId="41" fillId="0" borderId="0" xfId="0" applyFont="1"/>
    <xf numFmtId="0" fontId="32" fillId="0" borderId="0" xfId="0" applyFont="1"/>
    <xf numFmtId="0" fontId="39" fillId="0" borderId="0" xfId="0" applyFont="1"/>
    <xf numFmtId="0" fontId="42" fillId="0" borderId="1" xfId="0" applyFont="1" applyBorder="1" applyAlignment="1">
      <alignment horizontal="left"/>
    </xf>
    <xf numFmtId="174" fontId="32" fillId="0" borderId="4" xfId="0" applyNumberFormat="1" applyFont="1" applyBorder="1" applyAlignment="1">
      <alignment horizontal="center"/>
    </xf>
    <xf numFmtId="167" fontId="27" fillId="0" borderId="0" xfId="0" applyNumberFormat="1" applyFont="1"/>
    <xf numFmtId="0" fontId="27" fillId="0" borderId="2" xfId="0" applyFont="1" applyBorder="1" applyAlignment="1">
      <alignment horizontal="left" vertical="top" wrapText="1"/>
    </xf>
    <xf numFmtId="0" fontId="12" fillId="0" borderId="44" xfId="0" applyFont="1" applyBorder="1"/>
    <xf numFmtId="0" fontId="4" fillId="0" borderId="12" xfId="0" applyFont="1" applyBorder="1" applyAlignment="1">
      <alignment horizontal="left" indent="1"/>
    </xf>
    <xf numFmtId="0" fontId="4" fillId="0" borderId="13" xfId="0" applyFont="1" applyBorder="1" applyAlignment="1">
      <alignment horizontal="left" indent="1"/>
    </xf>
    <xf numFmtId="0" fontId="32" fillId="0" borderId="13" xfId="0" applyFont="1" applyBorder="1" applyAlignment="1">
      <alignment horizontal="left" indent="1"/>
    </xf>
    <xf numFmtId="0" fontId="32" fillId="0" borderId="12" xfId="0" applyFont="1" applyBorder="1" applyAlignment="1">
      <alignment horizontal="left" indent="1"/>
    </xf>
    <xf numFmtId="0" fontId="4" fillId="0" borderId="33" xfId="0" applyFont="1" applyBorder="1"/>
    <xf numFmtId="168" fontId="27" fillId="0" borderId="0" xfId="0" applyNumberFormat="1" applyFont="1" applyAlignment="1">
      <alignment horizontal="right" vertical="top" wrapText="1"/>
    </xf>
    <xf numFmtId="174" fontId="39" fillId="0" borderId="0" xfId="0" applyNumberFormat="1" applyFont="1" applyAlignment="1">
      <alignment horizontal="center"/>
    </xf>
    <xf numFmtId="43" fontId="4" fillId="0" borderId="0" xfId="0" applyNumberFormat="1" applyFont="1"/>
    <xf numFmtId="1" fontId="39" fillId="0" borderId="0" xfId="0" applyNumberFormat="1" applyFont="1" applyAlignment="1">
      <alignment horizontal="center"/>
    </xf>
    <xf numFmtId="174" fontId="39" fillId="0" borderId="0" xfId="0" applyNumberFormat="1" applyFont="1"/>
    <xf numFmtId="0" fontId="39" fillId="0" borderId="0" xfId="0" applyFont="1" applyAlignment="1">
      <alignment horizontal="left" indent="2"/>
    </xf>
    <xf numFmtId="175" fontId="39" fillId="0" borderId="0" xfId="0" applyNumberFormat="1" applyFont="1" applyAlignment="1">
      <alignment horizontal="center"/>
    </xf>
    <xf numFmtId="1" fontId="12" fillId="0" borderId="0" xfId="0" applyNumberFormat="1" applyFont="1" applyAlignment="1">
      <alignment horizontal="center"/>
    </xf>
    <xf numFmtId="174" fontId="39" fillId="13" borderId="5" xfId="0" applyNumberFormat="1" applyFont="1" applyFill="1" applyBorder="1" applyAlignment="1">
      <alignment horizontal="center"/>
    </xf>
    <xf numFmtId="168" fontId="4" fillId="0" borderId="1" xfId="0" applyNumberFormat="1" applyFont="1" applyBorder="1" applyAlignment="1">
      <alignment horizontal="right" vertical="top" wrapText="1"/>
    </xf>
    <xf numFmtId="3" fontId="27" fillId="0" borderId="7" xfId="0" applyNumberFormat="1" applyFont="1" applyBorder="1" applyAlignment="1">
      <alignment horizontal="center" vertical="top" wrapText="1"/>
    </xf>
    <xf numFmtId="175" fontId="32" fillId="0" borderId="0" xfId="0" applyNumberFormat="1" applyFont="1" applyAlignment="1">
      <alignment horizontal="center"/>
    </xf>
    <xf numFmtId="0" fontId="12" fillId="13" borderId="42" xfId="0" applyFont="1" applyFill="1" applyBorder="1" applyAlignment="1">
      <alignment horizontal="center"/>
    </xf>
    <xf numFmtId="0" fontId="12" fillId="13" borderId="43" xfId="0" applyFont="1" applyFill="1" applyBorder="1" applyAlignment="1">
      <alignment horizontal="center"/>
    </xf>
    <xf numFmtId="0" fontId="12" fillId="13" borderId="5" xfId="0" applyFont="1" applyFill="1" applyBorder="1" applyAlignment="1">
      <alignment horizontal="center"/>
    </xf>
    <xf numFmtId="0" fontId="12" fillId="13" borderId="6" xfId="0" applyFont="1" applyFill="1" applyBorder="1" applyAlignment="1">
      <alignment horizontal="center"/>
    </xf>
    <xf numFmtId="0" fontId="32" fillId="0" borderId="1" xfId="0" applyFont="1" applyBorder="1"/>
    <xf numFmtId="174" fontId="39" fillId="13" borderId="6" xfId="0" applyNumberFormat="1" applyFont="1" applyFill="1" applyBorder="1" applyAlignment="1">
      <alignment horizontal="center"/>
    </xf>
    <xf numFmtId="174" fontId="39" fillId="13" borderId="42" xfId="0" applyNumberFormat="1" applyFont="1" applyFill="1" applyBorder="1" applyAlignment="1">
      <alignment horizontal="center"/>
    </xf>
    <xf numFmtId="174" fontId="39" fillId="13" borderId="43" xfId="0" applyNumberFormat="1" applyFont="1" applyFill="1" applyBorder="1" applyAlignment="1">
      <alignment horizontal="center"/>
    </xf>
    <xf numFmtId="174" fontId="32" fillId="0" borderId="0" xfId="0" applyNumberFormat="1" applyFont="1" applyAlignment="1">
      <alignment horizontal="left"/>
    </xf>
    <xf numFmtId="0" fontId="32" fillId="0" borderId="1" xfId="0" applyFont="1" applyBorder="1" applyAlignment="1">
      <alignment horizontal="left" indent="1"/>
    </xf>
    <xf numFmtId="0" fontId="32" fillId="0" borderId="2" xfId="0" applyFont="1" applyBorder="1" applyAlignment="1">
      <alignment horizontal="left" indent="1"/>
    </xf>
    <xf numFmtId="167" fontId="4" fillId="0" borderId="0" xfId="0" applyNumberFormat="1" applyFont="1" applyAlignment="1">
      <alignment vertical="center" wrapText="1"/>
    </xf>
    <xf numFmtId="167" fontId="4" fillId="0" borderId="1" xfId="0" applyNumberFormat="1" applyFont="1" applyBorder="1" applyAlignment="1">
      <alignment vertical="center" wrapText="1"/>
    </xf>
    <xf numFmtId="0" fontId="4" fillId="0" borderId="1" xfId="0" applyFont="1" applyBorder="1" applyAlignment="1">
      <alignment horizontal="left" indent="4"/>
    </xf>
    <xf numFmtId="1" fontId="4" fillId="7" borderId="5" xfId="0" applyNumberFormat="1" applyFont="1" applyFill="1" applyBorder="1" applyAlignment="1">
      <alignment horizontal="center"/>
    </xf>
    <xf numFmtId="0" fontId="12" fillId="3" borderId="0" xfId="0" applyFont="1" applyFill="1" applyAlignment="1">
      <alignment horizontal="left"/>
    </xf>
    <xf numFmtId="0" fontId="12" fillId="3" borderId="0" xfId="0" applyFont="1" applyFill="1"/>
    <xf numFmtId="168" fontId="27" fillId="0" borderId="1" xfId="0" applyNumberFormat="1" applyFont="1" applyBorder="1" applyAlignment="1">
      <alignment horizontal="center" vertical="top" wrapText="1"/>
    </xf>
    <xf numFmtId="168" fontId="27" fillId="0" borderId="2" xfId="0" applyNumberFormat="1" applyFont="1" applyBorder="1" applyAlignment="1">
      <alignment horizontal="center" vertical="top" wrapText="1"/>
    </xf>
    <xf numFmtId="0" fontId="12" fillId="0" borderId="44" xfId="0" applyFont="1" applyBorder="1" applyAlignment="1">
      <alignment horizontal="left" indent="1"/>
    </xf>
    <xf numFmtId="0" fontId="4" fillId="0" borderId="3" xfId="0" applyFont="1" applyBorder="1" applyAlignment="1">
      <alignment horizontal="left" indent="2"/>
    </xf>
    <xf numFmtId="0" fontId="4" fillId="0" borderId="0" xfId="0" applyFont="1" applyAlignment="1">
      <alignment horizontal="left" indent="2"/>
    </xf>
    <xf numFmtId="174" fontId="32" fillId="0" borderId="8" xfId="0" applyNumberFormat="1" applyFont="1" applyBorder="1" applyAlignment="1">
      <alignment horizontal="center"/>
    </xf>
    <xf numFmtId="10" fontId="27" fillId="0" borderId="0" xfId="0" applyNumberFormat="1" applyFont="1" applyAlignment="1">
      <alignment horizontal="center" vertical="top" wrapText="1"/>
    </xf>
    <xf numFmtId="3" fontId="4" fillId="0" borderId="1" xfId="0" applyNumberFormat="1" applyFont="1" applyBorder="1" applyAlignment="1">
      <alignment horizontal="center"/>
    </xf>
    <xf numFmtId="3" fontId="4" fillId="0" borderId="3" xfId="0" applyNumberFormat="1" applyFont="1" applyBorder="1" applyAlignment="1">
      <alignment horizontal="center"/>
    </xf>
    <xf numFmtId="3" fontId="4" fillId="0" borderId="0" xfId="0" applyNumberFormat="1" applyFont="1" applyAlignment="1">
      <alignment wrapText="1"/>
    </xf>
    <xf numFmtId="0" fontId="11" fillId="0" borderId="0" xfId="0" applyFont="1"/>
    <xf numFmtId="167" fontId="4" fillId="0" borderId="0" xfId="0" applyNumberFormat="1" applyFont="1" applyAlignment="1">
      <alignment horizontal="left"/>
    </xf>
    <xf numFmtId="14" fontId="4" fillId="0" borderId="0" xfId="0" applyNumberFormat="1" applyFont="1" applyAlignment="1">
      <alignment horizontal="center"/>
    </xf>
    <xf numFmtId="14" fontId="4" fillId="9" borderId="13" xfId="0" applyNumberFormat="1" applyFont="1" applyFill="1" applyBorder="1" applyAlignment="1">
      <alignment horizontal="right"/>
    </xf>
    <xf numFmtId="14" fontId="4" fillId="9" borderId="12" xfId="0" applyNumberFormat="1" applyFont="1" applyFill="1" applyBorder="1" applyAlignment="1">
      <alignment horizontal="right"/>
    </xf>
    <xf numFmtId="2" fontId="4" fillId="0" borderId="4" xfId="0" applyNumberFormat="1" applyFont="1" applyBorder="1" applyAlignment="1">
      <alignment horizontal="center"/>
    </xf>
    <xf numFmtId="2" fontId="4" fillId="0" borderId="8" xfId="0" applyNumberFormat="1" applyFont="1" applyBorder="1" applyAlignment="1">
      <alignment horizontal="center"/>
    </xf>
    <xf numFmtId="0" fontId="4" fillId="9" borderId="2" xfId="0" applyFont="1" applyFill="1" applyBorder="1" applyAlignment="1">
      <alignment horizontal="center" wrapText="1"/>
    </xf>
    <xf numFmtId="0" fontId="4" fillId="9" borderId="7" xfId="0" applyFont="1" applyFill="1" applyBorder="1" applyAlignment="1">
      <alignment horizontal="center" wrapText="1"/>
    </xf>
    <xf numFmtId="0" fontId="4" fillId="7" borderId="14" xfId="0" applyFont="1" applyFill="1" applyBorder="1"/>
    <xf numFmtId="0" fontId="4" fillId="9" borderId="5" xfId="0" applyFont="1" applyFill="1" applyBorder="1"/>
    <xf numFmtId="0" fontId="4" fillId="7" borderId="12" xfId="0" applyFont="1" applyFill="1" applyBorder="1" applyAlignment="1">
      <alignment horizontal="center" wrapText="1"/>
    </xf>
    <xf numFmtId="3" fontId="4" fillId="0" borderId="5" xfId="0" applyNumberFormat="1" applyFont="1" applyBorder="1" applyAlignment="1">
      <alignment horizontal="center"/>
    </xf>
    <xf numFmtId="0" fontId="4" fillId="9" borderId="44" xfId="0" applyFont="1" applyFill="1" applyBorder="1" applyAlignment="1">
      <alignment horizontal="center" wrapText="1"/>
    </xf>
    <xf numFmtId="0" fontId="4" fillId="9" borderId="43" xfId="0" applyFont="1" applyFill="1" applyBorder="1" applyAlignment="1">
      <alignment horizontal="center" wrapText="1"/>
    </xf>
    <xf numFmtId="14" fontId="4" fillId="9" borderId="14" xfId="0" applyNumberFormat="1" applyFont="1" applyFill="1" applyBorder="1" applyAlignment="1">
      <alignment horizontal="right"/>
    </xf>
    <xf numFmtId="165" fontId="1" fillId="0" borderId="36" xfId="0" applyNumberFormat="1" applyFont="1" applyBorder="1" applyAlignment="1">
      <alignment horizontal="center"/>
    </xf>
    <xf numFmtId="165" fontId="1" fillId="9" borderId="6" xfId="0" applyNumberFormat="1" applyFont="1" applyFill="1" applyBorder="1" applyAlignment="1">
      <alignment horizontal="center"/>
    </xf>
    <xf numFmtId="165" fontId="1" fillId="0" borderId="0" xfId="0" applyNumberFormat="1" applyFont="1" applyAlignment="1">
      <alignment horizontal="center"/>
    </xf>
    <xf numFmtId="0" fontId="1" fillId="3" borderId="11" xfId="0" applyFont="1" applyFill="1" applyBorder="1" applyAlignment="1">
      <alignment wrapText="1"/>
    </xf>
    <xf numFmtId="0" fontId="1" fillId="8" borderId="8" xfId="0" applyFont="1" applyFill="1" applyBorder="1" applyAlignment="1">
      <alignment horizontal="center"/>
    </xf>
    <xf numFmtId="165" fontId="1" fillId="9" borderId="0" xfId="0" applyNumberFormat="1" applyFont="1" applyFill="1" applyAlignment="1">
      <alignment horizontal="center"/>
    </xf>
    <xf numFmtId="165" fontId="1" fillId="9" borderId="36" xfId="0" applyNumberFormat="1" applyFont="1" applyFill="1" applyBorder="1" applyAlignment="1">
      <alignment horizontal="center"/>
    </xf>
    <xf numFmtId="0" fontId="1" fillId="0" borderId="3" xfId="0" applyFont="1" applyBorder="1" applyAlignment="1">
      <alignment horizontal="left" wrapText="1" indent="2"/>
    </xf>
    <xf numFmtId="0" fontId="1" fillId="0" borderId="36" xfId="0" applyFont="1" applyBorder="1" applyAlignment="1">
      <alignment horizontal="left" wrapText="1" indent="2"/>
    </xf>
    <xf numFmtId="165" fontId="1" fillId="9" borderId="4" xfId="0" applyNumberFormat="1" applyFont="1" applyFill="1" applyBorder="1" applyAlignment="1">
      <alignment horizontal="center"/>
    </xf>
    <xf numFmtId="0" fontId="1" fillId="9" borderId="8" xfId="0" applyFont="1" applyFill="1" applyBorder="1" applyAlignment="1">
      <alignment horizontal="center"/>
    </xf>
    <xf numFmtId="0" fontId="1" fillId="0" borderId="1" xfId="0" applyFont="1" applyBorder="1" applyAlignment="1">
      <alignment horizontal="left" wrapText="1" indent="2"/>
    </xf>
    <xf numFmtId="0" fontId="1" fillId="0" borderId="1" xfId="0" applyFont="1" applyBorder="1" applyAlignment="1">
      <alignment horizontal="left" indent="2"/>
    </xf>
    <xf numFmtId="0" fontId="1" fillId="0" borderId="0" xfId="0" applyFont="1" applyAlignment="1">
      <alignment horizontal="right"/>
    </xf>
    <xf numFmtId="0" fontId="1" fillId="0" borderId="2" xfId="0" applyFont="1" applyBorder="1" applyAlignment="1">
      <alignment horizontal="left" indent="2"/>
    </xf>
    <xf numFmtId="0" fontId="1" fillId="9" borderId="14" xfId="0" applyFont="1" applyFill="1" applyBorder="1" applyAlignment="1">
      <alignment horizontal="center" wrapText="1"/>
    </xf>
    <xf numFmtId="0" fontId="1" fillId="3" borderId="43" xfId="0" applyFont="1" applyFill="1" applyBorder="1" applyAlignment="1">
      <alignment wrapText="1"/>
    </xf>
    <xf numFmtId="0" fontId="1" fillId="0" borderId="7" xfId="0" applyFont="1" applyBorder="1" applyAlignment="1">
      <alignment horizontal="left" indent="2"/>
    </xf>
    <xf numFmtId="0" fontId="1" fillId="0" borderId="5" xfId="0" applyFont="1" applyBorder="1" applyAlignment="1">
      <alignment horizontal="left" wrapText="1" indent="2"/>
    </xf>
    <xf numFmtId="0" fontId="1" fillId="9" borderId="13" xfId="0" applyFont="1" applyFill="1" applyBorder="1" applyAlignment="1">
      <alignment horizontal="center" wrapText="1"/>
    </xf>
    <xf numFmtId="0" fontId="1" fillId="9" borderId="1" xfId="0" applyFont="1" applyFill="1" applyBorder="1" applyAlignment="1">
      <alignment horizontal="center" wrapText="1"/>
    </xf>
    <xf numFmtId="0" fontId="1" fillId="9" borderId="4" xfId="0" applyFont="1" applyFill="1" applyBorder="1" applyAlignment="1">
      <alignment horizontal="center"/>
    </xf>
    <xf numFmtId="165" fontId="1" fillId="8" borderId="8" xfId="0" applyNumberFormat="1" applyFont="1" applyFill="1" applyBorder="1" applyAlignment="1">
      <alignment horizontal="center"/>
    </xf>
    <xf numFmtId="0" fontId="3" fillId="0" borderId="3" xfId="0" applyFont="1" applyBorder="1" applyAlignment="1">
      <alignment horizontal="left" wrapText="1" indent="2"/>
    </xf>
    <xf numFmtId="0" fontId="1" fillId="9" borderId="7" xfId="0" applyFont="1" applyFill="1" applyBorder="1" applyAlignment="1">
      <alignment horizontal="center"/>
    </xf>
    <xf numFmtId="0" fontId="27" fillId="9" borderId="0" xfId="0" applyFont="1" applyFill="1" applyAlignment="1">
      <alignment horizontal="center"/>
    </xf>
    <xf numFmtId="0" fontId="27" fillId="9" borderId="4" xfId="0" applyFont="1" applyFill="1" applyBorder="1" applyAlignment="1">
      <alignment horizontal="center"/>
    </xf>
    <xf numFmtId="0" fontId="27" fillId="0" borderId="8" xfId="0" applyFont="1" applyBorder="1" applyAlignment="1">
      <alignment horizontal="center"/>
    </xf>
    <xf numFmtId="0" fontId="1" fillId="0" borderId="1" xfId="0" applyFont="1" applyBorder="1" applyAlignment="1">
      <alignment horizontal="center"/>
    </xf>
    <xf numFmtId="0" fontId="27" fillId="7" borderId="7" xfId="0" applyFont="1" applyFill="1" applyBorder="1" applyAlignment="1">
      <alignment horizontal="center"/>
    </xf>
    <xf numFmtId="0" fontId="27" fillId="7" borderId="8" xfId="0" applyFont="1" applyFill="1" applyBorder="1" applyAlignment="1">
      <alignment horizontal="center"/>
    </xf>
    <xf numFmtId="0" fontId="1" fillId="0" borderId="12" xfId="0" applyFont="1" applyBorder="1" applyAlignment="1">
      <alignment horizontal="left"/>
    </xf>
    <xf numFmtId="0" fontId="1" fillId="9" borderId="2" xfId="0" applyFont="1" applyFill="1" applyBorder="1" applyAlignment="1">
      <alignment horizontal="center"/>
    </xf>
    <xf numFmtId="165" fontId="1" fillId="0" borderId="7" xfId="0" applyNumberFormat="1" applyFont="1" applyBorder="1" applyAlignment="1">
      <alignment horizontal="center"/>
    </xf>
    <xf numFmtId="165" fontId="1" fillId="0" borderId="8" xfId="0" applyNumberFormat="1" applyFont="1" applyBorder="1" applyAlignment="1">
      <alignment horizontal="center"/>
    </xf>
    <xf numFmtId="0" fontId="3" fillId="15" borderId="4" xfId="0" applyFont="1" applyFill="1" applyBorder="1" applyAlignment="1">
      <alignment horizontal="left"/>
    </xf>
    <xf numFmtId="0" fontId="1" fillId="15" borderId="1" xfId="0" applyFont="1" applyFill="1" applyBorder="1"/>
    <xf numFmtId="0" fontId="1" fillId="15" borderId="2" xfId="0" applyFont="1" applyFill="1" applyBorder="1"/>
    <xf numFmtId="0" fontId="3" fillId="15" borderId="8" xfId="0" applyFont="1" applyFill="1" applyBorder="1" applyAlignment="1">
      <alignment horizontal="left"/>
    </xf>
    <xf numFmtId="10" fontId="44" fillId="15" borderId="7" xfId="0" applyNumberFormat="1" applyFont="1" applyFill="1" applyBorder="1" applyAlignment="1">
      <alignment horizontal="center"/>
    </xf>
    <xf numFmtId="10" fontId="44" fillId="15" borderId="8" xfId="0" applyNumberFormat="1" applyFont="1" applyFill="1" applyBorder="1" applyAlignment="1">
      <alignment horizontal="center"/>
    </xf>
    <xf numFmtId="10" fontId="44" fillId="0" borderId="0" xfId="0" applyNumberFormat="1" applyFont="1" applyAlignment="1">
      <alignment horizontal="center"/>
    </xf>
    <xf numFmtId="10" fontId="44" fillId="0" borderId="36" xfId="0" applyNumberFormat="1" applyFont="1" applyBorder="1" applyAlignment="1">
      <alignment horizontal="center"/>
    </xf>
    <xf numFmtId="10" fontId="44" fillId="0" borderId="6" xfId="0" applyNumberFormat="1" applyFont="1" applyBorder="1" applyAlignment="1">
      <alignment horizontal="center"/>
    </xf>
    <xf numFmtId="10" fontId="1" fillId="0" borderId="3" xfId="0" applyNumberFormat="1" applyFont="1" applyBorder="1"/>
    <xf numFmtId="0" fontId="3" fillId="0" borderId="6" xfId="0" applyFont="1" applyBorder="1" applyAlignment="1">
      <alignment horizontal="left"/>
    </xf>
    <xf numFmtId="0" fontId="3" fillId="0" borderId="8" xfId="0" applyFont="1" applyBorder="1" applyAlignment="1">
      <alignment horizontal="left"/>
    </xf>
    <xf numFmtId="10" fontId="44" fillId="0" borderId="48" xfId="0" applyNumberFormat="1" applyFont="1" applyBorder="1" applyAlignment="1">
      <alignment horizontal="center"/>
    </xf>
    <xf numFmtId="10" fontId="44" fillId="0" borderId="49" xfId="0" applyNumberFormat="1" applyFont="1" applyBorder="1" applyAlignment="1">
      <alignment horizontal="center"/>
    </xf>
    <xf numFmtId="10" fontId="44" fillId="0" borderId="50" xfId="0" applyNumberFormat="1" applyFont="1" applyBorder="1" applyAlignment="1">
      <alignment horizontal="center"/>
    </xf>
    <xf numFmtId="0" fontId="1" fillId="0" borderId="49" xfId="0" applyFont="1" applyBorder="1"/>
    <xf numFmtId="10" fontId="1" fillId="0" borderId="2" xfId="0" applyNumberFormat="1" applyFont="1" applyBorder="1"/>
    <xf numFmtId="0" fontId="12" fillId="0" borderId="36" xfId="0" applyFont="1" applyBorder="1" applyAlignment="1">
      <alignment vertical="center" wrapText="1"/>
    </xf>
    <xf numFmtId="0" fontId="1" fillId="0" borderId="5" xfId="0" applyFont="1" applyBorder="1"/>
    <xf numFmtId="10" fontId="44" fillId="9" borderId="7" xfId="0" applyNumberFormat="1" applyFont="1" applyFill="1" applyBorder="1" applyAlignment="1">
      <alignment horizontal="center"/>
    </xf>
    <xf numFmtId="10" fontId="44" fillId="9" borderId="0" xfId="0" applyNumberFormat="1" applyFont="1" applyFill="1" applyAlignment="1">
      <alignment horizontal="center"/>
    </xf>
    <xf numFmtId="10" fontId="44" fillId="0" borderId="3" xfId="0" applyNumberFormat="1" applyFont="1" applyBorder="1" applyAlignment="1">
      <alignment horizontal="center"/>
    </xf>
    <xf numFmtId="10" fontId="44" fillId="9" borderId="36" xfId="0" applyNumberFormat="1" applyFont="1" applyFill="1" applyBorder="1" applyAlignment="1">
      <alignment horizontal="center"/>
    </xf>
    <xf numFmtId="10" fontId="44" fillId="9" borderId="6" xfId="0" applyNumberFormat="1" applyFont="1" applyFill="1" applyBorder="1" applyAlignment="1">
      <alignment horizontal="center"/>
    </xf>
    <xf numFmtId="10" fontId="44" fillId="9" borderId="4" xfId="0" applyNumberFormat="1" applyFont="1" applyFill="1" applyBorder="1" applyAlignment="1">
      <alignment horizontal="center"/>
    </xf>
    <xf numFmtId="10" fontId="44" fillId="9" borderId="8" xfId="0" applyNumberFormat="1" applyFont="1" applyFill="1" applyBorder="1" applyAlignment="1">
      <alignment horizontal="center"/>
    </xf>
    <xf numFmtId="0" fontId="45" fillId="0" borderId="0" xfId="0" applyFont="1" applyAlignment="1">
      <alignment wrapText="1"/>
    </xf>
    <xf numFmtId="0" fontId="45" fillId="0" borderId="7" xfId="0" applyFont="1" applyBorder="1" applyAlignment="1">
      <alignment wrapText="1"/>
    </xf>
    <xf numFmtId="2" fontId="44" fillId="0" borderId="6" xfId="0" applyNumberFormat="1" applyFont="1" applyBorder="1" applyAlignment="1">
      <alignment horizontal="center"/>
    </xf>
    <xf numFmtId="167" fontId="2" fillId="0" borderId="0" xfId="0" applyNumberFormat="1" applyFont="1" applyAlignment="1">
      <alignment wrapText="1"/>
    </xf>
    <xf numFmtId="0" fontId="3" fillId="0" borderId="5" xfId="0" applyFont="1" applyBorder="1" applyAlignment="1">
      <alignment horizontal="left"/>
    </xf>
    <xf numFmtId="0" fontId="3" fillId="0" borderId="0" xfId="0" applyFont="1" applyAlignment="1">
      <alignment horizontal="left"/>
    </xf>
    <xf numFmtId="0" fontId="3" fillId="0" borderId="7" xfId="0" applyFont="1" applyBorder="1" applyAlignment="1">
      <alignment horizontal="left"/>
    </xf>
    <xf numFmtId="176" fontId="1" fillId="0" borderId="0" xfId="0" applyNumberFormat="1" applyFont="1"/>
    <xf numFmtId="10" fontId="44" fillId="0" borderId="5" xfId="0" applyNumberFormat="1" applyFont="1" applyBorder="1" applyAlignment="1">
      <alignment horizontal="center"/>
    </xf>
    <xf numFmtId="10" fontId="44" fillId="0" borderId="1" xfId="0" applyNumberFormat="1" applyFont="1" applyBorder="1" applyAlignment="1">
      <alignment horizontal="center"/>
    </xf>
    <xf numFmtId="10" fontId="44" fillId="0" borderId="4" xfId="0" applyNumberFormat="1" applyFont="1" applyBorder="1" applyAlignment="1">
      <alignment horizontal="center"/>
    </xf>
    <xf numFmtId="10" fontId="44" fillId="0" borderId="2" xfId="0" applyNumberFormat="1" applyFont="1" applyBorder="1" applyAlignment="1">
      <alignment horizontal="center"/>
    </xf>
    <xf numFmtId="10" fontId="44" fillId="0" borderId="7" xfId="0" applyNumberFormat="1" applyFont="1" applyBorder="1" applyAlignment="1">
      <alignment horizontal="center"/>
    </xf>
    <xf numFmtId="10" fontId="44" fillId="0" borderId="8" xfId="0" applyNumberFormat="1" applyFont="1" applyBorder="1" applyAlignment="1">
      <alignment horizontal="center"/>
    </xf>
    <xf numFmtId="0" fontId="12" fillId="0" borderId="1" xfId="0" applyFont="1" applyBorder="1" applyAlignment="1">
      <alignment wrapText="1"/>
    </xf>
    <xf numFmtId="0" fontId="44" fillId="0" borderId="1" xfId="0" applyFont="1" applyBorder="1" applyAlignment="1">
      <alignment wrapText="1"/>
    </xf>
    <xf numFmtId="0" fontId="44" fillId="0" borderId="0" xfId="0" applyFont="1" applyAlignment="1">
      <alignment wrapText="1"/>
    </xf>
    <xf numFmtId="2" fontId="44" fillId="0" borderId="0" xfId="0" applyNumberFormat="1" applyFont="1" applyAlignment="1">
      <alignment horizontal="center"/>
    </xf>
    <xf numFmtId="2" fontId="46" fillId="0" borderId="0" xfId="0" applyNumberFormat="1" applyFont="1" applyAlignment="1">
      <alignment horizontal="center"/>
    </xf>
    <xf numFmtId="0" fontId="44" fillId="0" borderId="0" xfId="0" applyFont="1" applyAlignment="1">
      <alignment horizontal="center"/>
    </xf>
    <xf numFmtId="0" fontId="46" fillId="0" borderId="0" xfId="0" applyFont="1" applyAlignment="1">
      <alignment horizontal="center"/>
    </xf>
    <xf numFmtId="2" fontId="44" fillId="0" borderId="7" xfId="0" applyNumberFormat="1" applyFont="1" applyBorder="1" applyAlignment="1">
      <alignment horizontal="center"/>
    </xf>
    <xf numFmtId="2" fontId="44" fillId="0" borderId="5" xfId="0" applyNumberFormat="1" applyFont="1" applyBorder="1" applyAlignment="1">
      <alignment horizontal="center"/>
    </xf>
    <xf numFmtId="2" fontId="44" fillId="0" borderId="4" xfId="0" applyNumberFormat="1" applyFont="1" applyBorder="1" applyAlignment="1">
      <alignment horizontal="center"/>
    </xf>
    <xf numFmtId="2" fontId="44" fillId="0" borderId="8" xfId="0" applyNumberFormat="1" applyFont="1" applyBorder="1" applyAlignment="1">
      <alignment horizontal="center"/>
    </xf>
    <xf numFmtId="0" fontId="12" fillId="0" borderId="3" xfId="0" applyFont="1" applyBorder="1" applyAlignment="1">
      <alignment vertical="center" wrapText="1"/>
    </xf>
    <xf numFmtId="0" fontId="45" fillId="0" borderId="3" xfId="0" applyFont="1" applyBorder="1" applyAlignment="1">
      <alignment wrapText="1"/>
    </xf>
    <xf numFmtId="0" fontId="45" fillId="0" borderId="6" xfId="0" applyFont="1" applyBorder="1" applyAlignment="1">
      <alignment wrapText="1"/>
    </xf>
    <xf numFmtId="0" fontId="45" fillId="0" borderId="42" xfId="0" applyFont="1" applyBorder="1" applyAlignment="1">
      <alignment wrapText="1"/>
    </xf>
    <xf numFmtId="0" fontId="45" fillId="0" borderId="43" xfId="0" applyFont="1" applyBorder="1" applyAlignment="1">
      <alignment wrapText="1"/>
    </xf>
    <xf numFmtId="10" fontId="44" fillId="15" borderId="0" xfId="0" applyNumberFormat="1" applyFont="1" applyFill="1" applyAlignment="1">
      <alignment horizontal="center"/>
    </xf>
    <xf numFmtId="10" fontId="44" fillId="15" borderId="4" xfId="0" applyNumberFormat="1" applyFont="1" applyFill="1" applyBorder="1" applyAlignment="1">
      <alignment horizontal="center"/>
    </xf>
    <xf numFmtId="10" fontId="1" fillId="15" borderId="1" xfId="0" applyNumberFormat="1" applyFont="1" applyFill="1" applyBorder="1"/>
    <xf numFmtId="0" fontId="4" fillId="0" borderId="0" xfId="0" applyFont="1" applyAlignment="1">
      <alignment vertical="center"/>
    </xf>
    <xf numFmtId="0" fontId="4" fillId="0" borderId="0" xfId="0" applyFont="1" applyAlignment="1">
      <alignment horizontal="right"/>
    </xf>
    <xf numFmtId="0" fontId="4" fillId="0" borderId="0" xfId="0" applyFont="1" applyAlignment="1">
      <alignment horizontal="right" vertical="center"/>
    </xf>
    <xf numFmtId="0" fontId="4" fillId="0" borderId="7" xfId="0" applyFont="1" applyBorder="1" applyAlignment="1">
      <alignment vertical="center"/>
    </xf>
    <xf numFmtId="0" fontId="4" fillId="0" borderId="7" xfId="0" applyFont="1" applyBorder="1" applyAlignment="1">
      <alignment horizontal="right" vertical="center"/>
    </xf>
    <xf numFmtId="0" fontId="47" fillId="0" borderId="0" xfId="0" applyFont="1" applyAlignment="1">
      <alignment vertical="center"/>
    </xf>
    <xf numFmtId="0" fontId="11" fillId="0" borderId="0" xfId="0" applyFont="1" applyAlignment="1">
      <alignment horizontal="left"/>
    </xf>
    <xf numFmtId="165" fontId="4" fillId="0" borderId="0" xfId="0" applyNumberFormat="1" applyFont="1" applyAlignment="1">
      <alignment horizontal="right"/>
    </xf>
    <xf numFmtId="3" fontId="4" fillId="0" borderId="7" xfId="0" applyNumberFormat="1" applyFont="1" applyBorder="1"/>
    <xf numFmtId="1" fontId="4" fillId="0" borderId="0" xfId="0" applyNumberFormat="1" applyFont="1" applyAlignment="1">
      <alignment horizontal="right"/>
    </xf>
    <xf numFmtId="0" fontId="4" fillId="0" borderId="7" xfId="0" applyFont="1" applyBorder="1" applyAlignment="1">
      <alignment horizontal="right"/>
    </xf>
    <xf numFmtId="0" fontId="48" fillId="18" borderId="0" xfId="0" applyFont="1" applyFill="1" applyAlignment="1">
      <alignment horizontal="left" vertical="top" wrapText="1"/>
    </xf>
    <xf numFmtId="1" fontId="49" fillId="0" borderId="51" xfId="0" applyNumberFormat="1" applyFont="1" applyBorder="1" applyAlignment="1">
      <alignment vertical="top"/>
    </xf>
    <xf numFmtId="1" fontId="49" fillId="0" borderId="51" xfId="0" applyNumberFormat="1" applyFont="1" applyBorder="1" applyAlignment="1">
      <alignment horizontal="right" vertical="top"/>
    </xf>
    <xf numFmtId="0" fontId="50" fillId="19" borderId="51" xfId="0" applyFont="1" applyFill="1" applyBorder="1" applyAlignment="1">
      <alignment vertical="top"/>
    </xf>
    <xf numFmtId="0" fontId="1" fillId="0" borderId="41" xfId="0" applyFont="1" applyBorder="1"/>
    <xf numFmtId="0" fontId="1" fillId="0" borderId="42" xfId="0" applyFont="1" applyBorder="1"/>
    <xf numFmtId="3" fontId="1" fillId="0" borderId="42" xfId="0" applyNumberFormat="1" applyFont="1" applyBorder="1"/>
    <xf numFmtId="3" fontId="1" fillId="0" borderId="43" xfId="0" applyNumberFormat="1" applyFont="1" applyBorder="1"/>
    <xf numFmtId="1" fontId="49" fillId="0" borderId="0" xfId="0" applyNumberFormat="1" applyFont="1" applyAlignment="1">
      <alignment vertical="top"/>
    </xf>
    <xf numFmtId="1" fontId="49" fillId="0" borderId="0" xfId="0" applyNumberFormat="1" applyFont="1" applyAlignment="1">
      <alignment horizontal="right" vertical="top"/>
    </xf>
    <xf numFmtId="0" fontId="50" fillId="19" borderId="0" xfId="0" applyFont="1" applyFill="1" applyAlignment="1">
      <alignment vertical="top"/>
    </xf>
    <xf numFmtId="0" fontId="50" fillId="19" borderId="7" xfId="0" applyFont="1" applyFill="1" applyBorder="1" applyAlignment="1">
      <alignment vertical="top"/>
    </xf>
    <xf numFmtId="1" fontId="51" fillId="0" borderId="0" xfId="0" applyNumberFormat="1" applyFont="1"/>
    <xf numFmtId="1" fontId="52" fillId="18" borderId="0" xfId="0" applyNumberFormat="1" applyFont="1" applyFill="1" applyAlignment="1">
      <alignment horizontal="center"/>
    </xf>
    <xf numFmtId="0" fontId="53" fillId="19" borderId="0" xfId="0" applyFont="1" applyFill="1" applyAlignment="1">
      <alignment horizontal="center" vertical="center"/>
    </xf>
    <xf numFmtId="0" fontId="52" fillId="19" borderId="0" xfId="0" applyFont="1" applyFill="1" applyAlignment="1">
      <alignment horizontal="left" vertical="center" wrapText="1"/>
    </xf>
    <xf numFmtId="1" fontId="53" fillId="6" borderId="0" xfId="0" applyNumberFormat="1" applyFont="1" applyFill="1" applyAlignment="1">
      <alignment horizontal="center" vertical="top"/>
    </xf>
    <xf numFmtId="0" fontId="52" fillId="6" borderId="0" xfId="0" applyFont="1" applyFill="1" applyAlignment="1">
      <alignment horizontal="center" vertical="top"/>
    </xf>
    <xf numFmtId="0" fontId="51" fillId="0" borderId="0" xfId="0" applyFont="1"/>
    <xf numFmtId="0" fontId="2" fillId="20" borderId="0" xfId="0" applyFont="1" applyFill="1" applyAlignment="1">
      <alignment horizontal="left"/>
    </xf>
    <xf numFmtId="0" fontId="2" fillId="6" borderId="0" xfId="0" applyFont="1" applyFill="1" applyAlignment="1">
      <alignment horizontal="left"/>
    </xf>
    <xf numFmtId="0" fontId="2" fillId="7" borderId="0" xfId="0" applyFont="1" applyFill="1" applyAlignment="1">
      <alignment horizontal="left"/>
    </xf>
    <xf numFmtId="0" fontId="2" fillId="21" borderId="0" xfId="0" applyFont="1" applyFill="1" applyAlignment="1">
      <alignment horizontal="left"/>
    </xf>
    <xf numFmtId="0" fontId="2" fillId="22" borderId="0" xfId="0" applyFont="1" applyFill="1" applyAlignment="1">
      <alignment horizontal="left"/>
    </xf>
    <xf numFmtId="0" fontId="2" fillId="3" borderId="0" xfId="0" applyFont="1" applyFill="1" applyAlignment="1">
      <alignment horizontal="left"/>
    </xf>
    <xf numFmtId="169" fontId="51" fillId="0" borderId="0" xfId="0" applyNumberFormat="1" applyFont="1"/>
    <xf numFmtId="2" fontId="51" fillId="0" borderId="0" xfId="0" applyNumberFormat="1" applyFont="1"/>
    <xf numFmtId="0" fontId="54" fillId="0" borderId="0" xfId="0" applyFont="1"/>
    <xf numFmtId="0" fontId="52" fillId="0" borderId="0" xfId="0" applyFont="1" applyAlignment="1">
      <alignment horizontal="left"/>
    </xf>
    <xf numFmtId="0" fontId="52" fillId="0" borderId="0" xfId="0" applyFont="1" applyAlignment="1">
      <alignment horizontal="center" wrapText="1"/>
    </xf>
    <xf numFmtId="1" fontId="53" fillId="0" borderId="51" xfId="0" applyNumberFormat="1" applyFont="1" applyBorder="1" applyAlignment="1">
      <alignment horizontal="center" vertical="top"/>
    </xf>
    <xf numFmtId="0" fontId="52" fillId="19" borderId="51" xfId="0" applyFont="1" applyFill="1" applyBorder="1" applyAlignment="1">
      <alignment horizontal="center" vertical="top"/>
    </xf>
    <xf numFmtId="0" fontId="52" fillId="0" borderId="0" xfId="0" applyFont="1" applyAlignment="1">
      <alignment horizontal="center"/>
    </xf>
    <xf numFmtId="0" fontId="52" fillId="0" borderId="0" xfId="0" applyFont="1" applyAlignment="1">
      <alignment horizontal="left" wrapText="1"/>
    </xf>
    <xf numFmtId="0" fontId="53" fillId="0" borderId="0" xfId="0" applyFont="1" applyAlignment="1">
      <alignment horizontal="left" vertical="top"/>
    </xf>
    <xf numFmtId="0" fontId="53" fillId="0" borderId="0" xfId="0" applyFont="1" applyAlignment="1">
      <alignment horizontal="center" vertical="top" wrapText="1"/>
    </xf>
    <xf numFmtId="1" fontId="53" fillId="20" borderId="0" xfId="0" applyNumberFormat="1" applyFont="1" applyFill="1" applyAlignment="1">
      <alignment horizontal="center" vertical="top"/>
    </xf>
    <xf numFmtId="0" fontId="52" fillId="20" borderId="0" xfId="0" applyFont="1" applyFill="1" applyAlignment="1">
      <alignment horizontal="center" vertical="top"/>
    </xf>
    <xf numFmtId="0" fontId="52" fillId="20" borderId="0" xfId="0" applyFont="1" applyFill="1" applyAlignment="1">
      <alignment horizontal="left" vertical="top" wrapText="1"/>
    </xf>
    <xf numFmtId="0" fontId="52" fillId="0" borderId="0" xfId="0" applyFont="1" applyAlignment="1">
      <alignment horizontal="left" vertical="top" wrapText="1"/>
    </xf>
    <xf numFmtId="0" fontId="53" fillId="0" borderId="42" xfId="0" applyFont="1" applyBorder="1" applyAlignment="1">
      <alignment horizontal="left" vertical="top"/>
    </xf>
    <xf numFmtId="0" fontId="53" fillId="0" borderId="42" xfId="0" applyFont="1" applyBorder="1" applyAlignment="1">
      <alignment horizontal="center" vertical="top" wrapText="1"/>
    </xf>
    <xf numFmtId="1" fontId="53" fillId="3" borderId="42" xfId="0" applyNumberFormat="1" applyFont="1" applyFill="1" applyBorder="1" applyAlignment="1">
      <alignment horizontal="center" vertical="top"/>
    </xf>
    <xf numFmtId="3" fontId="53" fillId="3" borderId="42" xfId="0" applyNumberFormat="1" applyFont="1" applyFill="1" applyBorder="1" applyAlignment="1">
      <alignment horizontal="center" vertical="top"/>
    </xf>
    <xf numFmtId="0" fontId="52" fillId="3" borderId="42" xfId="0" applyFont="1" applyFill="1" applyBorder="1" applyAlignment="1">
      <alignment horizontal="center" vertical="top"/>
    </xf>
    <xf numFmtId="0" fontId="52" fillId="0" borderId="42" xfId="0" applyFont="1" applyBorder="1" applyAlignment="1">
      <alignment horizontal="left" vertical="top" wrapText="1"/>
    </xf>
    <xf numFmtId="0" fontId="53" fillId="0" borderId="5" xfId="0" applyFont="1" applyBorder="1" applyAlignment="1">
      <alignment horizontal="left" vertical="top"/>
    </xf>
    <xf numFmtId="0" fontId="53" fillId="0" borderId="5" xfId="0" applyFont="1" applyBorder="1" applyAlignment="1">
      <alignment horizontal="center" vertical="top" wrapText="1"/>
    </xf>
    <xf numFmtId="3" fontId="49" fillId="0" borderId="0" xfId="0" applyNumberFormat="1" applyFont="1" applyAlignment="1">
      <alignment vertical="top"/>
    </xf>
    <xf numFmtId="0" fontId="53" fillId="20" borderId="5" xfId="0" applyFont="1" applyFill="1" applyBorder="1" applyAlignment="1">
      <alignment horizontal="center" vertical="top"/>
    </xf>
    <xf numFmtId="0" fontId="52" fillId="0" borderId="5" xfId="0" applyFont="1" applyBorder="1" applyAlignment="1">
      <alignment horizontal="left" vertical="top" wrapText="1"/>
    </xf>
    <xf numFmtId="0" fontId="52" fillId="0" borderId="0" xfId="0" applyFont="1" applyAlignment="1">
      <alignment horizontal="left" vertical="top"/>
    </xf>
    <xf numFmtId="0" fontId="52" fillId="0" borderId="0" xfId="0" applyFont="1" applyAlignment="1">
      <alignment horizontal="center" vertical="top" wrapText="1"/>
    </xf>
    <xf numFmtId="3" fontId="53" fillId="20" borderId="0" xfId="0" applyNumberFormat="1" applyFont="1" applyFill="1" applyAlignment="1">
      <alignment horizontal="center" vertical="top"/>
    </xf>
    <xf numFmtId="0" fontId="53" fillId="20" borderId="0" xfId="0" applyFont="1" applyFill="1" applyAlignment="1">
      <alignment horizontal="center" vertical="top"/>
    </xf>
    <xf numFmtId="1" fontId="52" fillId="20" borderId="0" xfId="0" applyNumberFormat="1" applyFont="1" applyFill="1" applyAlignment="1">
      <alignment horizontal="center" vertical="top"/>
    </xf>
    <xf numFmtId="0" fontId="52" fillId="0" borderId="0" xfId="0" applyFont="1" applyAlignment="1">
      <alignment horizontal="center" vertical="top"/>
    </xf>
    <xf numFmtId="1" fontId="52" fillId="20" borderId="0" xfId="0" applyNumberFormat="1" applyFont="1" applyFill="1" applyAlignment="1">
      <alignment horizontal="center"/>
    </xf>
    <xf numFmtId="1" fontId="52" fillId="20" borderId="0" xfId="0" applyNumberFormat="1" applyFont="1" applyFill="1" applyAlignment="1">
      <alignment horizontal="center" vertical="center"/>
    </xf>
    <xf numFmtId="1" fontId="53" fillId="20" borderId="0" xfId="0" applyNumberFormat="1" applyFont="1" applyFill="1" applyAlignment="1">
      <alignment horizontal="center" vertical="center"/>
    </xf>
    <xf numFmtId="0" fontId="52" fillId="0" borderId="0" xfId="0" applyFont="1" applyAlignment="1">
      <alignment horizontal="left" vertical="center"/>
    </xf>
    <xf numFmtId="0" fontId="52" fillId="0" borderId="0" xfId="0" applyFont="1" applyAlignment="1">
      <alignment horizontal="center" vertical="center" wrapText="1"/>
    </xf>
    <xf numFmtId="0" fontId="53" fillId="0" borderId="0" xfId="0" applyFont="1" applyAlignment="1">
      <alignment horizontal="left" vertical="top" wrapText="1"/>
    </xf>
    <xf numFmtId="1" fontId="53" fillId="20" borderId="5" xfId="0" applyNumberFormat="1" applyFont="1" applyFill="1" applyBorder="1" applyAlignment="1">
      <alignment horizontal="center" vertical="top"/>
    </xf>
    <xf numFmtId="3" fontId="53" fillId="20" borderId="5" xfId="0" applyNumberFormat="1" applyFont="1" applyFill="1" applyBorder="1" applyAlignment="1">
      <alignment horizontal="center" vertical="top"/>
    </xf>
    <xf numFmtId="0" fontId="52" fillId="20" borderId="5" xfId="0" applyFont="1" applyFill="1" applyBorder="1" applyAlignment="1">
      <alignment horizontal="center" vertical="top"/>
    </xf>
    <xf numFmtId="0" fontId="13" fillId="20" borderId="5" xfId="0" applyFont="1" applyFill="1" applyBorder="1" applyAlignment="1">
      <alignment horizontal="left" vertical="top" wrapText="1"/>
    </xf>
    <xf numFmtId="0" fontId="53" fillId="19" borderId="0" xfId="0" applyFont="1" applyFill="1" applyAlignment="1">
      <alignment horizontal="center"/>
    </xf>
    <xf numFmtId="0" fontId="52" fillId="19" borderId="0" xfId="0" applyFont="1" applyFill="1" applyAlignment="1">
      <alignment horizontal="left" wrapText="1"/>
    </xf>
    <xf numFmtId="1" fontId="53" fillId="23" borderId="0" xfId="0" applyNumberFormat="1" applyFont="1" applyFill="1" applyAlignment="1">
      <alignment horizontal="center" vertical="top"/>
    </xf>
    <xf numFmtId="3" fontId="53" fillId="23" borderId="0" xfId="0" applyNumberFormat="1" applyFont="1" applyFill="1" applyAlignment="1">
      <alignment horizontal="center" vertical="top"/>
    </xf>
    <xf numFmtId="0" fontId="52" fillId="23" borderId="0" xfId="0" applyFont="1" applyFill="1" applyAlignment="1">
      <alignment horizontal="center" vertical="top"/>
    </xf>
    <xf numFmtId="0" fontId="52" fillId="23" borderId="0" xfId="0" applyFont="1" applyFill="1" applyAlignment="1">
      <alignment horizontal="left" vertical="top" wrapText="1"/>
    </xf>
    <xf numFmtId="1" fontId="52" fillId="24" borderId="0" xfId="0" applyNumberFormat="1" applyFont="1" applyFill="1" applyAlignment="1">
      <alignment horizontal="center" vertical="top"/>
    </xf>
    <xf numFmtId="0" fontId="52" fillId="24" borderId="0" xfId="0" applyFont="1" applyFill="1" applyAlignment="1">
      <alignment horizontal="center" vertical="top"/>
    </xf>
    <xf numFmtId="0" fontId="52" fillId="24" borderId="0" xfId="0" applyFont="1" applyFill="1" applyAlignment="1">
      <alignment horizontal="left" vertical="top" wrapText="1"/>
    </xf>
    <xf numFmtId="1" fontId="52" fillId="24" borderId="0" xfId="0" applyNumberFormat="1" applyFont="1" applyFill="1" applyAlignment="1">
      <alignment horizontal="center"/>
    </xf>
    <xf numFmtId="1" fontId="53" fillId="24" borderId="0" xfId="0" applyNumberFormat="1" applyFont="1" applyFill="1" applyAlignment="1">
      <alignment horizontal="center" vertical="top"/>
    </xf>
    <xf numFmtId="3" fontId="53" fillId="24" borderId="0" xfId="0" applyNumberFormat="1" applyFont="1" applyFill="1" applyAlignment="1">
      <alignment horizontal="center" vertical="top"/>
    </xf>
    <xf numFmtId="1" fontId="53" fillId="22" borderId="0" xfId="0" applyNumberFormat="1" applyFont="1" applyFill="1" applyAlignment="1">
      <alignment horizontal="center" vertical="top"/>
    </xf>
    <xf numFmtId="0" fontId="52" fillId="22" borderId="0" xfId="0" applyFont="1" applyFill="1" applyAlignment="1">
      <alignment horizontal="center" vertical="top"/>
    </xf>
    <xf numFmtId="3" fontId="53" fillId="22" borderId="0" xfId="0" applyNumberFormat="1" applyFont="1" applyFill="1" applyAlignment="1">
      <alignment horizontal="center" vertical="top"/>
    </xf>
    <xf numFmtId="0" fontId="53" fillId="22" borderId="0" xfId="0" applyFont="1" applyFill="1" applyAlignment="1">
      <alignment horizontal="center" vertical="top"/>
    </xf>
    <xf numFmtId="0" fontId="53" fillId="25" borderId="0" xfId="0" applyFont="1" applyFill="1" applyAlignment="1">
      <alignment horizontal="left" vertical="top"/>
    </xf>
    <xf numFmtId="0" fontId="53" fillId="25" borderId="0" xfId="0" applyFont="1" applyFill="1" applyAlignment="1">
      <alignment horizontal="center" vertical="top" wrapText="1"/>
    </xf>
    <xf numFmtId="0" fontId="52" fillId="25" borderId="0" xfId="0" applyFont="1" applyFill="1" applyAlignment="1">
      <alignment horizontal="left" vertical="top" wrapText="1"/>
    </xf>
    <xf numFmtId="1" fontId="53" fillId="22" borderId="41" xfId="0" applyNumberFormat="1" applyFont="1" applyFill="1" applyBorder="1" applyAlignment="1">
      <alignment horizontal="center" vertical="top"/>
    </xf>
    <xf numFmtId="1" fontId="53" fillId="22" borderId="42" xfId="0" applyNumberFormat="1" applyFont="1" applyFill="1" applyBorder="1" applyAlignment="1">
      <alignment horizontal="center" vertical="top"/>
    </xf>
    <xf numFmtId="3" fontId="53" fillId="22" borderId="42" xfId="0" applyNumberFormat="1" applyFont="1" applyFill="1" applyBorder="1" applyAlignment="1">
      <alignment horizontal="center" vertical="top"/>
    </xf>
    <xf numFmtId="0" fontId="52" fillId="22" borderId="43" xfId="0" applyFont="1" applyFill="1" applyBorder="1" applyAlignment="1">
      <alignment horizontal="center" vertical="top" wrapText="1"/>
    </xf>
    <xf numFmtId="1" fontId="53" fillId="9" borderId="0" xfId="0" applyNumberFormat="1" applyFont="1" applyFill="1" applyAlignment="1">
      <alignment horizontal="center" vertical="top"/>
    </xf>
    <xf numFmtId="1" fontId="52" fillId="9" borderId="0" xfId="0" applyNumberFormat="1" applyFont="1" applyFill="1" applyAlignment="1">
      <alignment horizontal="center" vertical="top"/>
    </xf>
    <xf numFmtId="0" fontId="53" fillId="9" borderId="0" xfId="0" applyFont="1" applyFill="1" applyAlignment="1">
      <alignment horizontal="center" vertical="top"/>
    </xf>
    <xf numFmtId="0" fontId="13" fillId="0" borderId="0" xfId="0" applyFont="1" applyAlignment="1">
      <alignment horizontal="left" vertical="top" wrapText="1"/>
    </xf>
    <xf numFmtId="1" fontId="53" fillId="18" borderId="0" xfId="0" applyNumberFormat="1" applyFont="1" applyFill="1" applyAlignment="1">
      <alignment horizontal="center" vertical="top"/>
    </xf>
    <xf numFmtId="3" fontId="53" fillId="18" borderId="0" xfId="0" applyNumberFormat="1" applyFont="1" applyFill="1" applyAlignment="1">
      <alignment horizontal="center" vertical="top"/>
    </xf>
    <xf numFmtId="0" fontId="53" fillId="0" borderId="0" xfId="0" applyFont="1" applyAlignment="1">
      <alignment horizontal="center" vertical="top"/>
    </xf>
    <xf numFmtId="0" fontId="52" fillId="18" borderId="0" xfId="0" applyFont="1" applyFill="1" applyAlignment="1">
      <alignment horizontal="left" vertical="top" wrapText="1"/>
    </xf>
    <xf numFmtId="0" fontId="52" fillId="18" borderId="0" xfId="0" applyFont="1" applyFill="1" applyAlignment="1">
      <alignment horizontal="center" vertical="top"/>
    </xf>
    <xf numFmtId="0" fontId="53" fillId="18" borderId="0" xfId="0" applyFont="1" applyFill="1" applyAlignment="1">
      <alignment horizontal="center" vertical="top"/>
    </xf>
    <xf numFmtId="0" fontId="4" fillId="2" borderId="0" xfId="0" applyFont="1" applyFill="1" applyAlignment="1">
      <alignment horizontal="left" indent="2"/>
    </xf>
    <xf numFmtId="0" fontId="4" fillId="2" borderId="0" xfId="0" applyFont="1" applyFill="1" applyAlignment="1">
      <alignment horizontal="right"/>
    </xf>
    <xf numFmtId="0" fontId="55" fillId="0" borderId="0" xfId="0" applyFont="1" applyAlignment="1">
      <alignment horizontal="left" vertical="top"/>
    </xf>
    <xf numFmtId="0" fontId="12" fillId="0" borderId="0" xfId="0" applyFont="1" applyAlignment="1">
      <alignment horizontal="left"/>
    </xf>
    <xf numFmtId="0" fontId="56" fillId="0" borderId="0" xfId="0" applyFont="1"/>
    <xf numFmtId="0" fontId="12" fillId="26" borderId="0" xfId="0" applyFont="1" applyFill="1"/>
    <xf numFmtId="0" fontId="12" fillId="26" borderId="0" xfId="0" applyFont="1" applyFill="1" applyAlignment="1">
      <alignment horizontal="left"/>
    </xf>
    <xf numFmtId="0" fontId="4" fillId="26" borderId="0" xfId="0" applyFont="1" applyFill="1" applyAlignment="1">
      <alignment horizontal="left" indent="2"/>
    </xf>
    <xf numFmtId="0" fontId="4" fillId="26" borderId="0" xfId="0" applyFont="1" applyFill="1" applyAlignment="1">
      <alignment horizontal="right"/>
    </xf>
    <xf numFmtId="0" fontId="57" fillId="0" borderId="0" xfId="0" applyFont="1" applyAlignment="1">
      <alignment horizontal="right" vertical="top"/>
    </xf>
    <xf numFmtId="3" fontId="44" fillId="0" borderId="0" xfId="0" applyNumberFormat="1" applyFont="1"/>
    <xf numFmtId="3" fontId="58" fillId="0" borderId="0" xfId="0" applyNumberFormat="1" applyFont="1" applyAlignment="1">
      <alignment horizontal="right" vertical="top"/>
    </xf>
    <xf numFmtId="0" fontId="59" fillId="28" borderId="0" xfId="0" applyFont="1" applyFill="1" applyAlignment="1">
      <alignment horizontal="right"/>
    </xf>
    <xf numFmtId="0" fontId="60" fillId="0" borderId="0" xfId="0" applyFont="1"/>
    <xf numFmtId="0" fontId="53" fillId="0" borderId="0" xfId="0" applyFont="1" applyAlignment="1">
      <alignment horizontal="right"/>
    </xf>
    <xf numFmtId="165" fontId="61" fillId="0" borderId="0" xfId="0" applyNumberFormat="1" applyFont="1" applyAlignment="1">
      <alignment horizontal="right" vertical="top"/>
    </xf>
    <xf numFmtId="165" fontId="59" fillId="28" borderId="0" xfId="0" applyNumberFormat="1" applyFont="1" applyFill="1" applyAlignment="1">
      <alignment horizontal="right"/>
    </xf>
    <xf numFmtId="3" fontId="7" fillId="0" borderId="0" xfId="0" applyNumberFormat="1" applyFont="1"/>
    <xf numFmtId="0" fontId="7" fillId="0" borderId="0" xfId="0" applyFont="1"/>
    <xf numFmtId="165" fontId="53" fillId="0" borderId="0" xfId="0" applyNumberFormat="1" applyFont="1" applyAlignment="1">
      <alignment horizontal="right"/>
    </xf>
    <xf numFmtId="3" fontId="53" fillId="0" borderId="0" xfId="0" applyNumberFormat="1" applyFont="1" applyAlignment="1">
      <alignment horizontal="right"/>
    </xf>
    <xf numFmtId="0" fontId="7" fillId="29" borderId="0" xfId="0" applyFont="1" applyFill="1" applyAlignment="1">
      <alignment wrapText="1"/>
    </xf>
    <xf numFmtId="0" fontId="8" fillId="29" borderId="0" xfId="0" applyFont="1" applyFill="1" applyAlignment="1">
      <alignment vertical="top"/>
    </xf>
    <xf numFmtId="0" fontId="7" fillId="29" borderId="0" xfId="0" applyFont="1" applyFill="1" applyAlignment="1">
      <alignment horizontal="right"/>
    </xf>
    <xf numFmtId="0" fontId="7" fillId="29" borderId="0" xfId="0" applyFont="1" applyFill="1"/>
    <xf numFmtId="168" fontId="7" fillId="29" borderId="0" xfId="0" applyNumberFormat="1" applyFont="1" applyFill="1" applyAlignment="1">
      <alignment horizontal="center"/>
    </xf>
    <xf numFmtId="0" fontId="1" fillId="29" borderId="0" xfId="0" applyFont="1" applyFill="1" applyAlignment="1">
      <alignment wrapText="1"/>
    </xf>
    <xf numFmtId="170" fontId="7" fillId="0" borderId="0" xfId="0" applyNumberFormat="1" applyFont="1" applyAlignment="1">
      <alignment horizontal="right"/>
    </xf>
    <xf numFmtId="0" fontId="62" fillId="29" borderId="0" xfId="0" applyFont="1" applyFill="1" applyAlignment="1">
      <alignment horizontal="center" wrapText="1"/>
    </xf>
    <xf numFmtId="0" fontId="7" fillId="29" borderId="0" xfId="0" applyFont="1" applyFill="1" applyAlignment="1">
      <alignment horizontal="center"/>
    </xf>
    <xf numFmtId="1" fontId="7" fillId="0" borderId="0" xfId="0" applyNumberFormat="1" applyFont="1" applyAlignment="1">
      <alignment horizontal="right"/>
    </xf>
    <xf numFmtId="0" fontId="8" fillId="0" borderId="0" xfId="0" applyFont="1" applyAlignment="1">
      <alignment vertical="top"/>
    </xf>
    <xf numFmtId="0" fontId="7" fillId="30" borderId="0" xfId="0" applyFont="1" applyFill="1" applyAlignment="1">
      <alignment horizontal="center" wrapText="1"/>
    </xf>
    <xf numFmtId="0" fontId="8" fillId="31" borderId="0" xfId="0" applyFont="1" applyFill="1" applyAlignment="1">
      <alignment vertical="top"/>
    </xf>
    <xf numFmtId="0" fontId="44" fillId="31" borderId="0" xfId="0" applyFont="1" applyFill="1"/>
    <xf numFmtId="0" fontId="7" fillId="31" borderId="0" xfId="0" applyFont="1" applyFill="1"/>
    <xf numFmtId="0" fontId="63" fillId="31" borderId="0" xfId="0" applyFont="1" applyFill="1"/>
    <xf numFmtId="0" fontId="7" fillId="31" borderId="0" xfId="0" applyFont="1" applyFill="1" applyAlignment="1">
      <alignment horizontal="right"/>
    </xf>
    <xf numFmtId="0" fontId="1" fillId="31" borderId="0" xfId="0" applyFont="1" applyFill="1" applyAlignment="1">
      <alignment horizontal="center" wrapText="1"/>
    </xf>
    <xf numFmtId="0" fontId="8" fillId="0" borderId="0" xfId="0" applyFont="1" applyAlignment="1">
      <alignment vertical="top" wrapText="1"/>
    </xf>
    <xf numFmtId="1" fontId="8" fillId="0" borderId="0" xfId="0" applyNumberFormat="1" applyFont="1" applyAlignment="1">
      <alignment vertical="top" wrapText="1"/>
    </xf>
    <xf numFmtId="0" fontId="8" fillId="31" borderId="0" xfId="0" applyFont="1" applyFill="1" applyAlignment="1">
      <alignment vertical="top" wrapText="1"/>
    </xf>
    <xf numFmtId="0" fontId="8" fillId="29" borderId="0" xfId="0" applyFont="1" applyFill="1" applyAlignment="1">
      <alignment wrapText="1"/>
    </xf>
    <xf numFmtId="0" fontId="63" fillId="0" borderId="0" xfId="0" applyFont="1"/>
    <xf numFmtId="1" fontId="8" fillId="0" borderId="0" xfId="0" applyNumberFormat="1" applyFont="1" applyAlignment="1">
      <alignment vertical="top"/>
    </xf>
    <xf numFmtId="0" fontId="7" fillId="0" borderId="0" xfId="0" applyFont="1" applyAlignment="1">
      <alignment horizontal="right"/>
    </xf>
    <xf numFmtId="0" fontId="44" fillId="0" borderId="0" xfId="0" applyFont="1" applyAlignment="1">
      <alignment horizontal="right"/>
    </xf>
    <xf numFmtId="0" fontId="44" fillId="0" borderId="0" xfId="0" applyFont="1"/>
    <xf numFmtId="0" fontId="1" fillId="8" borderId="0" xfId="0" applyFont="1" applyFill="1" applyAlignment="1">
      <alignment wrapText="1"/>
    </xf>
    <xf numFmtId="0" fontId="8" fillId="8" borderId="0" xfId="0" applyFont="1" applyFill="1" applyAlignment="1">
      <alignment vertical="top"/>
    </xf>
    <xf numFmtId="0" fontId="8" fillId="8" borderId="0" xfId="0" applyFont="1" applyFill="1" applyAlignment="1">
      <alignment vertical="top" wrapText="1"/>
    </xf>
    <xf numFmtId="0" fontId="7" fillId="32" borderId="0" xfId="0" applyFont="1" applyFill="1" applyAlignment="1">
      <alignment wrapText="1"/>
    </xf>
    <xf numFmtId="0" fontId="7" fillId="33" borderId="0" xfId="0" applyFont="1" applyFill="1" applyAlignment="1">
      <alignment horizontal="center" wrapText="1"/>
    </xf>
    <xf numFmtId="0" fontId="44" fillId="8" borderId="0" xfId="0" applyFont="1" applyFill="1" applyAlignment="1">
      <alignment horizontal="right"/>
    </xf>
    <xf numFmtId="0" fontId="7" fillId="8" borderId="0" xfId="0" applyFont="1" applyFill="1" applyAlignment="1">
      <alignment horizontal="right"/>
    </xf>
    <xf numFmtId="0" fontId="59" fillId="0" borderId="0" xfId="0" applyFont="1"/>
    <xf numFmtId="170" fontId="57" fillId="0" borderId="0" xfId="0" applyNumberFormat="1" applyFont="1" applyAlignment="1">
      <alignment horizontal="right" vertical="top"/>
    </xf>
    <xf numFmtId="1" fontId="7" fillId="0" borderId="0" xfId="0" applyNumberFormat="1" applyFont="1"/>
    <xf numFmtId="9" fontId="1" fillId="0" borderId="0" xfId="0" applyNumberFormat="1" applyFont="1"/>
    <xf numFmtId="0" fontId="44" fillId="36" borderId="0" xfId="0" applyFont="1" applyFill="1" applyAlignment="1">
      <alignment wrapText="1"/>
    </xf>
    <xf numFmtId="0" fontId="1" fillId="36" borderId="0" xfId="0" applyFont="1" applyFill="1"/>
    <xf numFmtId="0" fontId="7" fillId="0" borderId="0" xfId="0" applyFont="1" applyAlignment="1">
      <alignment horizontal="center"/>
    </xf>
    <xf numFmtId="2" fontId="7" fillId="0" borderId="0" xfId="0" applyNumberFormat="1" applyFont="1" applyAlignment="1">
      <alignment horizontal="center"/>
    </xf>
    <xf numFmtId="2" fontId="7" fillId="0" borderId="0" xfId="0" applyNumberFormat="1" applyFont="1"/>
    <xf numFmtId="0" fontId="62" fillId="0" borderId="0" xfId="0" applyFont="1" applyAlignment="1">
      <alignment horizontal="left" wrapText="1"/>
    </xf>
    <xf numFmtId="168" fontId="7" fillId="0" borderId="0" xfId="0" applyNumberFormat="1" applyFont="1" applyAlignment="1">
      <alignment horizontal="center"/>
    </xf>
    <xf numFmtId="1" fontId="7" fillId="0" borderId="0" xfId="0" applyNumberFormat="1" applyFont="1" applyAlignment="1">
      <alignment horizontal="center"/>
    </xf>
    <xf numFmtId="0" fontId="62" fillId="0" borderId="0" xfId="0" applyFont="1" applyAlignment="1">
      <alignment horizontal="center" wrapText="1"/>
    </xf>
    <xf numFmtId="0" fontId="7" fillId="13" borderId="0" xfId="0" applyFont="1" applyFill="1"/>
    <xf numFmtId="0" fontId="32" fillId="20" borderId="1" xfId="0" applyFont="1" applyFill="1" applyBorder="1" applyAlignment="1">
      <alignment horizontal="left" indent="2"/>
    </xf>
    <xf numFmtId="0" fontId="64" fillId="0" borderId="0" xfId="0" applyFont="1"/>
    <xf numFmtId="0" fontId="1" fillId="0" borderId="0" xfId="0" applyFont="1"/>
    <xf numFmtId="0" fontId="4" fillId="0" borderId="0" xfId="0" applyFont="1" applyAlignment="1">
      <alignment horizontal="center"/>
    </xf>
    <xf numFmtId="0" fontId="4" fillId="0" borderId="1" xfId="0" applyFont="1" applyBorder="1" applyAlignment="1">
      <alignment horizontal="left" wrapText="1"/>
    </xf>
    <xf numFmtId="0" fontId="1" fillId="0" borderId="0" xfId="0" applyFont="1"/>
    <xf numFmtId="0" fontId="4" fillId="0" borderId="0" xfId="0" applyFont="1" applyAlignment="1">
      <alignment horizontal="left" wrapText="1"/>
    </xf>
    <xf numFmtId="0" fontId="14" fillId="0" borderId="0" xfId="0" pivotButton="1" applyFont="1" applyAlignment="1">
      <alignment wrapText="1"/>
    </xf>
    <xf numFmtId="0" fontId="4" fillId="0" borderId="53" xfId="0" applyFont="1" applyBorder="1" applyAlignment="1">
      <alignment horizontal="left" wrapText="1"/>
    </xf>
    <xf numFmtId="1" fontId="4" fillId="9" borderId="54" xfId="0" applyNumberFormat="1" applyFont="1" applyFill="1" applyBorder="1" applyAlignment="1">
      <alignment horizontal="center"/>
    </xf>
    <xf numFmtId="3" fontId="4" fillId="7" borderId="54" xfId="0" applyNumberFormat="1" applyFont="1" applyFill="1" applyBorder="1" applyAlignment="1">
      <alignment horizontal="center"/>
    </xf>
    <xf numFmtId="1" fontId="4" fillId="8" borderId="4" xfId="0" applyNumberFormat="1" applyFont="1" applyFill="1" applyBorder="1" applyAlignment="1">
      <alignment horizontal="center" wrapText="1"/>
    </xf>
    <xf numFmtId="3" fontId="4" fillId="8" borderId="0" xfId="0" applyNumberFormat="1" applyFont="1" applyFill="1" applyAlignment="1">
      <alignment horizontal="center" wrapText="1"/>
    </xf>
    <xf numFmtId="3" fontId="4" fillId="8" borderId="4" xfId="0" applyNumberFormat="1" applyFont="1" applyFill="1" applyBorder="1" applyAlignment="1">
      <alignment horizontal="center" wrapText="1"/>
    </xf>
    <xf numFmtId="0" fontId="4" fillId="7" borderId="5" xfId="0" applyFont="1" applyFill="1" applyBorder="1" applyAlignment="1">
      <alignment horizontal="center"/>
    </xf>
    <xf numFmtId="0" fontId="4" fillId="7" borderId="54" xfId="0" applyFont="1" applyFill="1" applyBorder="1" applyAlignment="1">
      <alignment horizontal="center"/>
    </xf>
    <xf numFmtId="0" fontId="4" fillId="0" borderId="1" xfId="0" applyFont="1" applyBorder="1" applyAlignment="1">
      <alignment horizontal="left" vertical="top" wrapText="1"/>
    </xf>
    <xf numFmtId="0" fontId="4" fillId="0" borderId="0" xfId="0" applyFont="1" applyAlignment="1">
      <alignment horizontal="left" vertical="top" wrapText="1"/>
    </xf>
    <xf numFmtId="0" fontId="4" fillId="0" borderId="1" xfId="0" applyFont="1" applyBorder="1" applyAlignment="1">
      <alignment horizontal="left" wrapText="1"/>
    </xf>
    <xf numFmtId="0" fontId="4" fillId="0" borderId="0" xfId="0" applyFont="1" applyAlignment="1">
      <alignment horizontal="left" wrapText="1"/>
    </xf>
    <xf numFmtId="0" fontId="4" fillId="7" borderId="0" xfId="0" applyFont="1" applyFill="1" applyAlignment="1">
      <alignment horizontal="center"/>
    </xf>
    <xf numFmtId="165" fontId="4" fillId="8" borderId="4" xfId="0" applyNumberFormat="1" applyFont="1" applyFill="1" applyBorder="1" applyAlignment="1">
      <alignment horizontal="center" vertical="top" wrapText="1"/>
    </xf>
    <xf numFmtId="165" fontId="4" fillId="8" borderId="0" xfId="0" applyNumberFormat="1" applyFont="1" applyFill="1" applyAlignment="1">
      <alignment horizontal="center" vertical="top" wrapText="1"/>
    </xf>
    <xf numFmtId="165" fontId="4" fillId="8" borderId="4" xfId="0" applyNumberFormat="1" applyFont="1" applyFill="1" applyBorder="1" applyAlignment="1">
      <alignment horizontal="center" wrapText="1"/>
    </xf>
    <xf numFmtId="165" fontId="4" fillId="8" borderId="0" xfId="0" applyNumberFormat="1" applyFont="1" applyFill="1" applyAlignment="1">
      <alignment horizontal="center" wrapText="1"/>
    </xf>
    <xf numFmtId="1" fontId="4" fillId="0" borderId="5" xfId="0" applyNumberFormat="1" applyFont="1" applyBorder="1" applyAlignment="1">
      <alignment horizontal="center" vertical="center"/>
    </xf>
    <xf numFmtId="1" fontId="4" fillId="7" borderId="5" xfId="0" applyNumberFormat="1" applyFont="1" applyFill="1" applyBorder="1" applyAlignment="1">
      <alignment horizontal="center" vertical="center"/>
    </xf>
    <xf numFmtId="1" fontId="4" fillId="7" borderId="54" xfId="0" applyNumberFormat="1" applyFont="1" applyFill="1" applyBorder="1" applyAlignment="1">
      <alignment horizontal="center" vertical="center"/>
    </xf>
    <xf numFmtId="1" fontId="27" fillId="8" borderId="0" xfId="0" applyNumberFormat="1" applyFont="1" applyFill="1" applyAlignment="1">
      <alignment horizontal="center" vertical="center"/>
    </xf>
    <xf numFmtId="3" fontId="4" fillId="9" borderId="5" xfId="0" applyNumberFormat="1" applyFont="1" applyFill="1" applyBorder="1" applyAlignment="1">
      <alignment horizontal="center"/>
    </xf>
    <xf numFmtId="165" fontId="4" fillId="7" borderId="53" xfId="0" applyNumberFormat="1" applyFont="1" applyFill="1" applyBorder="1" applyAlignment="1">
      <alignment horizontal="center"/>
    </xf>
    <xf numFmtId="165" fontId="4" fillId="7" borderId="54" xfId="0" applyNumberFormat="1" applyFont="1" applyFill="1" applyBorder="1" applyAlignment="1">
      <alignment horizontal="center"/>
    </xf>
    <xf numFmtId="165" fontId="4" fillId="7" borderId="1" xfId="0" applyNumberFormat="1" applyFont="1" applyFill="1" applyBorder="1" applyAlignment="1">
      <alignment horizontal="center"/>
    </xf>
    <xf numFmtId="3" fontId="27" fillId="7" borderId="1" xfId="0" applyNumberFormat="1" applyFont="1" applyFill="1" applyBorder="1" applyAlignment="1">
      <alignment horizontal="center"/>
    </xf>
    <xf numFmtId="3" fontId="4" fillId="7" borderId="2" xfId="0" applyNumberFormat="1" applyFont="1" applyFill="1" applyBorder="1" applyAlignment="1">
      <alignment horizontal="center"/>
    </xf>
    <xf numFmtId="165" fontId="4" fillId="8" borderId="0" xfId="0" applyNumberFormat="1" applyFont="1" applyFill="1" applyAlignment="1">
      <alignment horizontal="center"/>
    </xf>
    <xf numFmtId="165" fontId="4" fillId="8" borderId="4" xfId="0" applyNumberFormat="1" applyFont="1" applyFill="1" applyBorder="1" applyAlignment="1">
      <alignment horizontal="center"/>
    </xf>
    <xf numFmtId="168" fontId="15" fillId="0" borderId="0" xfId="0" applyNumberFormat="1" applyFont="1" applyAlignment="1">
      <alignment horizontal="center"/>
    </xf>
    <xf numFmtId="0" fontId="2" fillId="0" borderId="0" xfId="0" applyFont="1" applyAlignment="1">
      <alignment horizontal="center"/>
    </xf>
    <xf numFmtId="49" fontId="1" fillId="0" borderId="0" xfId="0" applyNumberFormat="1" applyFont="1" applyAlignment="1">
      <alignment horizontal="left" wrapText="1" indent="1"/>
    </xf>
    <xf numFmtId="168" fontId="1" fillId="0" borderId="0" xfId="0" applyNumberFormat="1" applyFont="1" applyAlignment="1">
      <alignment horizontal="left" wrapText="1" indent="1"/>
    </xf>
    <xf numFmtId="0" fontId="16" fillId="0" borderId="0" xfId="0" applyFont="1" applyAlignment="1">
      <alignment horizontal="left" indent="1"/>
    </xf>
    <xf numFmtId="0" fontId="1" fillId="9" borderId="0" xfId="0" applyFont="1" applyFill="1" applyAlignment="1">
      <alignment horizontal="center"/>
    </xf>
    <xf numFmtId="0" fontId="1" fillId="0" borderId="0" xfId="0" applyFont="1"/>
    <xf numFmtId="0" fontId="4" fillId="9" borderId="1" xfId="0" applyFont="1" applyFill="1" applyBorder="1" applyAlignment="1">
      <alignment horizontal="center"/>
    </xf>
    <xf numFmtId="0" fontId="4" fillId="9" borderId="0" xfId="0" applyFont="1" applyFill="1" applyAlignment="1">
      <alignment horizontal="center"/>
    </xf>
    <xf numFmtId="0" fontId="4" fillId="9" borderId="4" xfId="0" applyFont="1" applyFill="1" applyBorder="1" applyAlignment="1">
      <alignment horizontal="center"/>
    </xf>
    <xf numFmtId="0" fontId="4" fillId="0" borderId="1" xfId="0" applyFont="1" applyBorder="1" applyAlignment="1">
      <alignment horizontal="left" vertical="top" wrapText="1"/>
    </xf>
    <xf numFmtId="0" fontId="4" fillId="0" borderId="0" xfId="0" applyFont="1" applyAlignment="1">
      <alignment horizontal="left" vertical="top" wrapText="1"/>
    </xf>
    <xf numFmtId="0" fontId="12" fillId="9" borderId="5" xfId="0" applyFont="1" applyFill="1" applyBorder="1" applyAlignment="1">
      <alignment horizontal="center"/>
    </xf>
    <xf numFmtId="0" fontId="4" fillId="0" borderId="1" xfId="0" applyFont="1" applyBorder="1" applyAlignment="1">
      <alignment horizontal="left" wrapText="1"/>
    </xf>
    <xf numFmtId="0" fontId="4" fillId="0" borderId="7" xfId="0" applyFont="1" applyBorder="1" applyAlignment="1">
      <alignment horizontal="left" vertical="top" wrapText="1"/>
    </xf>
    <xf numFmtId="0" fontId="4" fillId="7" borderId="0" xfId="0" applyFont="1" applyFill="1" applyAlignment="1">
      <alignment horizontal="center"/>
    </xf>
    <xf numFmtId="165" fontId="4" fillId="0" borderId="54" xfId="0" applyNumberFormat="1" applyFont="1" applyBorder="1" applyAlignment="1">
      <alignment horizontal="center"/>
    </xf>
    <xf numFmtId="0" fontId="4" fillId="0" borderId="3" xfId="0" applyFont="1" applyBorder="1" applyAlignment="1">
      <alignment horizontal="center" wrapText="1"/>
    </xf>
    <xf numFmtId="0" fontId="4" fillId="0" borderId="36" xfId="0" applyFont="1" applyBorder="1" applyAlignment="1">
      <alignment horizontal="center" wrapText="1"/>
    </xf>
    <xf numFmtId="165" fontId="4" fillId="0" borderId="36" xfId="0" applyNumberFormat="1" applyFont="1" applyBorder="1" applyAlignment="1">
      <alignment horizontal="center" wrapText="1"/>
    </xf>
    <xf numFmtId="165" fontId="4" fillId="0" borderId="54" xfId="0" applyNumberFormat="1" applyFont="1" applyBorder="1" applyAlignment="1">
      <alignment horizontal="center" wrapText="1"/>
    </xf>
    <xf numFmtId="165" fontId="4" fillId="7" borderId="54" xfId="0" applyNumberFormat="1" applyFont="1" applyFill="1" applyBorder="1" applyAlignment="1">
      <alignment horizontal="center" wrapText="1"/>
    </xf>
    <xf numFmtId="0" fontId="4" fillId="0" borderId="0" xfId="0" applyFont="1" applyBorder="1" applyAlignment="1">
      <alignment horizontal="left" vertical="top" wrapText="1" indent="2"/>
    </xf>
    <xf numFmtId="3" fontId="4" fillId="0" borderId="0" xfId="0" applyNumberFormat="1" applyFont="1" applyBorder="1" applyAlignment="1">
      <alignment horizontal="center" vertical="top" wrapText="1"/>
    </xf>
    <xf numFmtId="3" fontId="4" fillId="9" borderId="0" xfId="0" applyNumberFormat="1" applyFont="1" applyFill="1" applyBorder="1" applyAlignment="1">
      <alignment horizontal="center" vertical="top" wrapText="1"/>
    </xf>
    <xf numFmtId="3" fontId="4" fillId="7" borderId="0" xfId="0" applyNumberFormat="1" applyFont="1" applyFill="1" applyBorder="1" applyAlignment="1">
      <alignment horizontal="center"/>
    </xf>
    <xf numFmtId="0" fontId="4" fillId="0" borderId="53" xfId="0" applyFont="1" applyBorder="1" applyAlignment="1">
      <alignment horizontal="left"/>
    </xf>
    <xf numFmtId="0" fontId="4" fillId="0" borderId="1" xfId="0" applyFont="1" applyBorder="1" applyAlignment="1">
      <alignment horizontal="left" vertical="top" indent="2"/>
    </xf>
    <xf numFmtId="0" fontId="12" fillId="0" borderId="1" xfId="0" applyFont="1" applyBorder="1" applyAlignment="1">
      <alignment horizontal="left" vertical="top" indent="2"/>
    </xf>
    <xf numFmtId="0" fontId="4" fillId="0" borderId="2" xfId="0" applyFont="1" applyBorder="1" applyAlignment="1">
      <alignment horizontal="left" vertical="top" indent="2"/>
    </xf>
    <xf numFmtId="165" fontId="0" fillId="0" borderId="0" xfId="0" applyNumberFormat="1"/>
    <xf numFmtId="1" fontId="12" fillId="0" borderId="0" xfId="0" applyNumberFormat="1" applyFont="1"/>
    <xf numFmtId="3" fontId="12" fillId="0" borderId="0" xfId="0" applyNumberFormat="1" applyFont="1"/>
    <xf numFmtId="3" fontId="0" fillId="0" borderId="0" xfId="0" applyNumberFormat="1"/>
    <xf numFmtId="1" fontId="0" fillId="0" borderId="0" xfId="0" applyNumberFormat="1"/>
    <xf numFmtId="168" fontId="0" fillId="0" borderId="0" xfId="0" applyNumberFormat="1"/>
    <xf numFmtId="1" fontId="0" fillId="8" borderId="0" xfId="0" applyNumberFormat="1" applyFill="1"/>
    <xf numFmtId="1" fontId="4" fillId="8" borderId="6" xfId="0" applyNumberFormat="1" applyFont="1" applyFill="1" applyBorder="1" applyAlignment="1">
      <alignment horizontal="center" wrapText="1"/>
    </xf>
    <xf numFmtId="3" fontId="27" fillId="8" borderId="0" xfId="0" applyNumberFormat="1" applyFont="1" applyFill="1" applyAlignment="1">
      <alignment horizontal="center"/>
    </xf>
    <xf numFmtId="0" fontId="0" fillId="0" borderId="0" xfId="0" applyFill="1"/>
    <xf numFmtId="0" fontId="14" fillId="0" borderId="0" xfId="0" applyFont="1" applyFill="1"/>
    <xf numFmtId="0" fontId="4" fillId="0" borderId="0" xfId="0" applyFont="1" applyFill="1"/>
    <xf numFmtId="0" fontId="4" fillId="0" borderId="0" xfId="0" applyFont="1" applyFill="1" applyAlignment="1">
      <alignment horizontal="center"/>
    </xf>
    <xf numFmtId="168" fontId="4" fillId="0" borderId="0" xfId="0" applyNumberFormat="1" applyFont="1" applyFill="1"/>
    <xf numFmtId="0" fontId="4" fillId="7" borderId="55" xfId="0" applyFont="1" applyFill="1" applyBorder="1" applyAlignment="1">
      <alignment horizontal="center"/>
    </xf>
    <xf numFmtId="0" fontId="4" fillId="0" borderId="56" xfId="0" applyFont="1" applyBorder="1"/>
    <xf numFmtId="168" fontId="4" fillId="7" borderId="57" xfId="0" applyNumberFormat="1" applyFont="1" applyFill="1" applyBorder="1"/>
    <xf numFmtId="168" fontId="4" fillId="7" borderId="58" xfId="0" applyNumberFormat="1" applyFont="1" applyFill="1" applyBorder="1"/>
    <xf numFmtId="0" fontId="4" fillId="0" borderId="57" xfId="0" applyFont="1" applyBorder="1"/>
    <xf numFmtId="0" fontId="4" fillId="0" borderId="0" xfId="0" applyFont="1" applyFill="1" applyBorder="1" applyAlignment="1">
      <alignment horizontal="center"/>
    </xf>
    <xf numFmtId="0" fontId="4" fillId="0" borderId="0" xfId="0" applyFont="1" applyFill="1" applyBorder="1"/>
    <xf numFmtId="165" fontId="4" fillId="0" borderId="0" xfId="0" applyNumberFormat="1" applyFont="1" applyFill="1" applyBorder="1" applyAlignment="1">
      <alignment horizontal="center"/>
    </xf>
    <xf numFmtId="3" fontId="4" fillId="0" borderId="0" xfId="0" applyNumberFormat="1" applyFont="1" applyFill="1" applyBorder="1" applyAlignment="1">
      <alignment horizontal="center"/>
    </xf>
    <xf numFmtId="0" fontId="4" fillId="0" borderId="0" xfId="0" applyFont="1" applyFill="1" applyBorder="1" applyAlignment="1">
      <alignment horizontal="center" wrapText="1"/>
    </xf>
    <xf numFmtId="165" fontId="27" fillId="0" borderId="0" xfId="0" applyNumberFormat="1" applyFont="1" applyFill="1" applyBorder="1" applyAlignment="1">
      <alignment horizontal="center"/>
    </xf>
    <xf numFmtId="3" fontId="27" fillId="0" borderId="0" xfId="0" applyNumberFormat="1" applyFont="1" applyFill="1" applyBorder="1" applyAlignment="1">
      <alignment horizontal="center"/>
    </xf>
    <xf numFmtId="4" fontId="4" fillId="0" borderId="0" xfId="0" applyNumberFormat="1" applyFont="1" applyFill="1" applyBorder="1" applyAlignment="1">
      <alignment horizontal="center"/>
    </xf>
    <xf numFmtId="168" fontId="4" fillId="0" borderId="0" xfId="0" applyNumberFormat="1" applyFont="1" applyFill="1" applyBorder="1" applyAlignment="1">
      <alignment horizontal="center"/>
    </xf>
    <xf numFmtId="0" fontId="12" fillId="0" borderId="0" xfId="0" applyFont="1" applyFill="1" applyBorder="1" applyAlignment="1"/>
    <xf numFmtId="0" fontId="4" fillId="0" borderId="0" xfId="0" applyFont="1" applyFill="1" applyBorder="1" applyAlignment="1"/>
    <xf numFmtId="168" fontId="4" fillId="8" borderId="38" xfId="0" applyNumberFormat="1" applyFont="1" applyFill="1" applyBorder="1"/>
    <xf numFmtId="168" fontId="4" fillId="8" borderId="6" xfId="0" applyNumberFormat="1" applyFont="1" applyFill="1" applyBorder="1" applyAlignment="1">
      <alignment horizontal="center"/>
    </xf>
    <xf numFmtId="0" fontId="12" fillId="9" borderId="3" xfId="0" applyFont="1" applyFill="1" applyBorder="1" applyAlignment="1">
      <alignment horizontal="centerContinuous" vertical="center"/>
    </xf>
    <xf numFmtId="0" fontId="12" fillId="9" borderId="6" xfId="0" applyFont="1" applyFill="1" applyBorder="1" applyAlignment="1">
      <alignment horizontal="centerContinuous" vertical="center"/>
    </xf>
    <xf numFmtId="0" fontId="12" fillId="9" borderId="1" xfId="0" applyFont="1" applyFill="1" applyBorder="1" applyAlignment="1">
      <alignment horizontal="centerContinuous" vertical="center"/>
    </xf>
    <xf numFmtId="0" fontId="12" fillId="9" borderId="0" xfId="0" applyFont="1" applyFill="1" applyAlignment="1">
      <alignment horizontal="centerContinuous" vertical="center"/>
    </xf>
    <xf numFmtId="0" fontId="12" fillId="9" borderId="9" xfId="0" applyFont="1" applyFill="1" applyBorder="1" applyAlignment="1">
      <alignment horizontal="centerContinuous"/>
    </xf>
    <xf numFmtId="0" fontId="12" fillId="9" borderId="10" xfId="0" applyFont="1" applyFill="1" applyBorder="1" applyAlignment="1">
      <alignment horizontal="centerContinuous"/>
    </xf>
    <xf numFmtId="0" fontId="12" fillId="9" borderId="36" xfId="0" applyFont="1" applyFill="1" applyBorder="1" applyAlignment="1">
      <alignment horizontal="centerContinuous"/>
    </xf>
    <xf numFmtId="168" fontId="4" fillId="0" borderId="0" xfId="0" applyNumberFormat="1" applyFont="1" applyFill="1" applyAlignment="1">
      <alignment horizontal="center"/>
    </xf>
    <xf numFmtId="0" fontId="4" fillId="0" borderId="0" xfId="0" applyFont="1" applyBorder="1" applyAlignment="1">
      <alignment wrapText="1"/>
    </xf>
    <xf numFmtId="0" fontId="4" fillId="0" borderId="0" xfId="0" applyFont="1" applyBorder="1"/>
    <xf numFmtId="168" fontId="4" fillId="0" borderId="0" xfId="0" applyNumberFormat="1" applyFont="1" applyBorder="1"/>
    <xf numFmtId="168" fontId="4" fillId="7" borderId="0" xfId="0" applyNumberFormat="1" applyFont="1" applyFill="1" applyBorder="1"/>
    <xf numFmtId="168" fontId="4" fillId="9" borderId="5" xfId="0" applyNumberFormat="1" applyFont="1" applyFill="1" applyBorder="1" applyAlignment="1">
      <alignment horizontal="center"/>
    </xf>
    <xf numFmtId="168" fontId="4" fillId="9" borderId="54" xfId="0" applyNumberFormat="1" applyFont="1" applyFill="1" applyBorder="1" applyAlignment="1">
      <alignment horizontal="center"/>
    </xf>
    <xf numFmtId="0" fontId="4" fillId="7" borderId="54" xfId="0" applyFont="1" applyFill="1" applyBorder="1"/>
    <xf numFmtId="168" fontId="0" fillId="8" borderId="0" xfId="0" applyNumberFormat="1" applyFill="1"/>
    <xf numFmtId="168" fontId="0" fillId="0" borderId="0" xfId="0" applyNumberFormat="1" applyFill="1"/>
    <xf numFmtId="168" fontId="4" fillId="13" borderId="53" xfId="0" applyNumberFormat="1" applyFont="1" applyFill="1" applyBorder="1" applyAlignment="1">
      <alignment horizontal="right" vertical="top" wrapText="1"/>
    </xf>
    <xf numFmtId="168" fontId="4" fillId="13" borderId="5" xfId="0" applyNumberFormat="1" applyFont="1" applyFill="1" applyBorder="1" applyAlignment="1">
      <alignment horizontal="right" vertical="top" wrapText="1"/>
    </xf>
    <xf numFmtId="168" fontId="4" fillId="13" borderId="54" xfId="0" applyNumberFormat="1" applyFont="1" applyFill="1" applyBorder="1" applyAlignment="1">
      <alignment horizontal="right" vertical="top" wrapText="1"/>
    </xf>
    <xf numFmtId="1" fontId="4" fillId="0" borderId="22" xfId="0" applyNumberFormat="1" applyFont="1" applyFill="1" applyBorder="1" applyAlignment="1">
      <alignment horizontal="center" vertical="top" wrapText="1"/>
    </xf>
    <xf numFmtId="168" fontId="4" fillId="0" borderId="0" xfId="0" applyNumberFormat="1" applyFont="1" applyFill="1" applyAlignment="1">
      <alignment horizontal="center" vertical="top" wrapText="1"/>
    </xf>
    <xf numFmtId="0" fontId="1" fillId="0" borderId="0" xfId="0" applyFont="1" applyFill="1"/>
    <xf numFmtId="0" fontId="4" fillId="0" borderId="0" xfId="0" applyFont="1" applyAlignment="1">
      <alignment vertical="top"/>
    </xf>
    <xf numFmtId="0" fontId="4" fillId="9" borderId="54" xfId="0" applyFont="1" applyFill="1" applyBorder="1"/>
    <xf numFmtId="0" fontId="4" fillId="9" borderId="0" xfId="0" applyFont="1" applyFill="1" applyBorder="1" applyAlignment="1">
      <alignment horizontal="center"/>
    </xf>
    <xf numFmtId="0" fontId="4" fillId="0" borderId="53" xfId="0" applyFont="1" applyBorder="1" applyAlignment="1">
      <alignment horizontal="center"/>
    </xf>
    <xf numFmtId="0" fontId="4" fillId="0" borderId="0" xfId="0" applyFont="1" applyBorder="1" applyAlignment="1">
      <alignment horizontal="left" vertical="top"/>
    </xf>
    <xf numFmtId="0" fontId="4" fillId="0" borderId="0" xfId="0" applyFont="1" applyBorder="1" applyAlignment="1">
      <alignment horizontal="center"/>
    </xf>
    <xf numFmtId="165" fontId="4" fillId="0" borderId="0" xfId="0" applyNumberFormat="1" applyFont="1" applyBorder="1" applyAlignment="1">
      <alignment horizontal="center"/>
    </xf>
    <xf numFmtId="3" fontId="4" fillId="0" borderId="0" xfId="0" applyNumberFormat="1" applyFont="1" applyBorder="1" applyAlignment="1">
      <alignment horizontal="center"/>
    </xf>
    <xf numFmtId="3" fontId="4" fillId="9" borderId="0" xfId="0" applyNumberFormat="1" applyFont="1" applyFill="1" applyBorder="1" applyAlignment="1">
      <alignment horizontal="center"/>
    </xf>
    <xf numFmtId="0" fontId="4" fillId="0" borderId="0" xfId="0" applyFont="1" applyBorder="1" applyAlignment="1">
      <alignment horizontal="left" vertical="top" wrapText="1"/>
    </xf>
    <xf numFmtId="0" fontId="4" fillId="0" borderId="0" xfId="0" applyFont="1" applyBorder="1" applyAlignment="1">
      <alignment horizontal="center" wrapText="1"/>
    </xf>
    <xf numFmtId="0" fontId="4" fillId="9" borderId="0" xfId="0" applyFont="1" applyFill="1" applyBorder="1" applyAlignment="1">
      <alignment horizontal="center" wrapText="1"/>
    </xf>
    <xf numFmtId="0" fontId="27" fillId="0" borderId="0" xfId="0" applyFont="1" applyBorder="1" applyAlignment="1">
      <alignment horizontal="left" wrapText="1"/>
    </xf>
    <xf numFmtId="165" fontId="27" fillId="0" borderId="0" xfId="0" applyNumberFormat="1" applyFont="1" applyBorder="1" applyAlignment="1">
      <alignment horizontal="center"/>
    </xf>
    <xf numFmtId="3" fontId="27" fillId="0" borderId="0" xfId="0" applyNumberFormat="1" applyFont="1" applyBorder="1" applyAlignment="1">
      <alignment horizontal="center"/>
    </xf>
    <xf numFmtId="3" fontId="27" fillId="9" borderId="0" xfId="0" applyNumberFormat="1" applyFont="1" applyFill="1" applyBorder="1" applyAlignment="1">
      <alignment horizontal="center"/>
    </xf>
    <xf numFmtId="0" fontId="4" fillId="0" borderId="0" xfId="0" applyFont="1" applyBorder="1" applyAlignment="1">
      <alignment horizontal="left" wrapText="1"/>
    </xf>
    <xf numFmtId="2" fontId="14" fillId="3" borderId="1" xfId="0" applyNumberFormat="1" applyFont="1" applyFill="1" applyBorder="1"/>
    <xf numFmtId="0" fontId="4" fillId="3" borderId="0" xfId="0" applyFont="1" applyFill="1" applyBorder="1"/>
    <xf numFmtId="0" fontId="4" fillId="3" borderId="0" xfId="0" applyFont="1" applyFill="1" applyBorder="1" applyAlignment="1">
      <alignment horizontal="center"/>
    </xf>
    <xf numFmtId="0" fontId="4" fillId="3" borderId="4" xfId="0" applyFont="1" applyFill="1" applyBorder="1" applyAlignment="1">
      <alignment horizontal="center"/>
    </xf>
    <xf numFmtId="0" fontId="14" fillId="3" borderId="2" xfId="0" applyFont="1" applyFill="1" applyBorder="1"/>
    <xf numFmtId="0" fontId="4" fillId="3" borderId="7" xfId="0" applyFont="1" applyFill="1" applyBorder="1"/>
    <xf numFmtId="0" fontId="4" fillId="3" borderId="7" xfId="0" applyFont="1" applyFill="1" applyBorder="1" applyAlignment="1">
      <alignment horizontal="center"/>
    </xf>
    <xf numFmtId="0" fontId="4" fillId="3" borderId="8" xfId="0" applyFont="1" applyFill="1" applyBorder="1" applyAlignment="1">
      <alignment horizontal="center"/>
    </xf>
    <xf numFmtId="0" fontId="4" fillId="9" borderId="54" xfId="0" applyFont="1" applyFill="1" applyBorder="1" applyAlignment="1"/>
    <xf numFmtId="0" fontId="4" fillId="7" borderId="5" xfId="0" applyFont="1" applyFill="1" applyBorder="1" applyAlignment="1"/>
    <xf numFmtId="0" fontId="4" fillId="7" borderId="54" xfId="0" applyFont="1" applyFill="1" applyBorder="1" applyAlignment="1"/>
    <xf numFmtId="0" fontId="12" fillId="9" borderId="42" xfId="0" applyFont="1" applyFill="1" applyBorder="1" applyAlignment="1"/>
    <xf numFmtId="0" fontId="12" fillId="9" borderId="43" xfId="0" applyFont="1" applyFill="1" applyBorder="1" applyAlignment="1"/>
    <xf numFmtId="0" fontId="12" fillId="7" borderId="42" xfId="0" applyFont="1" applyFill="1" applyBorder="1" applyAlignment="1"/>
    <xf numFmtId="0" fontId="12" fillId="7" borderId="43" xfId="0" applyFont="1" applyFill="1" applyBorder="1" applyAlignment="1"/>
    <xf numFmtId="0" fontId="4" fillId="9" borderId="0" xfId="0" applyFont="1" applyFill="1" applyBorder="1"/>
    <xf numFmtId="4" fontId="4" fillId="0" borderId="0" xfId="0" applyNumberFormat="1" applyFont="1" applyBorder="1" applyAlignment="1">
      <alignment horizontal="center"/>
    </xf>
    <xf numFmtId="165" fontId="4" fillId="9" borderId="0" xfId="0" applyNumberFormat="1" applyFont="1" applyFill="1" applyBorder="1" applyAlignment="1">
      <alignment horizontal="center"/>
    </xf>
    <xf numFmtId="168" fontId="4" fillId="0" borderId="4" xfId="0" applyNumberFormat="1" applyFont="1" applyBorder="1"/>
    <xf numFmtId="0" fontId="4" fillId="7" borderId="6" xfId="0" applyFont="1" applyFill="1" applyBorder="1" applyAlignment="1"/>
    <xf numFmtId="10" fontId="4" fillId="15" borderId="5" xfId="0" applyNumberFormat="1" applyFont="1" applyFill="1" applyBorder="1"/>
    <xf numFmtId="10" fontId="4" fillId="15" borderId="3" xfId="0" applyNumberFormat="1" applyFont="1" applyFill="1" applyBorder="1"/>
    <xf numFmtId="10" fontId="4" fillId="15" borderId="5" xfId="0" applyNumberFormat="1" applyFont="1" applyFill="1" applyBorder="1" applyAlignment="1">
      <alignment horizontal="center"/>
    </xf>
    <xf numFmtId="10" fontId="1" fillId="15" borderId="5" xfId="0" applyNumberFormat="1" applyFont="1" applyFill="1" applyBorder="1" applyAlignment="1">
      <alignment horizontal="center"/>
    </xf>
    <xf numFmtId="10" fontId="1" fillId="15" borderId="6" xfId="0" applyNumberFormat="1" applyFont="1" applyFill="1" applyBorder="1" applyAlignment="1">
      <alignment horizontal="center"/>
    </xf>
    <xf numFmtId="10" fontId="1" fillId="15" borderId="0" xfId="0" applyNumberFormat="1" applyFont="1" applyFill="1" applyAlignment="1">
      <alignment horizontal="center"/>
    </xf>
    <xf numFmtId="10" fontId="1" fillId="15" borderId="4" xfId="0" applyNumberFormat="1" applyFont="1" applyFill="1" applyBorder="1" applyAlignment="1">
      <alignment horizontal="center"/>
    </xf>
    <xf numFmtId="0" fontId="27" fillId="15" borderId="0" xfId="0" applyFont="1" applyFill="1"/>
    <xf numFmtId="0" fontId="27" fillId="15" borderId="1" xfId="0" applyFont="1" applyFill="1" applyBorder="1"/>
    <xf numFmtId="0" fontId="27" fillId="15" borderId="0" xfId="0" applyFont="1" applyFill="1" applyAlignment="1">
      <alignment horizontal="center"/>
    </xf>
    <xf numFmtId="0" fontId="1" fillId="15" borderId="0" xfId="0" applyFont="1" applyFill="1" applyAlignment="1">
      <alignment horizontal="center"/>
    </xf>
    <xf numFmtId="0" fontId="1" fillId="15" borderId="4" xfId="0" applyFont="1" applyFill="1" applyBorder="1" applyAlignment="1">
      <alignment horizontal="center"/>
    </xf>
    <xf numFmtId="0" fontId="27" fillId="15" borderId="7" xfId="0" applyFont="1" applyFill="1" applyBorder="1"/>
    <xf numFmtId="0" fontId="27" fillId="15" borderId="2" xfId="0" applyFont="1" applyFill="1" applyBorder="1"/>
    <xf numFmtId="0" fontId="27" fillId="15" borderId="7" xfId="0" applyFont="1" applyFill="1" applyBorder="1" applyAlignment="1">
      <alignment horizontal="center"/>
    </xf>
    <xf numFmtId="0" fontId="1" fillId="15" borderId="7" xfId="0" applyFont="1" applyFill="1" applyBorder="1" applyAlignment="1">
      <alignment horizontal="center"/>
    </xf>
    <xf numFmtId="0" fontId="1" fillId="15" borderId="8" xfId="0" applyFont="1" applyFill="1" applyBorder="1" applyAlignment="1">
      <alignment horizontal="center"/>
    </xf>
    <xf numFmtId="1" fontId="1" fillId="15" borderId="7" xfId="0" applyNumberFormat="1" applyFont="1" applyFill="1" applyBorder="1" applyAlignment="1">
      <alignment horizontal="center"/>
    </xf>
    <xf numFmtId="0" fontId="4" fillId="0" borderId="0" xfId="0" applyFont="1" applyBorder="1" applyAlignment="1">
      <alignment horizontal="left"/>
    </xf>
    <xf numFmtId="0" fontId="27" fillId="0" borderId="0" xfId="0" applyFont="1" applyBorder="1"/>
    <xf numFmtId="0" fontId="4" fillId="0" borderId="0" xfId="0" applyFont="1" applyBorder="1" applyAlignment="1">
      <alignment horizontal="left" wrapText="1" indent="1"/>
    </xf>
    <xf numFmtId="0" fontId="12" fillId="0" borderId="0" xfId="0" applyFont="1" applyBorder="1" applyAlignment="1">
      <alignment horizontal="left" wrapText="1"/>
    </xf>
    <xf numFmtId="0" fontId="0" fillId="0" borderId="0" xfId="0" applyBorder="1"/>
    <xf numFmtId="0" fontId="4" fillId="0" borderId="0" xfId="0" applyFont="1" applyBorder="1" applyAlignment="1">
      <alignment horizontal="right"/>
    </xf>
    <xf numFmtId="167" fontId="4" fillId="0" borderId="0" xfId="0" applyNumberFormat="1" applyFont="1" applyFill="1" applyAlignment="1">
      <alignment horizontal="center"/>
    </xf>
    <xf numFmtId="167" fontId="4" fillId="0" borderId="4" xfId="0" applyNumberFormat="1" applyFont="1" applyFill="1" applyBorder="1" applyAlignment="1">
      <alignment horizontal="center"/>
    </xf>
    <xf numFmtId="0" fontId="4" fillId="0" borderId="4" xfId="0" applyFont="1" applyFill="1" applyBorder="1" applyAlignment="1">
      <alignment horizontal="center"/>
    </xf>
    <xf numFmtId="0" fontId="4" fillId="0" borderId="5" xfId="0" applyFont="1" applyFill="1" applyBorder="1" applyAlignment="1">
      <alignment horizontal="center"/>
    </xf>
    <xf numFmtId="0" fontId="4" fillId="0" borderId="6" xfId="0" applyFont="1" applyFill="1" applyBorder="1" applyAlignment="1">
      <alignment horizontal="center"/>
    </xf>
    <xf numFmtId="169" fontId="4" fillId="0" borderId="0" xfId="0" applyNumberFormat="1" applyFont="1" applyFill="1" applyAlignment="1">
      <alignment horizontal="center"/>
    </xf>
    <xf numFmtId="1" fontId="4" fillId="0" borderId="0" xfId="0" applyNumberFormat="1" applyFont="1" applyFill="1" applyAlignment="1">
      <alignment horizontal="center"/>
    </xf>
    <xf numFmtId="0" fontId="39" fillId="0" borderId="53" xfId="0" applyFont="1" applyBorder="1" applyAlignment="1">
      <alignment horizontal="left"/>
    </xf>
    <xf numFmtId="0" fontId="12" fillId="9" borderId="0" xfId="0" applyFont="1" applyFill="1" applyBorder="1" applyAlignment="1"/>
    <xf numFmtId="0" fontId="4" fillId="7" borderId="0" xfId="0" applyFont="1" applyFill="1" applyBorder="1" applyAlignment="1">
      <alignment horizontal="center"/>
    </xf>
    <xf numFmtId="165" fontId="4" fillId="7" borderId="0" xfId="0" applyNumberFormat="1" applyFont="1" applyFill="1" applyBorder="1" applyAlignment="1">
      <alignment horizontal="center"/>
    </xf>
    <xf numFmtId="165" fontId="27" fillId="7" borderId="0" xfId="0" applyNumberFormat="1" applyFont="1" applyFill="1" applyBorder="1" applyAlignment="1">
      <alignment horizontal="center"/>
    </xf>
    <xf numFmtId="168" fontId="4" fillId="7" borderId="4" xfId="0" applyNumberFormat="1" applyFont="1" applyFill="1" applyBorder="1"/>
    <xf numFmtId="1" fontId="4" fillId="9" borderId="5" xfId="0" applyNumberFormat="1" applyFont="1" applyFill="1" applyBorder="1" applyAlignment="1">
      <alignment horizontal="center"/>
    </xf>
    <xf numFmtId="1" fontId="4" fillId="9" borderId="0" xfId="0" applyNumberFormat="1" applyFont="1" applyFill="1" applyBorder="1" applyAlignment="1">
      <alignment horizontal="center" wrapText="1"/>
    </xf>
    <xf numFmtId="3" fontId="4" fillId="0" borderId="0" xfId="0" applyNumberFormat="1" applyFont="1" applyBorder="1" applyAlignment="1">
      <alignment horizontal="center" wrapText="1"/>
    </xf>
    <xf numFmtId="165" fontId="4" fillId="0" borderId="0" xfId="0" applyNumberFormat="1" applyFont="1" applyBorder="1" applyAlignment="1">
      <alignment horizontal="center" wrapText="1"/>
    </xf>
    <xf numFmtId="165" fontId="4" fillId="0" borderId="0" xfId="0" applyNumberFormat="1" applyFont="1" applyBorder="1" applyAlignment="1">
      <alignment horizontal="center" vertical="top" wrapText="1"/>
    </xf>
    <xf numFmtId="165" fontId="12" fillId="0" borderId="0" xfId="0" applyNumberFormat="1" applyFont="1" applyBorder="1" applyAlignment="1">
      <alignment horizontal="center" vertical="top" wrapText="1"/>
    </xf>
    <xf numFmtId="165" fontId="4" fillId="9" borderId="0" xfId="0" applyNumberFormat="1" applyFont="1" applyFill="1" applyBorder="1" applyAlignment="1">
      <alignment horizontal="center" wrapText="1"/>
    </xf>
    <xf numFmtId="165" fontId="27" fillId="0" borderId="5" xfId="0" applyNumberFormat="1" applyFont="1" applyBorder="1" applyAlignment="1">
      <alignment horizontal="center"/>
    </xf>
    <xf numFmtId="165" fontId="27" fillId="2" borderId="54" xfId="0" applyNumberFormat="1" applyFont="1" applyFill="1" applyBorder="1" applyAlignment="1">
      <alignment horizontal="center"/>
    </xf>
    <xf numFmtId="2" fontId="4" fillId="2" borderId="8" xfId="0" applyNumberFormat="1" applyFont="1" applyFill="1" applyBorder="1"/>
    <xf numFmtId="165" fontId="4" fillId="2" borderId="4" xfId="0" applyNumberFormat="1" applyFont="1" applyFill="1" applyBorder="1" applyAlignment="1">
      <alignment horizontal="center" wrapText="1"/>
    </xf>
    <xf numFmtId="3" fontId="4" fillId="0" borderId="0" xfId="0" applyNumberFormat="1" applyFont="1" applyFill="1" applyAlignment="1">
      <alignment horizontal="center"/>
    </xf>
    <xf numFmtId="3" fontId="4" fillId="0" borderId="0" xfId="0" applyNumberFormat="1" applyFont="1" applyFill="1" applyBorder="1" applyAlignment="1">
      <alignment horizontal="center" vertical="top" wrapText="1"/>
    </xf>
    <xf numFmtId="3" fontId="4" fillId="0" borderId="4" xfId="0" applyNumberFormat="1" applyFont="1" applyFill="1" applyBorder="1" applyAlignment="1">
      <alignment horizontal="center" wrapText="1"/>
    </xf>
    <xf numFmtId="0" fontId="4" fillId="0" borderId="1" xfId="0" applyFont="1" applyFill="1" applyBorder="1" applyAlignment="1">
      <alignment horizontal="left" wrapText="1"/>
    </xf>
    <xf numFmtId="0" fontId="4" fillId="0" borderId="3" xfId="0" applyFont="1" applyFill="1" applyBorder="1" applyAlignment="1">
      <alignment horizontal="left" wrapText="1"/>
    </xf>
    <xf numFmtId="165" fontId="4" fillId="0" borderId="4" xfId="0" applyNumberFormat="1" applyFont="1" applyFill="1" applyBorder="1" applyAlignment="1">
      <alignment horizontal="center" wrapText="1"/>
    </xf>
    <xf numFmtId="1" fontId="4" fillId="0" borderId="54" xfId="0" applyNumberFormat="1" applyFont="1" applyBorder="1" applyAlignment="1">
      <alignment horizontal="center" vertical="center"/>
    </xf>
    <xf numFmtId="168" fontId="4" fillId="0" borderId="4" xfId="0" applyNumberFormat="1" applyFont="1" applyBorder="1" applyAlignment="1">
      <alignment horizontal="center" vertical="center"/>
    </xf>
    <xf numFmtId="168" fontId="4" fillId="8" borderId="4" xfId="0" applyNumberFormat="1" applyFont="1" applyFill="1" applyBorder="1" applyAlignment="1">
      <alignment horizontal="center" vertical="center"/>
    </xf>
    <xf numFmtId="3" fontId="4" fillId="9" borderId="8" xfId="0" applyNumberFormat="1" applyFont="1" applyFill="1" applyBorder="1" applyAlignment="1">
      <alignment horizontal="center" vertical="center"/>
    </xf>
    <xf numFmtId="3" fontId="4" fillId="9" borderId="54" xfId="0" applyNumberFormat="1" applyFont="1" applyFill="1" applyBorder="1" applyAlignment="1">
      <alignment horizontal="center"/>
    </xf>
    <xf numFmtId="2" fontId="4" fillId="9" borderId="4" xfId="0" applyNumberFormat="1" applyFont="1" applyFill="1" applyBorder="1" applyAlignment="1">
      <alignment horizontal="center"/>
    </xf>
    <xf numFmtId="0" fontId="4" fillId="9" borderId="13" xfId="0" applyFont="1" applyFill="1" applyBorder="1" applyAlignment="1">
      <alignment horizontal="center"/>
    </xf>
    <xf numFmtId="1" fontId="4" fillId="0" borderId="0" xfId="0" applyNumberFormat="1" applyFont="1" applyBorder="1"/>
    <xf numFmtId="2" fontId="4" fillId="9" borderId="0" xfId="0" applyNumberFormat="1" applyFont="1" applyFill="1" applyBorder="1" applyAlignment="1">
      <alignment horizontal="center"/>
    </xf>
    <xf numFmtId="1" fontId="4" fillId="9" borderId="5" xfId="0" applyNumberFormat="1" applyFont="1" applyFill="1" applyBorder="1" applyAlignment="1">
      <alignment horizontal="center" wrapText="1"/>
    </xf>
    <xf numFmtId="1" fontId="4" fillId="0" borderId="0" xfId="0" applyNumberFormat="1" applyFont="1" applyBorder="1" applyAlignment="1">
      <alignment horizontal="center" wrapText="1"/>
    </xf>
    <xf numFmtId="3" fontId="12" fillId="0" borderId="0" xfId="0" applyNumberFormat="1" applyFont="1" applyBorder="1" applyAlignment="1">
      <alignment horizontal="center" wrapText="1"/>
    </xf>
    <xf numFmtId="168" fontId="4" fillId="0" borderId="0" xfId="0" applyNumberFormat="1" applyFont="1" applyBorder="1" applyAlignment="1">
      <alignment horizontal="center" wrapText="1"/>
    </xf>
    <xf numFmtId="3" fontId="27" fillId="0" borderId="0" xfId="0" applyNumberFormat="1" applyFont="1" applyBorder="1" applyAlignment="1">
      <alignment horizontal="center" wrapText="1"/>
    </xf>
    <xf numFmtId="3" fontId="4" fillId="0" borderId="54" xfId="0" applyNumberFormat="1" applyFont="1" applyBorder="1" applyAlignment="1">
      <alignment horizontal="center" wrapText="1"/>
    </xf>
    <xf numFmtId="3" fontId="4" fillId="0" borderId="54" xfId="0" applyNumberFormat="1" applyFont="1" applyFill="1" applyBorder="1" applyAlignment="1">
      <alignment horizontal="center" wrapText="1"/>
    </xf>
    <xf numFmtId="168" fontId="4" fillId="0" borderId="4" xfId="0" applyNumberFormat="1" applyFont="1" applyFill="1" applyBorder="1" applyAlignment="1">
      <alignment horizontal="center" wrapText="1"/>
    </xf>
    <xf numFmtId="168" fontId="4" fillId="9" borderId="0" xfId="0" applyNumberFormat="1" applyFont="1" applyFill="1" applyBorder="1" applyAlignment="1">
      <alignment horizontal="center"/>
    </xf>
    <xf numFmtId="168" fontId="27" fillId="9" borderId="5" xfId="0" applyNumberFormat="1" applyFont="1" applyFill="1" applyBorder="1" applyAlignment="1">
      <alignment horizontal="center"/>
    </xf>
    <xf numFmtId="168" fontId="27" fillId="9" borderId="0" xfId="0" applyNumberFormat="1" applyFont="1" applyFill="1" applyBorder="1" applyAlignment="1">
      <alignment horizontal="center"/>
    </xf>
    <xf numFmtId="168" fontId="27" fillId="0" borderId="0" xfId="0" applyNumberFormat="1" applyFont="1" applyBorder="1" applyAlignment="1">
      <alignment horizontal="center"/>
    </xf>
    <xf numFmtId="168" fontId="27" fillId="7" borderId="54" xfId="0" applyNumberFormat="1" applyFont="1" applyFill="1" applyBorder="1" applyAlignment="1">
      <alignment horizontal="center"/>
    </xf>
    <xf numFmtId="0" fontId="27" fillId="0" borderId="1" xfId="0" applyFont="1" applyBorder="1" applyAlignment="1">
      <alignment horizontal="left"/>
    </xf>
    <xf numFmtId="168" fontId="27" fillId="9" borderId="54" xfId="0" applyNumberFormat="1" applyFont="1" applyFill="1" applyBorder="1" applyAlignment="1">
      <alignment horizontal="center"/>
    </xf>
    <xf numFmtId="168" fontId="4" fillId="9" borderId="0" xfId="0" applyNumberFormat="1" applyFont="1" applyFill="1" applyBorder="1" applyAlignment="1">
      <alignment horizontal="center" wrapText="1"/>
    </xf>
    <xf numFmtId="168" fontId="4" fillId="0" borderId="0" xfId="0" applyNumberFormat="1" applyFont="1" applyBorder="1" applyAlignment="1">
      <alignment horizontal="center"/>
    </xf>
    <xf numFmtId="0" fontId="27" fillId="0" borderId="0" xfId="0" applyFont="1" applyBorder="1" applyAlignment="1">
      <alignment horizontal="center"/>
    </xf>
    <xf numFmtId="168" fontId="12" fillId="0" borderId="0" xfId="0" applyNumberFormat="1" applyFont="1" applyBorder="1" applyAlignment="1">
      <alignment horizontal="center"/>
    </xf>
    <xf numFmtId="168" fontId="27" fillId="0" borderId="7" xfId="0" applyNumberFormat="1" applyFont="1" applyBorder="1" applyAlignment="1">
      <alignment horizontal="center"/>
    </xf>
    <xf numFmtId="0" fontId="12" fillId="9" borderId="5" xfId="0" applyFont="1" applyFill="1" applyBorder="1" applyAlignment="1">
      <alignment horizontal="centerContinuous"/>
    </xf>
    <xf numFmtId="168" fontId="4" fillId="0" borderId="4" xfId="0" applyNumberFormat="1" applyFont="1" applyFill="1" applyBorder="1" applyAlignment="1">
      <alignment horizontal="center"/>
    </xf>
    <xf numFmtId="168" fontId="27" fillId="0" borderId="4" xfId="0" applyNumberFormat="1" applyFont="1" applyFill="1" applyBorder="1" applyAlignment="1">
      <alignment horizontal="center"/>
    </xf>
    <xf numFmtId="0" fontId="4" fillId="0" borderId="4" xfId="0" applyFont="1" applyFill="1" applyBorder="1" applyAlignment="1">
      <alignment horizontal="center" wrapText="1"/>
    </xf>
    <xf numFmtId="0" fontId="27" fillId="0" borderId="4" xfId="0" applyFont="1" applyFill="1" applyBorder="1" applyAlignment="1">
      <alignment horizontal="center"/>
    </xf>
    <xf numFmtId="168" fontId="12" fillId="0" borderId="4" xfId="0" applyNumberFormat="1" applyFont="1" applyFill="1" applyBorder="1" applyAlignment="1">
      <alignment horizontal="center"/>
    </xf>
    <xf numFmtId="168" fontId="27" fillId="0" borderId="8" xfId="0" applyNumberFormat="1" applyFont="1" applyFill="1" applyBorder="1" applyAlignment="1">
      <alignment horizontal="center"/>
    </xf>
    <xf numFmtId="0" fontId="4" fillId="0" borderId="54" xfId="0" applyFont="1" applyFill="1" applyBorder="1" applyAlignment="1">
      <alignment horizontal="center"/>
    </xf>
    <xf numFmtId="168" fontId="27" fillId="0" borderId="54" xfId="0" applyNumberFormat="1" applyFont="1" applyFill="1" applyBorder="1" applyAlignment="1">
      <alignment horizontal="center"/>
    </xf>
    <xf numFmtId="0" fontId="4" fillId="0" borderId="4" xfId="0" applyFont="1" applyFill="1" applyBorder="1"/>
    <xf numFmtId="168" fontId="4" fillId="0" borderId="8" xfId="0" applyNumberFormat="1" applyFont="1" applyFill="1" applyBorder="1" applyAlignment="1">
      <alignment horizontal="center"/>
    </xf>
    <xf numFmtId="1" fontId="4" fillId="7" borderId="5" xfId="0" applyNumberFormat="1" applyFont="1" applyFill="1" applyBorder="1"/>
    <xf numFmtId="0" fontId="4" fillId="0" borderId="16" xfId="0" applyFont="1" applyBorder="1"/>
    <xf numFmtId="0" fontId="4" fillId="0" borderId="17" xfId="0" applyFont="1" applyBorder="1"/>
    <xf numFmtId="1" fontId="4" fillId="7" borderId="17" xfId="0" applyNumberFormat="1" applyFont="1" applyFill="1" applyBorder="1"/>
    <xf numFmtId="1" fontId="4" fillId="7" borderId="18" xfId="0" applyNumberFormat="1" applyFont="1" applyFill="1" applyBorder="1"/>
    <xf numFmtId="0" fontId="4" fillId="0" borderId="19" xfId="0" applyFont="1" applyBorder="1" applyAlignment="1">
      <alignment horizontal="left" wrapText="1" indent="1"/>
    </xf>
    <xf numFmtId="0" fontId="4" fillId="0" borderId="19" xfId="0" applyFont="1" applyBorder="1" applyAlignment="1">
      <alignment horizontal="left" wrapText="1" indent="2"/>
    </xf>
    <xf numFmtId="0" fontId="4" fillId="0" borderId="21" xfId="0" applyFont="1" applyBorder="1" applyAlignment="1">
      <alignment horizontal="left" wrapText="1" indent="2"/>
    </xf>
    <xf numFmtId="0" fontId="4" fillId="0" borderId="22" xfId="0" applyFont="1" applyBorder="1"/>
    <xf numFmtId="168" fontId="4" fillId="0" borderId="0" xfId="0" applyNumberFormat="1" applyFont="1" applyFill="1" applyBorder="1"/>
    <xf numFmtId="0" fontId="0" fillId="0" borderId="22" xfId="0" applyBorder="1"/>
    <xf numFmtId="0" fontId="4" fillId="0" borderId="53" xfId="0" applyFont="1" applyBorder="1" applyAlignment="1"/>
    <xf numFmtId="0" fontId="4" fillId="0" borderId="1" xfId="0" applyFont="1" applyBorder="1" applyAlignment="1"/>
    <xf numFmtId="0" fontId="4" fillId="0" borderId="2" xfId="0" applyFont="1" applyBorder="1" applyAlignment="1"/>
    <xf numFmtId="1" fontId="4" fillId="9" borderId="0" xfId="0" applyNumberFormat="1" applyFont="1" applyFill="1"/>
    <xf numFmtId="1" fontId="4" fillId="9" borderId="0" xfId="0" applyNumberFormat="1" applyFont="1" applyFill="1" applyBorder="1"/>
    <xf numFmtId="1" fontId="4" fillId="9" borderId="4" xfId="0" applyNumberFormat="1" applyFont="1" applyFill="1" applyBorder="1"/>
    <xf numFmtId="1" fontId="4" fillId="0" borderId="59" xfId="0" applyNumberFormat="1" applyFont="1" applyBorder="1"/>
    <xf numFmtId="1" fontId="4" fillId="0" borderId="17" xfId="0" applyNumberFormat="1" applyFont="1" applyBorder="1"/>
    <xf numFmtId="1" fontId="4" fillId="3" borderId="17" xfId="0" applyNumberFormat="1" applyFont="1" applyFill="1" applyBorder="1"/>
    <xf numFmtId="1" fontId="4" fillId="17" borderId="17" xfId="0" applyNumberFormat="1" applyFont="1" applyFill="1" applyBorder="1"/>
    <xf numFmtId="1" fontId="4" fillId="3" borderId="60" xfId="0" applyNumberFormat="1" applyFont="1" applyFill="1" applyBorder="1"/>
    <xf numFmtId="1" fontId="4" fillId="3" borderId="0" xfId="0" applyNumberFormat="1" applyFont="1" applyFill="1" applyBorder="1"/>
    <xf numFmtId="1" fontId="4" fillId="17" borderId="0" xfId="0" applyNumberFormat="1" applyFont="1" applyFill="1" applyBorder="1"/>
    <xf numFmtId="1" fontId="4" fillId="3" borderId="4" xfId="0" applyNumberFormat="1" applyFont="1" applyFill="1" applyBorder="1"/>
    <xf numFmtId="1" fontId="4" fillId="7" borderId="0" xfId="0" applyNumberFormat="1" applyFont="1" applyFill="1" applyBorder="1"/>
    <xf numFmtId="1" fontId="4" fillId="7" borderId="20" xfId="0" applyNumberFormat="1" applyFont="1" applyFill="1" applyBorder="1"/>
    <xf numFmtId="1" fontId="4" fillId="0" borderId="47" xfId="0" applyNumberFormat="1" applyFont="1" applyBorder="1"/>
    <xf numFmtId="1" fontId="4" fillId="0" borderId="22" xfId="0" applyNumberFormat="1" applyFont="1" applyBorder="1"/>
    <xf numFmtId="1" fontId="4" fillId="3" borderId="22" xfId="0" applyNumberFormat="1" applyFont="1" applyFill="1" applyBorder="1"/>
    <xf numFmtId="1" fontId="4" fillId="17" borderId="22" xfId="0" applyNumberFormat="1" applyFont="1" applyFill="1" applyBorder="1"/>
    <xf numFmtId="1" fontId="4" fillId="3" borderId="61" xfId="0" applyNumberFormat="1" applyFont="1" applyFill="1" applyBorder="1"/>
    <xf numFmtId="1" fontId="4" fillId="7" borderId="22" xfId="0" applyNumberFormat="1" applyFont="1" applyFill="1" applyBorder="1"/>
    <xf numFmtId="1" fontId="4" fillId="7" borderId="23" xfId="0" applyNumberFormat="1" applyFont="1" applyFill="1" applyBorder="1"/>
    <xf numFmtId="1" fontId="4" fillId="9" borderId="22" xfId="0" applyNumberFormat="1" applyFont="1" applyFill="1" applyBorder="1"/>
    <xf numFmtId="1" fontId="4" fillId="0" borderId="2" xfId="0" applyNumberFormat="1" applyFont="1" applyBorder="1"/>
    <xf numFmtId="1" fontId="4" fillId="9" borderId="7" xfId="0" applyNumberFormat="1" applyFont="1" applyFill="1" applyBorder="1"/>
    <xf numFmtId="1" fontId="4" fillId="9" borderId="8" xfId="0" applyNumberFormat="1" applyFont="1" applyFill="1" applyBorder="1"/>
    <xf numFmtId="167" fontId="4" fillId="9" borderId="61" xfId="1" applyNumberFormat="1" applyFont="1" applyFill="1" applyBorder="1"/>
    <xf numFmtId="167" fontId="4" fillId="7" borderId="22" xfId="1" applyNumberFormat="1" applyFont="1" applyFill="1" applyBorder="1"/>
    <xf numFmtId="167" fontId="4" fillId="7" borderId="61" xfId="1" applyNumberFormat="1" applyFont="1" applyFill="1" applyBorder="1"/>
    <xf numFmtId="168" fontId="4" fillId="0" borderId="0" xfId="0" applyNumberFormat="1" applyFont="1" applyBorder="1" applyAlignment="1">
      <alignment horizontal="right" vertical="top" wrapText="1"/>
    </xf>
    <xf numFmtId="168" fontId="4" fillId="0" borderId="0" xfId="0" applyNumberFormat="1" applyFont="1" applyFill="1" applyBorder="1" applyAlignment="1">
      <alignment horizontal="right" vertical="top" wrapText="1"/>
    </xf>
    <xf numFmtId="1" fontId="27" fillId="0" borderId="0" xfId="0" applyNumberFormat="1" applyFont="1" applyBorder="1" applyAlignment="1">
      <alignment horizontal="center" vertical="top" wrapText="1"/>
    </xf>
    <xf numFmtId="1" fontId="27" fillId="7" borderId="0" xfId="0" applyNumberFormat="1" applyFont="1" applyFill="1" applyBorder="1" applyAlignment="1">
      <alignment horizontal="center" vertical="top" wrapText="1"/>
    </xf>
    <xf numFmtId="168" fontId="4" fillId="0" borderId="0" xfId="0" applyNumberFormat="1" applyFont="1" applyBorder="1" applyAlignment="1">
      <alignment horizontal="center" vertical="top" wrapText="1"/>
    </xf>
    <xf numFmtId="168" fontId="4" fillId="9" borderId="0" xfId="0" applyNumberFormat="1" applyFont="1" applyFill="1" applyBorder="1" applyAlignment="1">
      <alignment horizontal="center" vertical="top" wrapText="1"/>
    </xf>
    <xf numFmtId="1" fontId="4" fillId="7" borderId="0" xfId="0" applyNumberFormat="1" applyFont="1" applyFill="1" applyBorder="1" applyAlignment="1">
      <alignment horizontal="center" vertical="top" wrapText="1"/>
    </xf>
    <xf numFmtId="1" fontId="4" fillId="0" borderId="0" xfId="0" applyNumberFormat="1" applyFont="1" applyBorder="1" applyAlignment="1">
      <alignment horizontal="center" vertical="top" wrapText="1"/>
    </xf>
    <xf numFmtId="1" fontId="4" fillId="9" borderId="0" xfId="0" applyNumberFormat="1" applyFont="1" applyFill="1" applyBorder="1" applyAlignment="1">
      <alignment horizontal="center" vertical="top" wrapText="1"/>
    </xf>
    <xf numFmtId="1" fontId="4" fillId="0" borderId="0" xfId="0" applyNumberFormat="1" applyFont="1" applyFill="1" applyBorder="1" applyAlignment="1">
      <alignment horizontal="center" vertical="top" wrapText="1"/>
    </xf>
    <xf numFmtId="168" fontId="4" fillId="0" borderId="0" xfId="0" applyNumberFormat="1" applyFont="1" applyFill="1" applyBorder="1" applyAlignment="1">
      <alignment horizontal="center" vertical="top" wrapText="1"/>
    </xf>
    <xf numFmtId="168" fontId="27" fillId="0" borderId="0" xfId="0" applyNumberFormat="1" applyFont="1" applyBorder="1" applyAlignment="1">
      <alignment horizontal="center" vertical="top" wrapText="1"/>
    </xf>
    <xf numFmtId="9" fontId="4" fillId="0" borderId="0" xfId="0" applyNumberFormat="1" applyFont="1" applyBorder="1" applyAlignment="1">
      <alignment horizontal="right" vertical="top" wrapText="1"/>
    </xf>
    <xf numFmtId="1" fontId="4" fillId="0" borderId="22" xfId="0" applyNumberFormat="1" applyFont="1" applyBorder="1" applyAlignment="1">
      <alignment horizontal="center" vertical="top" wrapText="1"/>
    </xf>
    <xf numFmtId="1" fontId="4" fillId="7" borderId="22" xfId="0" applyNumberFormat="1" applyFont="1" applyFill="1" applyBorder="1" applyAlignment="1">
      <alignment horizontal="center" vertical="top" wrapText="1"/>
    </xf>
    <xf numFmtId="168" fontId="4" fillId="0" borderId="53" xfId="0" applyNumberFormat="1" applyFont="1" applyBorder="1" applyAlignment="1">
      <alignment horizontal="right" vertical="top" wrapText="1"/>
    </xf>
    <xf numFmtId="168" fontId="4" fillId="0" borderId="5" xfId="0" applyNumberFormat="1" applyFont="1" applyBorder="1" applyAlignment="1">
      <alignment horizontal="right" vertical="top" wrapText="1"/>
    </xf>
    <xf numFmtId="168" fontId="4" fillId="7" borderId="5" xfId="0" applyNumberFormat="1" applyFont="1" applyFill="1" applyBorder="1" applyAlignment="1">
      <alignment horizontal="right" vertical="top" wrapText="1"/>
    </xf>
    <xf numFmtId="168" fontId="4" fillId="7" borderId="54" xfId="0" applyNumberFormat="1" applyFont="1" applyFill="1" applyBorder="1" applyAlignment="1">
      <alignment horizontal="right" vertical="top" wrapText="1"/>
    </xf>
    <xf numFmtId="1" fontId="4" fillId="7" borderId="7" xfId="0" applyNumberFormat="1" applyFont="1" applyFill="1" applyBorder="1" applyAlignment="1">
      <alignment horizontal="center" vertical="top" wrapText="1"/>
    </xf>
    <xf numFmtId="1" fontId="4" fillId="7" borderId="8" xfId="0" applyNumberFormat="1" applyFont="1" applyFill="1" applyBorder="1" applyAlignment="1">
      <alignment horizontal="center" vertical="top" wrapText="1"/>
    </xf>
    <xf numFmtId="168" fontId="4" fillId="0" borderId="54" xfId="0" applyNumberFormat="1" applyFont="1" applyFill="1" applyBorder="1" applyAlignment="1">
      <alignment horizontal="right" vertical="top" wrapText="1"/>
    </xf>
    <xf numFmtId="1" fontId="27" fillId="0" borderId="4" xfId="0" applyNumberFormat="1" applyFont="1" applyBorder="1" applyAlignment="1">
      <alignment horizontal="center" vertical="top" wrapText="1"/>
    </xf>
    <xf numFmtId="1" fontId="4" fillId="9" borderId="4" xfId="0" applyNumberFormat="1" applyFont="1" applyFill="1" applyBorder="1" applyAlignment="1">
      <alignment horizontal="center" vertical="top" wrapText="1"/>
    </xf>
    <xf numFmtId="1" fontId="4" fillId="0" borderId="4" xfId="0" applyNumberFormat="1" applyFont="1" applyFill="1" applyBorder="1" applyAlignment="1">
      <alignment horizontal="center" vertical="top" wrapText="1"/>
    </xf>
    <xf numFmtId="168" fontId="4" fillId="0" borderId="4" xfId="0" applyNumberFormat="1" applyFont="1" applyFill="1" applyBorder="1" applyAlignment="1">
      <alignment horizontal="center" vertical="top" wrapText="1"/>
    </xf>
    <xf numFmtId="168" fontId="27" fillId="37" borderId="4" xfId="0" applyNumberFormat="1" applyFont="1" applyFill="1" applyBorder="1" applyAlignment="1">
      <alignment horizontal="center" vertical="top" wrapText="1"/>
    </xf>
    <xf numFmtId="1" fontId="4" fillId="0" borderId="4" xfId="0" applyNumberFormat="1" applyFont="1" applyBorder="1" applyAlignment="1">
      <alignment horizontal="center" vertical="top" wrapText="1"/>
    </xf>
    <xf numFmtId="1" fontId="4" fillId="0" borderId="8" xfId="0" applyNumberFormat="1" applyFont="1" applyBorder="1" applyAlignment="1">
      <alignment horizontal="center" vertical="top" wrapText="1"/>
    </xf>
    <xf numFmtId="168" fontId="4" fillId="0" borderId="4" xfId="0" applyNumberFormat="1" applyFont="1" applyFill="1" applyBorder="1" applyAlignment="1">
      <alignment horizontal="right" vertical="top" wrapText="1"/>
    </xf>
    <xf numFmtId="168" fontId="4" fillId="0" borderId="22" xfId="0" applyNumberFormat="1" applyFont="1" applyBorder="1" applyAlignment="1">
      <alignment horizontal="center" vertical="top" wrapText="1"/>
    </xf>
    <xf numFmtId="168" fontId="4" fillId="0" borderId="47" xfId="0" applyNumberFormat="1" applyFont="1" applyBorder="1" applyAlignment="1">
      <alignment horizontal="center" vertical="top" wrapText="1"/>
    </xf>
    <xf numFmtId="1" fontId="4" fillId="0" borderId="61" xfId="0" applyNumberFormat="1" applyFont="1" applyFill="1" applyBorder="1" applyAlignment="1">
      <alignment horizontal="center" vertical="top" wrapText="1"/>
    </xf>
    <xf numFmtId="1" fontId="4" fillId="7" borderId="61" xfId="0" applyNumberFormat="1" applyFont="1" applyFill="1" applyBorder="1" applyAlignment="1">
      <alignment horizontal="center" vertical="top" wrapText="1"/>
    </xf>
    <xf numFmtId="168" fontId="4" fillId="0" borderId="22" xfId="0" applyNumberFormat="1" applyFont="1" applyFill="1" applyBorder="1" applyAlignment="1">
      <alignment horizontal="center" vertical="top" wrapText="1"/>
    </xf>
    <xf numFmtId="0" fontId="0" fillId="0" borderId="16" xfId="0" applyBorder="1"/>
    <xf numFmtId="0" fontId="0" fillId="0" borderId="18" xfId="0" applyBorder="1"/>
    <xf numFmtId="0" fontId="0" fillId="0" borderId="21" xfId="0" applyBorder="1"/>
    <xf numFmtId="0" fontId="0" fillId="0" borderId="23" xfId="0" applyBorder="1"/>
    <xf numFmtId="0" fontId="30" fillId="0" borderId="0" xfId="0" applyFont="1" applyBorder="1" applyAlignment="1">
      <alignment horizontal="center" vertical="top" wrapText="1"/>
    </xf>
    <xf numFmtId="0" fontId="12" fillId="0" borderId="53" xfId="0" applyFont="1" applyBorder="1" applyAlignment="1">
      <alignment horizontal="left" vertical="top" wrapText="1"/>
    </xf>
    <xf numFmtId="1" fontId="27" fillId="0" borderId="0" xfId="0" applyNumberFormat="1" applyFont="1" applyFill="1" applyBorder="1" applyAlignment="1">
      <alignment horizontal="center" vertical="top" wrapText="1"/>
    </xf>
    <xf numFmtId="168" fontId="27" fillId="0" borderId="0" xfId="0" applyNumberFormat="1" applyFont="1" applyFill="1" applyBorder="1" applyAlignment="1">
      <alignment horizontal="center" vertical="top" wrapText="1"/>
    </xf>
    <xf numFmtId="1" fontId="4" fillId="0" borderId="7" xfId="0" applyNumberFormat="1" applyFont="1" applyFill="1" applyBorder="1" applyAlignment="1">
      <alignment horizontal="center" vertical="top" wrapText="1"/>
    </xf>
    <xf numFmtId="168" fontId="27" fillId="0" borderId="0" xfId="0" applyNumberFormat="1" applyFont="1" applyFill="1" applyAlignment="1">
      <alignment horizontal="center" vertical="top" wrapText="1"/>
    </xf>
    <xf numFmtId="168" fontId="4" fillId="0" borderId="0" xfId="0" applyNumberFormat="1" applyFont="1" applyFill="1" applyAlignment="1">
      <alignment horizontal="center" wrapText="1"/>
    </xf>
    <xf numFmtId="168" fontId="27" fillId="0" borderId="7" xfId="0" applyNumberFormat="1" applyFont="1" applyFill="1" applyBorder="1" applyAlignment="1">
      <alignment horizontal="center" vertical="top" wrapText="1"/>
    </xf>
    <xf numFmtId="168" fontId="40" fillId="7" borderId="7" xfId="0" applyNumberFormat="1" applyFont="1" applyFill="1" applyBorder="1" applyAlignment="1">
      <alignment horizontal="center"/>
    </xf>
    <xf numFmtId="168" fontId="4" fillId="0" borderId="5" xfId="0" applyNumberFormat="1" applyFont="1" applyFill="1" applyBorder="1" applyAlignment="1">
      <alignment horizontal="right" vertical="top" wrapText="1"/>
    </xf>
    <xf numFmtId="168" fontId="27" fillId="0" borderId="4" xfId="0" applyNumberFormat="1" applyFont="1" applyFill="1" applyBorder="1" applyAlignment="1">
      <alignment horizontal="center" vertical="top" wrapText="1"/>
    </xf>
    <xf numFmtId="168" fontId="27" fillId="37" borderId="8" xfId="0" applyNumberFormat="1" applyFont="1" applyFill="1" applyBorder="1" applyAlignment="1">
      <alignment horizontal="center" vertical="top" wrapText="1"/>
    </xf>
    <xf numFmtId="168" fontId="4" fillId="12" borderId="0" xfId="0" applyNumberFormat="1" applyFont="1" applyFill="1" applyAlignment="1">
      <alignment horizontal="center" vertical="top" wrapText="1"/>
    </xf>
    <xf numFmtId="168" fontId="4" fillId="12" borderId="4" xfId="0" applyNumberFormat="1" applyFont="1" applyFill="1" applyBorder="1" applyAlignment="1">
      <alignment horizontal="center" vertical="top" wrapText="1"/>
    </xf>
    <xf numFmtId="168" fontId="40" fillId="7" borderId="8" xfId="0" applyNumberFormat="1" applyFont="1" applyFill="1" applyBorder="1" applyAlignment="1">
      <alignment horizontal="center"/>
    </xf>
    <xf numFmtId="1" fontId="4" fillId="0" borderId="5" xfId="0" applyNumberFormat="1" applyFont="1" applyBorder="1" applyAlignment="1">
      <alignment horizontal="center"/>
    </xf>
    <xf numFmtId="1" fontId="4" fillId="0" borderId="54" xfId="0" applyNumberFormat="1" applyFont="1" applyFill="1" applyBorder="1" applyAlignment="1">
      <alignment horizontal="center"/>
    </xf>
    <xf numFmtId="1" fontId="4" fillId="0" borderId="4" xfId="0" applyNumberFormat="1" applyFont="1" applyFill="1" applyBorder="1"/>
    <xf numFmtId="167" fontId="4" fillId="9" borderId="8" xfId="0" applyNumberFormat="1" applyFont="1" applyFill="1" applyBorder="1" applyAlignment="1">
      <alignment horizontal="center"/>
    </xf>
    <xf numFmtId="167" fontId="4" fillId="9" borderId="0" xfId="0" applyNumberFormat="1" applyFont="1" applyFill="1" applyBorder="1" applyAlignment="1">
      <alignment horizontal="center"/>
    </xf>
    <xf numFmtId="1" fontId="4" fillId="9" borderId="0" xfId="0" applyNumberFormat="1" applyFont="1" applyFill="1" applyBorder="1" applyAlignment="1">
      <alignment horizontal="center"/>
    </xf>
    <xf numFmtId="1" fontId="4" fillId="7" borderId="1" xfId="0" applyNumberFormat="1" applyFont="1" applyFill="1" applyBorder="1" applyAlignment="1">
      <alignment horizontal="center"/>
    </xf>
    <xf numFmtId="0" fontId="4" fillId="15" borderId="1" xfId="0" applyFont="1" applyFill="1" applyBorder="1" applyAlignment="1">
      <alignment horizontal="left" indent="2"/>
    </xf>
    <xf numFmtId="0" fontId="1" fillId="15" borderId="4" xfId="0" applyFont="1" applyFill="1" applyBorder="1"/>
    <xf numFmtId="167" fontId="4" fillId="15" borderId="0" xfId="0" applyNumberFormat="1" applyFont="1" applyFill="1" applyAlignment="1">
      <alignment horizontal="center"/>
    </xf>
    <xf numFmtId="0" fontId="4" fillId="15" borderId="0" xfId="0" applyFont="1" applyFill="1" applyAlignment="1">
      <alignment horizontal="center"/>
    </xf>
    <xf numFmtId="0" fontId="4" fillId="15" borderId="1" xfId="0" applyFont="1" applyFill="1" applyBorder="1" applyAlignment="1">
      <alignment horizontal="left" indent="4"/>
    </xf>
    <xf numFmtId="0" fontId="4" fillId="15" borderId="4" xfId="0" applyFont="1" applyFill="1" applyBorder="1"/>
    <xf numFmtId="0" fontId="4" fillId="15" borderId="2" xfId="0" applyFont="1" applyFill="1" applyBorder="1" applyAlignment="1">
      <alignment horizontal="left" indent="2"/>
    </xf>
    <xf numFmtId="0" fontId="4" fillId="15" borderId="8" xfId="0" applyFont="1" applyFill="1" applyBorder="1"/>
    <xf numFmtId="167" fontId="4" fillId="15" borderId="7" xfId="0" applyNumberFormat="1" applyFont="1" applyFill="1" applyBorder="1" applyAlignment="1">
      <alignment horizontal="center"/>
    </xf>
    <xf numFmtId="0" fontId="4" fillId="15" borderId="7" xfId="0" applyFont="1" applyFill="1" applyBorder="1" applyAlignment="1">
      <alignment horizontal="center"/>
    </xf>
    <xf numFmtId="0" fontId="4" fillId="15" borderId="3" xfId="0" applyFont="1" applyFill="1" applyBorder="1" applyAlignment="1">
      <alignment horizontal="left" indent="2"/>
    </xf>
    <xf numFmtId="169" fontId="4" fillId="15" borderId="5" xfId="0" applyNumberFormat="1" applyFont="1" applyFill="1" applyBorder="1"/>
    <xf numFmtId="1" fontId="4" fillId="15" borderId="3" xfId="0" applyNumberFormat="1" applyFont="1" applyFill="1" applyBorder="1" applyAlignment="1">
      <alignment horizontal="center"/>
    </xf>
    <xf numFmtId="1" fontId="4" fillId="15" borderId="36" xfId="0" applyNumberFormat="1" applyFont="1" applyFill="1" applyBorder="1" applyAlignment="1">
      <alignment horizontal="center"/>
    </xf>
    <xf numFmtId="1" fontId="4" fillId="15" borderId="6" xfId="0" applyNumberFormat="1" applyFont="1" applyFill="1" applyBorder="1" applyAlignment="1">
      <alignment horizontal="center"/>
    </xf>
    <xf numFmtId="169" fontId="4" fillId="15" borderId="0" xfId="0" applyNumberFormat="1" applyFont="1" applyFill="1"/>
    <xf numFmtId="1" fontId="4" fillId="15" borderId="1" xfId="0" applyNumberFormat="1" applyFont="1" applyFill="1" applyBorder="1" applyAlignment="1">
      <alignment horizontal="center"/>
    </xf>
    <xf numFmtId="1" fontId="4" fillId="15" borderId="0" xfId="0" applyNumberFormat="1" applyFont="1" applyFill="1" applyAlignment="1">
      <alignment horizontal="center"/>
    </xf>
    <xf numFmtId="1" fontId="4" fillId="15" borderId="4" xfId="0" applyNumberFormat="1" applyFont="1" applyFill="1" applyBorder="1" applyAlignment="1">
      <alignment horizontal="center"/>
    </xf>
    <xf numFmtId="0" fontId="4" fillId="15" borderId="1" xfId="0" applyFont="1" applyFill="1" applyBorder="1" applyAlignment="1">
      <alignment horizontal="center" wrapText="1"/>
    </xf>
    <xf numFmtId="169" fontId="4" fillId="15" borderId="0" xfId="0" applyNumberFormat="1" applyFont="1" applyFill="1" applyAlignment="1">
      <alignment horizontal="center"/>
    </xf>
    <xf numFmtId="0" fontId="4" fillId="15" borderId="1" xfId="0" applyFont="1" applyFill="1" applyBorder="1" applyAlignment="1">
      <alignment horizontal="center"/>
    </xf>
    <xf numFmtId="169" fontId="4" fillId="15" borderId="1" xfId="0" applyNumberFormat="1" applyFont="1" applyFill="1" applyBorder="1" applyAlignment="1">
      <alignment horizontal="center"/>
    </xf>
    <xf numFmtId="0" fontId="4" fillId="15" borderId="2" xfId="0" applyFont="1" applyFill="1" applyBorder="1" applyAlignment="1">
      <alignment horizontal="center"/>
    </xf>
    <xf numFmtId="169" fontId="4" fillId="15" borderId="7" xfId="0" applyNumberFormat="1" applyFont="1" applyFill="1" applyBorder="1" applyAlignment="1">
      <alignment horizontal="center"/>
    </xf>
    <xf numFmtId="169" fontId="4" fillId="15" borderId="2" xfId="0" applyNumberFormat="1" applyFont="1" applyFill="1" applyBorder="1" applyAlignment="1">
      <alignment horizontal="center"/>
    </xf>
    <xf numFmtId="1" fontId="4" fillId="15" borderId="7" xfId="0" applyNumberFormat="1" applyFont="1" applyFill="1" applyBorder="1" applyAlignment="1">
      <alignment horizontal="center"/>
    </xf>
    <xf numFmtId="1" fontId="4" fillId="15" borderId="8" xfId="0" applyNumberFormat="1" applyFont="1" applyFill="1" applyBorder="1" applyAlignment="1">
      <alignment horizontal="center"/>
    </xf>
    <xf numFmtId="0" fontId="1" fillId="15" borderId="3" xfId="0" applyFont="1" applyFill="1" applyBorder="1"/>
    <xf numFmtId="167" fontId="4" fillId="15" borderId="36" xfId="0" applyNumberFormat="1" applyFont="1" applyFill="1" applyBorder="1" applyAlignment="1">
      <alignment horizontal="center"/>
    </xf>
    <xf numFmtId="167" fontId="4" fillId="15" borderId="6" xfId="0" applyNumberFormat="1" applyFont="1" applyFill="1" applyBorder="1" applyAlignment="1">
      <alignment horizontal="center"/>
    </xf>
    <xf numFmtId="167" fontId="4" fillId="15" borderId="4" xfId="0" applyNumberFormat="1" applyFont="1" applyFill="1" applyBorder="1" applyAlignment="1">
      <alignment horizontal="center"/>
    </xf>
    <xf numFmtId="167" fontId="4" fillId="15" borderId="8" xfId="0" applyNumberFormat="1" applyFont="1" applyFill="1" applyBorder="1" applyAlignment="1">
      <alignment horizontal="center"/>
    </xf>
    <xf numFmtId="0" fontId="0" fillId="9" borderId="0" xfId="0" applyFill="1"/>
    <xf numFmtId="0" fontId="4" fillId="7" borderId="36" xfId="0" applyFont="1" applyFill="1" applyBorder="1" applyAlignment="1"/>
    <xf numFmtId="0" fontId="4" fillId="9" borderId="55" xfId="0" applyFont="1" applyFill="1" applyBorder="1" applyAlignment="1"/>
    <xf numFmtId="10" fontId="44" fillId="0" borderId="0" xfId="0" applyNumberFormat="1" applyFont="1" applyBorder="1" applyAlignment="1">
      <alignment horizontal="center"/>
    </xf>
    <xf numFmtId="10" fontId="44" fillId="0" borderId="54" xfId="0" applyNumberFormat="1" applyFont="1" applyBorder="1" applyAlignment="1">
      <alignment horizontal="center"/>
    </xf>
    <xf numFmtId="0" fontId="12" fillId="7" borderId="10" xfId="0" applyFont="1" applyFill="1" applyBorder="1" applyAlignment="1"/>
    <xf numFmtId="0" fontId="12" fillId="7" borderId="11" xfId="0" applyFont="1" applyFill="1" applyBorder="1" applyAlignment="1"/>
    <xf numFmtId="0" fontId="12" fillId="9" borderId="10" xfId="0" applyFont="1" applyFill="1" applyBorder="1" applyAlignment="1"/>
    <xf numFmtId="10" fontId="44" fillId="9" borderId="5" xfId="0" applyNumberFormat="1" applyFont="1" applyFill="1" applyBorder="1" applyAlignment="1">
      <alignment horizontal="center"/>
    </xf>
    <xf numFmtId="10" fontId="44" fillId="9" borderId="0" xfId="0" applyNumberFormat="1" applyFont="1" applyFill="1" applyBorder="1" applyAlignment="1">
      <alignment horizontal="center"/>
    </xf>
    <xf numFmtId="168" fontId="1" fillId="0" borderId="0" xfId="0" applyNumberFormat="1" applyFont="1" applyBorder="1" applyAlignment="1">
      <alignment horizontal="center"/>
    </xf>
    <xf numFmtId="168" fontId="1" fillId="0" borderId="0" xfId="0" applyNumberFormat="1" applyFont="1" applyBorder="1" applyAlignment="1">
      <alignment horizontal="left" indent="1"/>
    </xf>
    <xf numFmtId="168" fontId="70" fillId="0" borderId="24" xfId="0" applyNumberFormat="1" applyFont="1" applyBorder="1" applyAlignment="1">
      <alignment horizontal="center"/>
    </xf>
    <xf numFmtId="165" fontId="73" fillId="0" borderId="17" xfId="2" applyNumberFormat="1" applyFont="1" applyBorder="1" applyAlignment="1">
      <alignment horizontal="right"/>
    </xf>
    <xf numFmtId="165" fontId="73" fillId="0" borderId="18" xfId="2" applyNumberFormat="1" applyFont="1" applyBorder="1" applyAlignment="1">
      <alignment horizontal="right"/>
    </xf>
    <xf numFmtId="165" fontId="73" fillId="0" borderId="0" xfId="2" applyNumberFormat="1" applyFont="1" applyAlignment="1">
      <alignment horizontal="right"/>
    </xf>
    <xf numFmtId="165" fontId="73" fillId="0" borderId="20" xfId="2" applyNumberFormat="1" applyFont="1" applyBorder="1" applyAlignment="1">
      <alignment horizontal="right"/>
    </xf>
    <xf numFmtId="165" fontId="70" fillId="0" borderId="0" xfId="2" applyNumberFormat="1" applyFont="1" applyAlignment="1">
      <alignment horizontal="right"/>
    </xf>
    <xf numFmtId="165" fontId="70" fillId="0" borderId="20" xfId="2" applyNumberFormat="1" applyFont="1" applyBorder="1" applyAlignment="1">
      <alignment horizontal="right"/>
    </xf>
    <xf numFmtId="3" fontId="70" fillId="0" borderId="0" xfId="2" applyNumberFormat="1" applyFont="1" applyAlignment="1">
      <alignment horizontal="right"/>
    </xf>
    <xf numFmtId="3" fontId="70" fillId="0" borderId="20" xfId="2" applyNumberFormat="1" applyFont="1" applyBorder="1" applyAlignment="1">
      <alignment horizontal="right"/>
    </xf>
    <xf numFmtId="3" fontId="70" fillId="0" borderId="22" xfId="2" applyNumberFormat="1" applyFont="1" applyBorder="1" applyAlignment="1">
      <alignment horizontal="right"/>
    </xf>
    <xf numFmtId="3" fontId="70" fillId="0" borderId="23" xfId="2" applyNumberFormat="1" applyFont="1" applyBorder="1" applyAlignment="1">
      <alignment horizontal="right"/>
    </xf>
    <xf numFmtId="165" fontId="73" fillId="0" borderId="16" xfId="2" applyNumberFormat="1" applyFont="1" applyBorder="1" applyAlignment="1">
      <alignment horizontal="right"/>
    </xf>
    <xf numFmtId="165" fontId="73" fillId="0" borderId="19" xfId="2" applyNumberFormat="1" applyFont="1" applyBorder="1" applyAlignment="1">
      <alignment horizontal="right"/>
    </xf>
    <xf numFmtId="165" fontId="70" fillId="0" borderId="19" xfId="2" applyNumberFormat="1" applyFont="1" applyBorder="1" applyAlignment="1">
      <alignment horizontal="right"/>
    </xf>
    <xf numFmtId="3" fontId="70" fillId="0" borderId="19" xfId="2" applyNumberFormat="1" applyFont="1" applyBorder="1" applyAlignment="1">
      <alignment horizontal="right"/>
    </xf>
    <xf numFmtId="3" fontId="70" fillId="0" borderId="21" xfId="2" applyNumberFormat="1" applyFont="1" applyBorder="1" applyAlignment="1">
      <alignment horizontal="right"/>
    </xf>
    <xf numFmtId="0" fontId="2" fillId="0" borderId="0" xfId="0" applyFont="1" applyFill="1"/>
    <xf numFmtId="0" fontId="1" fillId="0" borderId="6" xfId="0" applyFont="1" applyFill="1" applyBorder="1"/>
    <xf numFmtId="0" fontId="1" fillId="0" borderId="4" xfId="0" applyFont="1" applyFill="1" applyBorder="1" applyAlignment="1">
      <alignment horizontal="center" wrapText="1"/>
    </xf>
    <xf numFmtId="9" fontId="1" fillId="0" borderId="4" xfId="0" applyNumberFormat="1" applyFont="1" applyFill="1" applyBorder="1"/>
    <xf numFmtId="2" fontId="1" fillId="0" borderId="15" xfId="0" applyNumberFormat="1" applyFont="1" applyFill="1" applyBorder="1"/>
    <xf numFmtId="9" fontId="1" fillId="0" borderId="8" xfId="0" applyNumberFormat="1" applyFont="1" applyFill="1" applyBorder="1"/>
    <xf numFmtId="0" fontId="19" fillId="38" borderId="32" xfId="0" applyFont="1" applyFill="1" applyBorder="1" applyAlignment="1">
      <alignment horizontal="center" vertical="center"/>
    </xf>
    <xf numFmtId="0" fontId="1" fillId="38" borderId="9" xfId="0" applyFont="1" applyFill="1" applyBorder="1" applyAlignment="1"/>
    <xf numFmtId="0" fontId="1" fillId="38" borderId="10" xfId="0" applyFont="1" applyFill="1" applyBorder="1" applyAlignment="1"/>
    <xf numFmtId="0" fontId="1" fillId="38" borderId="11" xfId="0" applyFont="1" applyFill="1" applyBorder="1" applyAlignment="1"/>
    <xf numFmtId="0" fontId="18" fillId="0" borderId="0" xfId="3"/>
    <xf numFmtId="0" fontId="19" fillId="39" borderId="62" xfId="3" applyFont="1" applyFill="1" applyBorder="1" applyAlignment="1">
      <alignment horizontal="center" vertical="center"/>
    </xf>
    <xf numFmtId="0" fontId="73" fillId="0" borderId="0" xfId="3" applyFont="1"/>
    <xf numFmtId="0" fontId="1" fillId="9" borderId="0" xfId="0" applyFont="1" applyFill="1"/>
    <xf numFmtId="0" fontId="18" fillId="0" borderId="0" xfId="3"/>
    <xf numFmtId="0" fontId="19" fillId="39" borderId="62" xfId="3" applyFont="1" applyFill="1" applyBorder="1" applyAlignment="1">
      <alignment horizontal="center" vertical="center"/>
    </xf>
    <xf numFmtId="0" fontId="73" fillId="0" borderId="0" xfId="3" applyFont="1"/>
    <xf numFmtId="0" fontId="18" fillId="0" borderId="0" xfId="3"/>
    <xf numFmtId="0" fontId="19" fillId="39" borderId="62" xfId="3" applyFont="1" applyFill="1" applyBorder="1" applyAlignment="1">
      <alignment horizontal="center" vertical="center"/>
    </xf>
    <xf numFmtId="0" fontId="73" fillId="0" borderId="0" xfId="3" applyFont="1"/>
    <xf numFmtId="10" fontId="0" fillId="0" borderId="0" xfId="0" applyNumberFormat="1"/>
    <xf numFmtId="0" fontId="1" fillId="0" borderId="0" xfId="0" applyFont="1"/>
    <xf numFmtId="0" fontId="4" fillId="7" borderId="54" xfId="0" applyFont="1" applyFill="1" applyBorder="1" applyAlignment="1">
      <alignment horizontal="center"/>
    </xf>
    <xf numFmtId="10" fontId="44" fillId="0" borderId="63" xfId="0" applyNumberFormat="1" applyFont="1" applyBorder="1" applyAlignment="1">
      <alignment horizontal="center"/>
    </xf>
    <xf numFmtId="0" fontId="4" fillId="0" borderId="0" xfId="0" applyFont="1" applyAlignment="1">
      <alignment horizontal="left" wrapText="1"/>
    </xf>
    <xf numFmtId="1" fontId="1" fillId="8" borderId="20" xfId="0" applyNumberFormat="1" applyFont="1" applyFill="1" applyBorder="1" applyAlignment="1">
      <alignment horizontal="center"/>
    </xf>
    <xf numFmtId="0" fontId="1" fillId="8" borderId="0" xfId="0" applyFont="1" applyFill="1" applyAlignment="1">
      <alignment horizontal="left" indent="3"/>
    </xf>
    <xf numFmtId="165" fontId="1" fillId="8" borderId="19" xfId="0" applyNumberFormat="1" applyFont="1" applyFill="1" applyBorder="1" applyAlignment="1">
      <alignment horizontal="right"/>
    </xf>
    <xf numFmtId="165" fontId="70" fillId="8" borderId="19" xfId="2" applyNumberFormat="1" applyFont="1" applyFill="1" applyBorder="1" applyAlignment="1">
      <alignment horizontal="right"/>
    </xf>
    <xf numFmtId="165" fontId="70" fillId="8" borderId="0" xfId="2" applyNumberFormat="1" applyFont="1" applyFill="1" applyAlignment="1">
      <alignment horizontal="right"/>
    </xf>
    <xf numFmtId="165" fontId="70" fillId="8" borderId="20" xfId="2" applyNumberFormat="1" applyFont="1" applyFill="1" applyBorder="1" applyAlignment="1">
      <alignment horizontal="right"/>
    </xf>
    <xf numFmtId="2" fontId="1" fillId="8" borderId="4" xfId="0" applyNumberFormat="1" applyFont="1" applyFill="1" applyBorder="1"/>
    <xf numFmtId="0" fontId="0" fillId="8" borderId="0" xfId="0" applyFill="1"/>
    <xf numFmtId="2" fontId="1" fillId="8" borderId="15" xfId="0" applyNumberFormat="1" applyFont="1" applyFill="1" applyBorder="1"/>
    <xf numFmtId="165" fontId="1" fillId="8" borderId="0" xfId="0" applyNumberFormat="1" applyFont="1" applyFill="1"/>
    <xf numFmtId="2" fontId="1" fillId="8" borderId="0" xfId="0" applyNumberFormat="1" applyFont="1" applyFill="1"/>
    <xf numFmtId="0" fontId="2" fillId="8" borderId="0" xfId="0" applyFont="1" applyFill="1" applyAlignment="1">
      <alignment horizontal="left" wrapText="1" indent="1"/>
    </xf>
    <xf numFmtId="165" fontId="2" fillId="8" borderId="19" xfId="0" applyNumberFormat="1" applyFont="1" applyFill="1" applyBorder="1" applyAlignment="1">
      <alignment horizontal="right"/>
    </xf>
    <xf numFmtId="165" fontId="73" fillId="8" borderId="19" xfId="2" applyNumberFormat="1" applyFont="1" applyFill="1" applyBorder="1" applyAlignment="1">
      <alignment horizontal="right"/>
    </xf>
    <xf numFmtId="165" fontId="73" fillId="8" borderId="0" xfId="2" applyNumberFormat="1" applyFont="1" applyFill="1" applyAlignment="1">
      <alignment horizontal="right"/>
    </xf>
    <xf numFmtId="165" fontId="73" fillId="8" borderId="20" xfId="2" applyNumberFormat="1" applyFont="1" applyFill="1" applyBorder="1" applyAlignment="1">
      <alignment horizontal="right"/>
    </xf>
    <xf numFmtId="0" fontId="2" fillId="8" borderId="0" xfId="0" applyFont="1" applyFill="1" applyAlignment="1">
      <alignment horizontal="left"/>
    </xf>
    <xf numFmtId="0" fontId="1" fillId="0" borderId="63" xfId="0" applyFont="1" applyBorder="1"/>
    <xf numFmtId="3" fontId="4" fillId="0" borderId="63" xfId="0" applyNumberFormat="1" applyFont="1" applyBorder="1" applyAlignment="1">
      <alignment horizontal="center"/>
    </xf>
    <xf numFmtId="0" fontId="0" fillId="0" borderId="63" xfId="0" applyBorder="1"/>
    <xf numFmtId="0" fontId="1" fillId="0" borderId="0" xfId="0" applyFont="1" applyBorder="1"/>
    <xf numFmtId="0" fontId="0" fillId="0" borderId="7" xfId="0" applyBorder="1"/>
    <xf numFmtId="0" fontId="0" fillId="0" borderId="54" xfId="0" applyBorder="1"/>
    <xf numFmtId="0" fontId="0" fillId="0" borderId="4" xfId="0" applyBorder="1"/>
    <xf numFmtId="0" fontId="0" fillId="0" borderId="8" xfId="0" applyBorder="1"/>
    <xf numFmtId="3" fontId="0" fillId="0" borderId="0" xfId="0" applyNumberFormat="1" applyFill="1"/>
    <xf numFmtId="168" fontId="27" fillId="7" borderId="63" xfId="0" applyNumberFormat="1" applyFont="1" applyFill="1" applyBorder="1" applyAlignment="1">
      <alignment horizontal="center"/>
    </xf>
    <xf numFmtId="168" fontId="27" fillId="0" borderId="4" xfId="0" applyNumberFormat="1" applyFont="1" applyBorder="1" applyAlignment="1">
      <alignment horizontal="center"/>
    </xf>
    <xf numFmtId="168" fontId="4" fillId="0" borderId="8" xfId="0" applyNumberFormat="1" applyFont="1" applyBorder="1" applyAlignment="1">
      <alignment horizontal="center"/>
    </xf>
    <xf numFmtId="0" fontId="4" fillId="7" borderId="63" xfId="0" applyFont="1" applyFill="1" applyBorder="1" applyAlignment="1">
      <alignment horizontal="center"/>
    </xf>
    <xf numFmtId="0" fontId="4" fillId="0" borderId="3" xfId="0" applyFont="1" applyBorder="1" applyAlignment="1"/>
    <xf numFmtId="169" fontId="4" fillId="14" borderId="8" xfId="0" applyNumberFormat="1" applyFont="1" applyFill="1" applyBorder="1" applyAlignment="1">
      <alignment horizontal="center"/>
    </xf>
    <xf numFmtId="169" fontId="4" fillId="12" borderId="7" xfId="0" applyNumberFormat="1" applyFont="1" applyFill="1" applyBorder="1" applyAlignment="1">
      <alignment horizontal="center"/>
    </xf>
    <xf numFmtId="168" fontId="4" fillId="8" borderId="4" xfId="0" applyNumberFormat="1" applyFont="1" applyFill="1" applyBorder="1" applyAlignment="1">
      <alignment horizontal="center"/>
    </xf>
    <xf numFmtId="168" fontId="4" fillId="8" borderId="0" xfId="0" applyNumberFormat="1" applyFont="1" applyFill="1" applyAlignment="1">
      <alignment horizontal="center"/>
    </xf>
    <xf numFmtId="10" fontId="44" fillId="8" borderId="4" xfId="0" applyNumberFormat="1" applyFont="1" applyFill="1" applyBorder="1" applyAlignment="1">
      <alignment horizontal="center"/>
    </xf>
    <xf numFmtId="10" fontId="44" fillId="8" borderId="0" xfId="0" applyNumberFormat="1" applyFont="1" applyFill="1" applyAlignment="1">
      <alignment horizontal="center"/>
    </xf>
    <xf numFmtId="0" fontId="1" fillId="2" borderId="1" xfId="0" applyFont="1" applyFill="1" applyBorder="1" applyAlignment="1">
      <alignment horizontal="left" vertical="top" wrapText="1"/>
    </xf>
    <xf numFmtId="0" fontId="1" fillId="2" borderId="0" xfId="0" applyFont="1" applyFill="1" applyAlignment="1">
      <alignment horizontal="left" vertical="top" wrapText="1"/>
    </xf>
    <xf numFmtId="0" fontId="1" fillId="2" borderId="4" xfId="0" applyFont="1" applyFill="1" applyBorder="1" applyAlignment="1">
      <alignment horizontal="left" vertical="top" wrapText="1"/>
    </xf>
    <xf numFmtId="0" fontId="1" fillId="3" borderId="3" xfId="0" applyFont="1" applyFill="1" applyBorder="1" applyAlignment="1">
      <alignment horizontal="center"/>
    </xf>
    <xf numFmtId="0" fontId="1" fillId="3" borderId="5" xfId="0" applyFont="1" applyFill="1" applyBorder="1" applyAlignment="1">
      <alignment horizontal="center"/>
    </xf>
    <xf numFmtId="0" fontId="1" fillId="3" borderId="6" xfId="0" applyFont="1" applyFill="1" applyBorder="1" applyAlignment="1">
      <alignment horizontal="center"/>
    </xf>
    <xf numFmtId="0" fontId="1" fillId="3" borderId="2" xfId="0" applyFont="1" applyFill="1" applyBorder="1" applyAlignment="1">
      <alignment horizontal="center"/>
    </xf>
    <xf numFmtId="0" fontId="1" fillId="3" borderId="7" xfId="0" applyFont="1" applyFill="1" applyBorder="1" applyAlignment="1">
      <alignment horizontal="center"/>
    </xf>
    <xf numFmtId="0" fontId="1" fillId="3" borderId="8" xfId="0" applyFont="1" applyFill="1" applyBorder="1" applyAlignment="1">
      <alignment horizontal="center"/>
    </xf>
    <xf numFmtId="0" fontId="1" fillId="2" borderId="0" xfId="0" applyFont="1" applyFill="1" applyAlignment="1">
      <alignment horizontal="left" vertical="top"/>
    </xf>
    <xf numFmtId="0" fontId="1" fillId="2" borderId="4" xfId="0" applyFont="1" applyFill="1" applyBorder="1" applyAlignment="1">
      <alignment horizontal="left" vertical="top"/>
    </xf>
    <xf numFmtId="0" fontId="5" fillId="0" borderId="1" xfId="0" applyFont="1" applyBorder="1" applyAlignment="1">
      <alignment horizontal="center" wrapText="1"/>
    </xf>
    <xf numFmtId="0" fontId="5" fillId="0" borderId="0" xfId="0" applyFont="1" applyAlignment="1">
      <alignment horizontal="center" wrapText="1"/>
    </xf>
    <xf numFmtId="0" fontId="6" fillId="4" borderId="9" xfId="0" applyFont="1" applyFill="1" applyBorder="1" applyAlignment="1">
      <alignment horizontal="center" wrapText="1"/>
    </xf>
    <xf numFmtId="0" fontId="6" fillId="4" borderId="10" xfId="0" applyFont="1" applyFill="1" applyBorder="1" applyAlignment="1">
      <alignment horizontal="center" wrapText="1"/>
    </xf>
    <xf numFmtId="0" fontId="6" fillId="4" borderId="11" xfId="0" applyFont="1" applyFill="1" applyBorder="1" applyAlignment="1">
      <alignment horizontal="center" wrapText="1"/>
    </xf>
    <xf numFmtId="0" fontId="5" fillId="3" borderId="9" xfId="0" applyFont="1" applyFill="1" applyBorder="1" applyAlignment="1">
      <alignment horizontal="center" wrapText="1"/>
    </xf>
    <xf numFmtId="0" fontId="5" fillId="3" borderId="10" xfId="0" applyFont="1" applyFill="1" applyBorder="1" applyAlignment="1">
      <alignment horizontal="center" wrapText="1"/>
    </xf>
    <xf numFmtId="0" fontId="5" fillId="3" borderId="11" xfId="0" applyFont="1" applyFill="1" applyBorder="1" applyAlignment="1">
      <alignment horizontal="center" wrapText="1"/>
    </xf>
    <xf numFmtId="0" fontId="7" fillId="0" borderId="0" xfId="0" applyFont="1" applyAlignment="1">
      <alignment horizontal="left" wrapText="1"/>
    </xf>
    <xf numFmtId="0" fontId="5" fillId="0" borderId="3" xfId="0" applyFont="1" applyBorder="1" applyAlignment="1">
      <alignment horizontal="center" wrapText="1"/>
    </xf>
    <xf numFmtId="0" fontId="5" fillId="0" borderId="5" xfId="0" applyFont="1" applyBorder="1" applyAlignment="1">
      <alignment horizontal="center" wrapText="1"/>
    </xf>
    <xf numFmtId="0" fontId="5" fillId="0" borderId="6" xfId="0" applyFont="1" applyBorder="1" applyAlignment="1">
      <alignment horizontal="center" wrapText="1"/>
    </xf>
    <xf numFmtId="0" fontId="5" fillId="0" borderId="2" xfId="0" applyFont="1" applyBorder="1" applyAlignment="1">
      <alignment horizontal="center" wrapText="1"/>
    </xf>
    <xf numFmtId="0" fontId="5" fillId="0" borderId="7" xfId="0" applyFont="1" applyBorder="1" applyAlignment="1">
      <alignment horizontal="center" wrapText="1"/>
    </xf>
    <xf numFmtId="0" fontId="5" fillId="0" borderId="8" xfId="0" applyFont="1" applyBorder="1" applyAlignment="1">
      <alignment horizontal="center" wrapText="1"/>
    </xf>
    <xf numFmtId="0" fontId="7" fillId="0" borderId="5" xfId="0" applyFont="1" applyBorder="1" applyAlignment="1">
      <alignment horizontal="left" wrapText="1"/>
    </xf>
    <xf numFmtId="0" fontId="7" fillId="0" borderId="6" xfId="0" applyFont="1" applyBorder="1" applyAlignment="1">
      <alignment horizontal="left" wrapText="1"/>
    </xf>
    <xf numFmtId="0" fontId="2" fillId="3" borderId="0" xfId="0" applyFont="1" applyFill="1" applyAlignment="1">
      <alignment horizontal="center"/>
    </xf>
    <xf numFmtId="168" fontId="15" fillId="0" borderId="0" xfId="0" applyNumberFormat="1" applyFont="1" applyAlignment="1">
      <alignment horizontal="center"/>
    </xf>
    <xf numFmtId="0" fontId="13" fillId="0" borderId="0" xfId="0" applyFont="1" applyAlignment="1">
      <alignment horizontal="left" wrapText="1"/>
    </xf>
    <xf numFmtId="0" fontId="1" fillId="0" borderId="0" xfId="0" applyFont="1" applyAlignment="1">
      <alignment horizontal="left" wrapText="1"/>
    </xf>
    <xf numFmtId="0" fontId="13" fillId="0" borderId="0" xfId="0" applyFont="1" applyAlignment="1">
      <alignment horizontal="left" vertical="center" wrapText="1"/>
    </xf>
    <xf numFmtId="0" fontId="1" fillId="0" borderId="0" xfId="0" applyFont="1" applyAlignment="1">
      <alignment horizontal="left" vertical="center" wrapText="1"/>
    </xf>
    <xf numFmtId="0" fontId="2" fillId="0" borderId="0" xfId="0" applyFont="1" applyAlignment="1">
      <alignment horizontal="center"/>
    </xf>
    <xf numFmtId="0" fontId="2" fillId="0" borderId="25" xfId="0" applyFont="1" applyBorder="1" applyAlignment="1">
      <alignment horizontal="center"/>
    </xf>
    <xf numFmtId="1" fontId="70" fillId="0" borderId="31" xfId="2" applyNumberFormat="1" applyFont="1" applyBorder="1" applyAlignment="1">
      <alignment horizontal="center"/>
    </xf>
    <xf numFmtId="1" fontId="70" fillId="0" borderId="29" xfId="2" applyNumberFormat="1" applyFont="1" applyBorder="1" applyAlignment="1">
      <alignment horizontal="center"/>
    </xf>
    <xf numFmtId="1" fontId="70" fillId="0" borderId="30" xfId="2" applyNumberFormat="1" applyFont="1" applyBorder="1" applyAlignment="1">
      <alignment horizontal="center"/>
    </xf>
    <xf numFmtId="1" fontId="1" fillId="0" borderId="31" xfId="0" applyNumberFormat="1" applyFont="1" applyBorder="1" applyAlignment="1">
      <alignment horizontal="center"/>
    </xf>
    <xf numFmtId="1" fontId="1" fillId="0" borderId="29" xfId="0" applyNumberFormat="1" applyFont="1" applyBorder="1" applyAlignment="1">
      <alignment horizontal="center"/>
    </xf>
    <xf numFmtId="1" fontId="1" fillId="0" borderId="30" xfId="0" applyNumberFormat="1" applyFont="1" applyBorder="1" applyAlignment="1">
      <alignment horizontal="center"/>
    </xf>
    <xf numFmtId="168" fontId="1" fillId="0" borderId="18" xfId="0" applyNumberFormat="1" applyFont="1" applyBorder="1" applyAlignment="1">
      <alignment horizontal="center" vertical="center"/>
    </xf>
    <xf numFmtId="168" fontId="1" fillId="0" borderId="20" xfId="0" applyNumberFormat="1" applyFont="1" applyBorder="1" applyAlignment="1">
      <alignment horizontal="center" vertical="center"/>
    </xf>
    <xf numFmtId="168" fontId="1" fillId="0" borderId="23" xfId="0" applyNumberFormat="1" applyFont="1" applyBorder="1" applyAlignment="1">
      <alignment horizontal="center" vertical="center"/>
    </xf>
    <xf numFmtId="168" fontId="1" fillId="0" borderId="17" xfId="0" applyNumberFormat="1" applyFont="1" applyBorder="1" applyAlignment="1">
      <alignment horizontal="left" indent="1"/>
    </xf>
    <xf numFmtId="49" fontId="1" fillId="0" borderId="0" xfId="0" applyNumberFormat="1" applyFont="1" applyAlignment="1">
      <alignment horizontal="left" wrapText="1" indent="1"/>
    </xf>
    <xf numFmtId="168" fontId="1" fillId="0" borderId="0" xfId="0" applyNumberFormat="1" applyFont="1" applyAlignment="1">
      <alignment horizontal="left" wrapText="1" indent="1"/>
    </xf>
    <xf numFmtId="0" fontId="16" fillId="0" borderId="0" xfId="0" applyFont="1" applyAlignment="1">
      <alignment horizontal="left" indent="1"/>
    </xf>
    <xf numFmtId="168" fontId="1" fillId="0" borderId="26" xfId="0" applyNumberFormat="1" applyFont="1" applyBorder="1" applyAlignment="1">
      <alignment horizontal="center"/>
    </xf>
    <xf numFmtId="168" fontId="1" fillId="0" borderId="27" xfId="0" applyNumberFormat="1" applyFont="1" applyBorder="1" applyAlignment="1">
      <alignment horizontal="center"/>
    </xf>
    <xf numFmtId="168" fontId="1" fillId="0" borderId="28" xfId="0" applyNumberFormat="1" applyFont="1" applyBorder="1" applyAlignment="1">
      <alignment horizontal="center"/>
    </xf>
    <xf numFmtId="168" fontId="1" fillId="0" borderId="29" xfId="0" applyNumberFormat="1" applyFont="1" applyBorder="1" applyAlignment="1">
      <alignment horizontal="center"/>
    </xf>
    <xf numFmtId="168" fontId="1" fillId="0" borderId="30" xfId="0" applyNumberFormat="1" applyFont="1" applyBorder="1" applyAlignment="1">
      <alignment horizontal="center"/>
    </xf>
    <xf numFmtId="0" fontId="21" fillId="0" borderId="0" xfId="0" applyFont="1"/>
    <xf numFmtId="0" fontId="18" fillId="0" borderId="0" xfId="0" applyFont="1"/>
    <xf numFmtId="0" fontId="22" fillId="0" borderId="0" xfId="0" applyFont="1"/>
    <xf numFmtId="0" fontId="1" fillId="9" borderId="0" xfId="0" applyFont="1" applyFill="1" applyAlignment="1">
      <alignment horizontal="center"/>
    </xf>
    <xf numFmtId="0" fontId="23" fillId="0" borderId="0" xfId="0" applyFont="1" applyAlignment="1">
      <alignment wrapText="1"/>
    </xf>
    <xf numFmtId="0" fontId="1" fillId="0" borderId="0" xfId="0" applyFont="1"/>
    <xf numFmtId="0" fontId="3" fillId="0" borderId="0" xfId="0" applyFont="1" applyAlignment="1">
      <alignment wrapText="1"/>
    </xf>
    <xf numFmtId="0" fontId="19" fillId="0" borderId="32" xfId="0" applyFont="1" applyBorder="1" applyAlignment="1">
      <alignment horizontal="center" vertical="center"/>
    </xf>
    <xf numFmtId="0" fontId="19" fillId="38" borderId="32" xfId="0" applyFont="1" applyFill="1" applyBorder="1" applyAlignment="1">
      <alignment horizontal="center" vertical="center"/>
    </xf>
    <xf numFmtId="0" fontId="19" fillId="39" borderId="62" xfId="3" applyFont="1" applyFill="1" applyBorder="1" applyAlignment="1">
      <alignment horizontal="center" vertical="center"/>
    </xf>
    <xf numFmtId="0" fontId="0" fillId="0" borderId="0" xfId="0" applyAlignment="1">
      <alignment horizontal="center"/>
    </xf>
    <xf numFmtId="0" fontId="4" fillId="9" borderId="3" xfId="0" applyFont="1" applyFill="1" applyBorder="1" applyAlignment="1">
      <alignment horizontal="center"/>
    </xf>
    <xf numFmtId="0" fontId="4" fillId="9" borderId="36" xfId="0" applyFont="1" applyFill="1" applyBorder="1" applyAlignment="1">
      <alignment horizontal="center"/>
    </xf>
    <xf numFmtId="0" fontId="20" fillId="0" borderId="0" xfId="0" applyFont="1" applyAlignment="1">
      <alignment horizontal="center"/>
    </xf>
    <xf numFmtId="0" fontId="25" fillId="0" borderId="0" xfId="0" applyFont="1" applyAlignment="1">
      <alignment horizontal="center"/>
    </xf>
    <xf numFmtId="0" fontId="0" fillId="8" borderId="0" xfId="0" applyFill="1" applyAlignment="1">
      <alignment horizontal="center" wrapText="1"/>
    </xf>
    <xf numFmtId="0" fontId="12" fillId="7" borderId="42" xfId="0" applyFont="1" applyFill="1" applyBorder="1" applyAlignment="1">
      <alignment horizontal="center"/>
    </xf>
    <xf numFmtId="0" fontId="12" fillId="7" borderId="43" xfId="0" applyFont="1" applyFill="1" applyBorder="1" applyAlignment="1">
      <alignment horizontal="center"/>
    </xf>
    <xf numFmtId="0" fontId="4" fillId="7" borderId="5" xfId="0" applyFont="1" applyFill="1" applyBorder="1" applyAlignment="1">
      <alignment horizontal="center"/>
    </xf>
    <xf numFmtId="0" fontId="4" fillId="7" borderId="54" xfId="0" applyFont="1" applyFill="1" applyBorder="1" applyAlignment="1">
      <alignment horizontal="center"/>
    </xf>
    <xf numFmtId="0" fontId="4" fillId="7" borderId="53" xfId="0" applyFont="1" applyFill="1" applyBorder="1" applyAlignment="1">
      <alignment horizontal="center"/>
    </xf>
    <xf numFmtId="0" fontId="12" fillId="3" borderId="0" xfId="0" applyFont="1" applyFill="1" applyAlignment="1">
      <alignment horizontal="center"/>
    </xf>
    <xf numFmtId="0" fontId="12" fillId="0" borderId="0" xfId="0" applyFont="1" applyAlignment="1">
      <alignment horizontal="left" vertical="top" wrapText="1"/>
    </xf>
    <xf numFmtId="0" fontId="4" fillId="9" borderId="1" xfId="0" applyFont="1" applyFill="1" applyBorder="1" applyAlignment="1">
      <alignment horizontal="center"/>
    </xf>
    <xf numFmtId="0" fontId="4" fillId="9" borderId="0" xfId="0" applyFont="1" applyFill="1" applyBorder="1" applyAlignment="1">
      <alignment horizontal="center"/>
    </xf>
    <xf numFmtId="0" fontId="4" fillId="9" borderId="4" xfId="0" applyFont="1" applyFill="1" applyBorder="1" applyAlignment="1">
      <alignment horizontal="center"/>
    </xf>
    <xf numFmtId="0" fontId="12" fillId="9" borderId="53" xfId="0" applyFont="1" applyFill="1" applyBorder="1" applyAlignment="1">
      <alignment horizontal="center"/>
    </xf>
    <xf numFmtId="0" fontId="12" fillId="9" borderId="54" xfId="0" applyFont="1" applyFill="1" applyBorder="1" applyAlignment="1">
      <alignment horizontal="center"/>
    </xf>
    <xf numFmtId="0" fontId="12" fillId="9" borderId="1" xfId="0" applyFont="1" applyFill="1" applyBorder="1" applyAlignment="1">
      <alignment horizontal="center"/>
    </xf>
    <xf numFmtId="0" fontId="12" fillId="9" borderId="4" xfId="0" applyFont="1" applyFill="1" applyBorder="1" applyAlignment="1">
      <alignment horizontal="center"/>
    </xf>
    <xf numFmtId="0" fontId="12" fillId="9" borderId="2" xfId="0" applyFont="1" applyFill="1" applyBorder="1" applyAlignment="1">
      <alignment horizontal="center"/>
    </xf>
    <xf numFmtId="0" fontId="12" fillId="9" borderId="8" xfId="0" applyFont="1" applyFill="1" applyBorder="1" applyAlignment="1">
      <alignment horizontal="center"/>
    </xf>
    <xf numFmtId="0" fontId="4" fillId="9" borderId="53" xfId="0" applyFont="1" applyFill="1" applyBorder="1" applyAlignment="1">
      <alignment horizontal="center"/>
    </xf>
    <xf numFmtId="0" fontId="4" fillId="9" borderId="5" xfId="0" applyFont="1" applyFill="1" applyBorder="1" applyAlignment="1">
      <alignment horizontal="center"/>
    </xf>
    <xf numFmtId="0" fontId="4" fillId="9" borderId="54" xfId="0" applyFont="1" applyFill="1" applyBorder="1" applyAlignment="1">
      <alignment horizontal="center"/>
    </xf>
    <xf numFmtId="0" fontId="4" fillId="9" borderId="0" xfId="0" applyFont="1" applyFill="1" applyBorder="1" applyAlignment="1">
      <alignment horizontal="right"/>
    </xf>
    <xf numFmtId="0" fontId="12" fillId="9" borderId="41" xfId="0" applyFont="1" applyFill="1" applyBorder="1" applyAlignment="1">
      <alignment horizontal="center"/>
    </xf>
    <xf numFmtId="0" fontId="12" fillId="9" borderId="42" xfId="0" applyFont="1" applyFill="1" applyBorder="1" applyAlignment="1">
      <alignment horizontal="center"/>
    </xf>
    <xf numFmtId="0" fontId="12" fillId="7" borderId="41" xfId="0" applyFont="1" applyFill="1" applyBorder="1" applyAlignment="1">
      <alignment horizontal="center"/>
    </xf>
    <xf numFmtId="0" fontId="4" fillId="7" borderId="3" xfId="0" applyFont="1" applyFill="1" applyBorder="1" applyAlignment="1">
      <alignment horizontal="center"/>
    </xf>
    <xf numFmtId="0" fontId="12" fillId="9" borderId="3" xfId="0" applyFont="1" applyFill="1" applyBorder="1" applyAlignment="1">
      <alignment horizontal="center"/>
    </xf>
    <xf numFmtId="0" fontId="12" fillId="9" borderId="6" xfId="0" applyFont="1" applyFill="1" applyBorder="1" applyAlignment="1">
      <alignment horizontal="center"/>
    </xf>
    <xf numFmtId="0" fontId="12" fillId="9" borderId="9" xfId="0" applyFont="1" applyFill="1" applyBorder="1" applyAlignment="1">
      <alignment horizontal="center"/>
    </xf>
    <xf numFmtId="0" fontId="12" fillId="9" borderId="10" xfId="0" applyFont="1" applyFill="1" applyBorder="1" applyAlignment="1">
      <alignment horizontal="center"/>
    </xf>
    <xf numFmtId="0" fontId="12" fillId="9" borderId="11" xfId="0" applyFont="1" applyFill="1" applyBorder="1" applyAlignment="1">
      <alignment horizontal="center"/>
    </xf>
    <xf numFmtId="0" fontId="12" fillId="7" borderId="9" xfId="0" applyFont="1" applyFill="1" applyBorder="1" applyAlignment="1">
      <alignment horizontal="center"/>
    </xf>
    <xf numFmtId="0" fontId="12" fillId="7" borderId="10" xfId="0" applyFont="1" applyFill="1" applyBorder="1" applyAlignment="1">
      <alignment horizontal="center"/>
    </xf>
    <xf numFmtId="0" fontId="12" fillId="7" borderId="11" xfId="0" applyFont="1" applyFill="1" applyBorder="1" applyAlignment="1">
      <alignment horizontal="center"/>
    </xf>
    <xf numFmtId="0" fontId="4" fillId="9" borderId="6" xfId="0" applyFont="1" applyFill="1" applyBorder="1" applyAlignment="1">
      <alignment horizontal="center"/>
    </xf>
    <xf numFmtId="0" fontId="4" fillId="9" borderId="3" xfId="0" applyFont="1" applyFill="1" applyBorder="1" applyAlignment="1">
      <alignment horizontal="right"/>
    </xf>
    <xf numFmtId="0" fontId="4" fillId="9" borderId="36" xfId="0" applyFont="1" applyFill="1" applyBorder="1" applyAlignment="1">
      <alignment horizontal="right"/>
    </xf>
    <xf numFmtId="0" fontId="4" fillId="7" borderId="36" xfId="0" applyFont="1" applyFill="1" applyBorder="1" applyAlignment="1">
      <alignment horizontal="center"/>
    </xf>
    <xf numFmtId="0" fontId="4" fillId="7" borderId="6" xfId="0" applyFont="1" applyFill="1" applyBorder="1" applyAlignment="1">
      <alignment horizontal="center"/>
    </xf>
    <xf numFmtId="0" fontId="4" fillId="9" borderId="0" xfId="0" applyFont="1" applyFill="1" applyAlignment="1">
      <alignment horizontal="center"/>
    </xf>
    <xf numFmtId="0" fontId="4" fillId="3" borderId="14" xfId="0" applyFont="1" applyFill="1" applyBorder="1" applyAlignment="1">
      <alignment horizontal="center" wrapText="1"/>
    </xf>
    <xf numFmtId="0" fontId="4" fillId="3" borderId="13" xfId="0" applyFont="1" applyFill="1" applyBorder="1" applyAlignment="1">
      <alignment horizontal="center" wrapText="1"/>
    </xf>
    <xf numFmtId="0" fontId="4" fillId="3" borderId="12" xfId="0" applyFont="1" applyFill="1" applyBorder="1" applyAlignment="1">
      <alignment horizontal="center" wrapText="1"/>
    </xf>
    <xf numFmtId="0" fontId="4" fillId="3" borderId="6" xfId="0" applyFont="1" applyFill="1" applyBorder="1" applyAlignment="1">
      <alignment horizontal="center" wrapText="1"/>
    </xf>
    <xf numFmtId="0" fontId="4" fillId="3" borderId="4" xfId="0" applyFont="1" applyFill="1" applyBorder="1" applyAlignment="1">
      <alignment horizontal="center" wrapText="1"/>
    </xf>
    <xf numFmtId="0" fontId="4" fillId="3" borderId="8" xfId="0" applyFont="1" applyFill="1" applyBorder="1" applyAlignment="1">
      <alignment horizontal="center" wrapText="1"/>
    </xf>
    <xf numFmtId="0" fontId="4" fillId="0" borderId="1" xfId="0" applyFont="1" applyBorder="1" applyAlignment="1">
      <alignment horizontal="left" vertical="top" wrapText="1"/>
    </xf>
    <xf numFmtId="0" fontId="4" fillId="0" borderId="0" xfId="0" applyFont="1" applyAlignment="1">
      <alignment horizontal="left" vertical="top" wrapText="1"/>
    </xf>
    <xf numFmtId="0" fontId="12" fillId="11" borderId="41" xfId="0" applyFont="1" applyFill="1" applyBorder="1" applyAlignment="1">
      <alignment horizontal="center" vertical="center" wrapText="1"/>
    </xf>
    <xf numFmtId="0" fontId="12" fillId="11" borderId="42" xfId="0" applyFont="1" applyFill="1" applyBorder="1" applyAlignment="1">
      <alignment horizontal="center" vertical="center" wrapText="1"/>
    </xf>
    <xf numFmtId="0" fontId="12" fillId="11" borderId="5" xfId="0" applyFont="1" applyFill="1" applyBorder="1" applyAlignment="1">
      <alignment horizontal="center" vertical="center" wrapText="1"/>
    </xf>
    <xf numFmtId="0" fontId="12" fillId="11" borderId="6" xfId="0" applyFont="1" applyFill="1" applyBorder="1" applyAlignment="1">
      <alignment horizontal="center" vertical="center" wrapText="1"/>
    </xf>
    <xf numFmtId="0" fontId="12" fillId="0" borderId="0" xfId="0" applyFont="1" applyAlignment="1">
      <alignment horizontal="center"/>
    </xf>
    <xf numFmtId="0" fontId="4" fillId="0" borderId="0" xfId="0" applyFont="1" applyAlignment="1">
      <alignment horizontal="center"/>
    </xf>
    <xf numFmtId="3" fontId="4" fillId="8" borderId="0" xfId="0" applyNumberFormat="1" applyFont="1" applyFill="1" applyAlignment="1">
      <alignment horizontal="center" vertical="center" wrapText="1"/>
    </xf>
    <xf numFmtId="0" fontId="4" fillId="0" borderId="4" xfId="0" applyFont="1" applyBorder="1" applyAlignment="1">
      <alignment horizontal="center" wrapText="1"/>
    </xf>
    <xf numFmtId="0" fontId="12" fillId="9" borderId="36" xfId="0" applyFont="1" applyFill="1" applyBorder="1" applyAlignment="1">
      <alignment horizontal="center"/>
    </xf>
    <xf numFmtId="0" fontId="12" fillId="9" borderId="5" xfId="0" applyFont="1" applyFill="1" applyBorder="1" applyAlignment="1">
      <alignment horizontal="center"/>
    </xf>
    <xf numFmtId="0" fontId="4" fillId="9" borderId="3" xfId="0" applyFont="1" applyFill="1" applyBorder="1" applyAlignment="1">
      <alignment horizontal="center" vertical="center"/>
    </xf>
    <xf numFmtId="0" fontId="4" fillId="9" borderId="5" xfId="0" applyFont="1" applyFill="1" applyBorder="1" applyAlignment="1">
      <alignment horizontal="center" vertical="center"/>
    </xf>
    <xf numFmtId="0" fontId="12" fillId="9" borderId="3" xfId="0" applyFont="1" applyFill="1" applyBorder="1" applyAlignment="1">
      <alignment horizontal="center" vertical="center"/>
    </xf>
    <xf numFmtId="0" fontId="12" fillId="9" borderId="6" xfId="0" applyFont="1" applyFill="1" applyBorder="1" applyAlignment="1">
      <alignment horizontal="center" vertical="center"/>
    </xf>
    <xf numFmtId="0" fontId="12" fillId="9" borderId="1" xfId="0" applyFont="1" applyFill="1" applyBorder="1" applyAlignment="1">
      <alignment horizontal="center" vertical="center"/>
    </xf>
    <xf numFmtId="0" fontId="12" fillId="9" borderId="4" xfId="0" applyFont="1" applyFill="1" applyBorder="1" applyAlignment="1">
      <alignment horizontal="center" vertical="center"/>
    </xf>
    <xf numFmtId="0" fontId="4" fillId="9" borderId="6" xfId="0" applyFont="1" applyFill="1" applyBorder="1" applyAlignment="1">
      <alignment horizontal="center" vertical="center"/>
    </xf>
    <xf numFmtId="0" fontId="12" fillId="9" borderId="9" xfId="0" applyFont="1" applyFill="1" applyBorder="1" applyAlignment="1">
      <alignment horizontal="center" vertical="center"/>
    </xf>
    <xf numFmtId="0" fontId="12" fillId="9" borderId="10" xfId="0" applyFont="1" applyFill="1" applyBorder="1" applyAlignment="1">
      <alignment horizontal="center" vertical="center"/>
    </xf>
    <xf numFmtId="0" fontId="12" fillId="9" borderId="42" xfId="0" applyFont="1" applyFill="1" applyBorder="1" applyAlignment="1">
      <alignment horizontal="center" vertical="center"/>
    </xf>
    <xf numFmtId="0" fontId="4" fillId="9" borderId="36" xfId="0" applyFont="1" applyFill="1" applyBorder="1" applyAlignment="1">
      <alignment horizontal="center" vertical="center"/>
    </xf>
    <xf numFmtId="0" fontId="12" fillId="0" borderId="0" xfId="0" applyFont="1" applyAlignment="1">
      <alignment horizontal="left" wrapText="1"/>
    </xf>
    <xf numFmtId="0" fontId="12" fillId="9" borderId="0" xfId="0" applyFont="1" applyFill="1" applyAlignment="1">
      <alignment horizontal="center"/>
    </xf>
    <xf numFmtId="0" fontId="12" fillId="9" borderId="7" xfId="0" applyFont="1" applyFill="1" applyBorder="1" applyAlignment="1">
      <alignment horizontal="center"/>
    </xf>
    <xf numFmtId="0" fontId="12" fillId="0" borderId="3" xfId="0" applyFont="1" applyBorder="1" applyAlignment="1">
      <alignment horizontal="center" vertical="top" wrapText="1"/>
    </xf>
    <xf numFmtId="0" fontId="12" fillId="0" borderId="5" xfId="0" applyFont="1" applyBorder="1" applyAlignment="1">
      <alignment horizontal="center" vertical="top" wrapText="1"/>
    </xf>
    <xf numFmtId="0" fontId="12" fillId="0" borderId="3" xfId="0" applyFont="1" applyBorder="1" applyAlignment="1">
      <alignment horizontal="center" wrapText="1"/>
    </xf>
    <xf numFmtId="0" fontId="12" fillId="0" borderId="0" xfId="0" applyFont="1" applyAlignment="1">
      <alignment horizontal="center" wrapText="1"/>
    </xf>
    <xf numFmtId="0" fontId="34" fillId="0" borderId="0" xfId="0" applyFont="1" applyAlignment="1">
      <alignment horizontal="left" vertical="top" wrapText="1"/>
    </xf>
    <xf numFmtId="0" fontId="12" fillId="0" borderId="0" xfId="0" applyFont="1" applyAlignment="1">
      <alignment horizontal="center" vertical="top" wrapText="1"/>
    </xf>
    <xf numFmtId="0" fontId="4" fillId="0" borderId="2" xfId="0" applyFont="1" applyBorder="1" applyAlignment="1">
      <alignment horizontal="left" wrapText="1"/>
    </xf>
    <xf numFmtId="0" fontId="4" fillId="0" borderId="7" xfId="0" applyFont="1" applyBorder="1" applyAlignment="1">
      <alignment horizontal="left" wrapText="1"/>
    </xf>
    <xf numFmtId="0" fontId="4" fillId="0" borderId="8" xfId="0" applyFont="1" applyBorder="1" applyAlignment="1">
      <alignment horizontal="left" wrapText="1"/>
    </xf>
    <xf numFmtId="0" fontId="4" fillId="11" borderId="1" xfId="0" applyFont="1" applyFill="1" applyBorder="1" applyAlignment="1">
      <alignment horizontal="left" wrapText="1" indent="3"/>
    </xf>
    <xf numFmtId="0" fontId="4" fillId="11" borderId="0" xfId="0" applyFont="1" applyFill="1" applyAlignment="1">
      <alignment horizontal="left" wrapText="1" indent="3"/>
    </xf>
    <xf numFmtId="0" fontId="4" fillId="11" borderId="4" xfId="0" applyFont="1" applyFill="1" applyBorder="1" applyAlignment="1">
      <alignment horizontal="left" wrapText="1" indent="3"/>
    </xf>
    <xf numFmtId="0" fontId="4" fillId="0" borderId="1" xfId="0" applyFont="1" applyBorder="1" applyAlignment="1">
      <alignment horizontal="left" wrapText="1" indent="3"/>
    </xf>
    <xf numFmtId="0" fontId="4" fillId="0" borderId="0" xfId="0" applyFont="1" applyAlignment="1">
      <alignment horizontal="left" wrapText="1" indent="3"/>
    </xf>
    <xf numFmtId="0" fontId="4" fillId="0" borderId="4" xfId="0" applyFont="1" applyBorder="1" applyAlignment="1">
      <alignment horizontal="left" wrapText="1" indent="3"/>
    </xf>
    <xf numFmtId="0" fontId="4" fillId="0" borderId="1" xfId="0" applyFont="1" applyBorder="1" applyAlignment="1">
      <alignment horizontal="left" wrapText="1"/>
    </xf>
    <xf numFmtId="0" fontId="4" fillId="0" borderId="0" xfId="0" applyFont="1" applyAlignment="1">
      <alignment horizontal="left" wrapText="1"/>
    </xf>
    <xf numFmtId="0" fontId="4" fillId="0" borderId="4" xfId="0" applyFont="1" applyBorder="1" applyAlignment="1">
      <alignment horizontal="left" wrapText="1"/>
    </xf>
    <xf numFmtId="0" fontId="4" fillId="11" borderId="1" xfId="0" applyFont="1" applyFill="1" applyBorder="1" applyAlignment="1">
      <alignment horizontal="left" vertical="top" wrapText="1" indent="3"/>
    </xf>
    <xf numFmtId="0" fontId="4" fillId="11" borderId="0" xfId="0" applyFont="1" applyFill="1" applyAlignment="1">
      <alignment horizontal="left" vertical="top" wrapText="1" indent="3"/>
    </xf>
    <xf numFmtId="0" fontId="4" fillId="11" borderId="4" xfId="0" applyFont="1" applyFill="1" applyBorder="1" applyAlignment="1">
      <alignment horizontal="left" vertical="top" wrapText="1" indent="3"/>
    </xf>
    <xf numFmtId="0" fontId="4" fillId="0" borderId="3" xfId="0" applyFont="1" applyBorder="1" applyAlignment="1">
      <alignment horizontal="left" wrapText="1" indent="3"/>
    </xf>
    <xf numFmtId="0" fontId="4" fillId="0" borderId="5" xfId="0" applyFont="1" applyBorder="1" applyAlignment="1">
      <alignment horizontal="left" wrapText="1" indent="3"/>
    </xf>
    <xf numFmtId="0" fontId="4" fillId="0" borderId="6" xfId="0" applyFont="1" applyBorder="1" applyAlignment="1">
      <alignment horizontal="left" wrapText="1" indent="3"/>
    </xf>
    <xf numFmtId="0" fontId="36" fillId="0" borderId="0" xfId="0" applyFont="1" applyAlignment="1">
      <alignment horizontal="left" vertical="top" wrapText="1"/>
    </xf>
    <xf numFmtId="0" fontId="4" fillId="9" borderId="5" xfId="0" applyFont="1" applyFill="1" applyBorder="1" applyAlignment="1">
      <alignment horizontal="right"/>
    </xf>
    <xf numFmtId="0" fontId="12" fillId="0" borderId="0" xfId="0" applyFont="1" applyBorder="1" applyAlignment="1">
      <alignment horizontal="center"/>
    </xf>
    <xf numFmtId="0" fontId="12" fillId="11" borderId="0" xfId="0" applyFont="1" applyFill="1" applyAlignment="1">
      <alignment horizontal="center"/>
    </xf>
    <xf numFmtId="0" fontId="12" fillId="0" borderId="3" xfId="0" applyFont="1" applyBorder="1" applyAlignment="1">
      <alignment horizontal="center"/>
    </xf>
    <xf numFmtId="0" fontId="12" fillId="0" borderId="5" xfId="0" applyFont="1" applyBorder="1" applyAlignment="1">
      <alignment horizontal="center"/>
    </xf>
    <xf numFmtId="0" fontId="4" fillId="0" borderId="7" xfId="0" applyFont="1" applyBorder="1" applyAlignment="1">
      <alignment horizontal="left" vertical="top" wrapText="1"/>
    </xf>
    <xf numFmtId="0" fontId="12" fillId="9" borderId="3" xfId="0" applyFont="1" applyFill="1" applyBorder="1" applyAlignment="1">
      <alignment horizontal="center" wrapText="1"/>
    </xf>
    <xf numFmtId="0" fontId="12" fillId="9" borderId="6" xfId="0" applyFont="1" applyFill="1" applyBorder="1" applyAlignment="1">
      <alignment horizontal="center" wrapText="1"/>
    </xf>
    <xf numFmtId="0" fontId="12" fillId="9" borderId="1" xfId="0" applyFont="1" applyFill="1" applyBorder="1" applyAlignment="1">
      <alignment horizontal="center" wrapText="1"/>
    </xf>
    <xf numFmtId="0" fontId="12" fillId="9" borderId="0" xfId="0" applyFont="1" applyFill="1" applyAlignment="1">
      <alignment horizontal="center" wrapText="1"/>
    </xf>
    <xf numFmtId="0" fontId="27" fillId="0" borderId="7" xfId="0" applyFont="1" applyBorder="1" applyAlignment="1">
      <alignment horizontal="left" vertical="top" wrapText="1"/>
    </xf>
    <xf numFmtId="0" fontId="27" fillId="0" borderId="2" xfId="0" applyFont="1" applyBorder="1" applyAlignment="1">
      <alignment horizontal="center"/>
    </xf>
    <xf numFmtId="0" fontId="27" fillId="0" borderId="7" xfId="0" applyFont="1" applyBorder="1" applyAlignment="1">
      <alignment horizontal="center"/>
    </xf>
    <xf numFmtId="0" fontId="27" fillId="0" borderId="8" xfId="0" applyFont="1" applyBorder="1" applyAlignment="1">
      <alignment horizontal="center"/>
    </xf>
    <xf numFmtId="0" fontId="4" fillId="9" borderId="53" xfId="0" applyFont="1" applyFill="1" applyBorder="1" applyAlignment="1">
      <alignment horizontal="right"/>
    </xf>
    <xf numFmtId="0" fontId="3" fillId="15" borderId="2" xfId="0" applyFont="1" applyFill="1" applyBorder="1" applyAlignment="1">
      <alignment horizontal="center"/>
    </xf>
    <xf numFmtId="0" fontId="3" fillId="15" borderId="7" xfId="0" applyFont="1" applyFill="1" applyBorder="1" applyAlignment="1">
      <alignment horizontal="center"/>
    </xf>
    <xf numFmtId="0" fontId="3" fillId="15" borderId="8" xfId="0" applyFont="1" applyFill="1" applyBorder="1" applyAlignment="1">
      <alignment horizontal="center"/>
    </xf>
    <xf numFmtId="0" fontId="12" fillId="0" borderId="3" xfId="0" applyFont="1" applyBorder="1" applyAlignment="1">
      <alignment horizontal="left"/>
    </xf>
    <xf numFmtId="0" fontId="12" fillId="0" borderId="5" xfId="0" applyFont="1" applyBorder="1" applyAlignment="1">
      <alignment horizontal="left"/>
    </xf>
    <xf numFmtId="0" fontId="12" fillId="0" borderId="6" xfId="0" applyFont="1" applyBorder="1" applyAlignment="1">
      <alignment horizontal="center"/>
    </xf>
    <xf numFmtId="0" fontId="12" fillId="0" borderId="1" xfId="0" applyFont="1" applyBorder="1" applyAlignment="1">
      <alignment horizontal="center"/>
    </xf>
    <xf numFmtId="0" fontId="12" fillId="0" borderId="4" xfId="0" applyFont="1" applyBorder="1" applyAlignment="1">
      <alignment horizontal="center"/>
    </xf>
    <xf numFmtId="0" fontId="12" fillId="0" borderId="2" xfId="0" applyFont="1" applyBorder="1" applyAlignment="1">
      <alignment horizontal="center"/>
    </xf>
    <xf numFmtId="0" fontId="12" fillId="0" borderId="8" xfId="0" applyFont="1" applyBorder="1" applyAlignment="1">
      <alignment horizontal="center"/>
    </xf>
    <xf numFmtId="0" fontId="12" fillId="9" borderId="41" xfId="0" applyFont="1" applyFill="1" applyBorder="1" applyAlignment="1">
      <alignment horizontal="center" wrapText="1"/>
    </xf>
    <xf numFmtId="0" fontId="12" fillId="9" borderId="42" xfId="0" applyFont="1" applyFill="1" applyBorder="1" applyAlignment="1">
      <alignment horizontal="center" wrapText="1"/>
    </xf>
    <xf numFmtId="0" fontId="38" fillId="0" borderId="7" xfId="0" applyFont="1" applyBorder="1" applyAlignment="1">
      <alignment horizontal="center"/>
    </xf>
    <xf numFmtId="0" fontId="38" fillId="0" borderId="0" xfId="0" applyFont="1" applyAlignment="1">
      <alignment horizontal="center"/>
    </xf>
    <xf numFmtId="0" fontId="12" fillId="0" borderId="41" xfId="0" applyFont="1" applyBorder="1" applyAlignment="1">
      <alignment horizontal="center"/>
    </xf>
    <xf numFmtId="0" fontId="12" fillId="0" borderId="42" xfId="0" applyFont="1" applyBorder="1" applyAlignment="1">
      <alignment horizontal="center"/>
    </xf>
    <xf numFmtId="0" fontId="12" fillId="0" borderId="43" xfId="0" applyFont="1" applyBorder="1" applyAlignment="1">
      <alignment horizontal="center"/>
    </xf>
    <xf numFmtId="0" fontId="12" fillId="9" borderId="2" xfId="0" applyFont="1" applyFill="1" applyBorder="1" applyAlignment="1">
      <alignment horizontal="center" wrapText="1"/>
    </xf>
    <xf numFmtId="0" fontId="12" fillId="9" borderId="7" xfId="0" applyFont="1" applyFill="1" applyBorder="1" applyAlignment="1">
      <alignment horizontal="center" wrapText="1"/>
    </xf>
    <xf numFmtId="0" fontId="1" fillId="0" borderId="0" xfId="0" applyFont="1" applyAlignment="1">
      <alignment horizontal="left" vertical="top" wrapText="1"/>
    </xf>
    <xf numFmtId="0" fontId="2" fillId="9" borderId="3" xfId="0" applyFont="1" applyFill="1" applyBorder="1" applyAlignment="1">
      <alignment horizontal="center" wrapText="1"/>
    </xf>
    <xf numFmtId="0" fontId="2" fillId="9" borderId="5" xfId="0" applyFont="1" applyFill="1" applyBorder="1" applyAlignment="1">
      <alignment horizontal="center" wrapText="1"/>
    </xf>
    <xf numFmtId="0" fontId="2" fillId="9" borderId="1" xfId="0" applyFont="1" applyFill="1" applyBorder="1" applyAlignment="1">
      <alignment horizontal="center" wrapText="1"/>
    </xf>
    <xf numFmtId="0" fontId="2" fillId="9" borderId="0" xfId="0" applyFont="1" applyFill="1" applyAlignment="1">
      <alignment horizontal="center" wrapText="1"/>
    </xf>
    <xf numFmtId="0" fontId="1" fillId="9" borderId="3" xfId="0" applyFont="1" applyFill="1" applyBorder="1" applyAlignment="1">
      <alignment horizontal="center"/>
    </xf>
    <xf numFmtId="0" fontId="1" fillId="9" borderId="5" xfId="0" applyFont="1" applyFill="1" applyBorder="1" applyAlignment="1">
      <alignment horizontal="center"/>
    </xf>
    <xf numFmtId="0" fontId="1" fillId="9" borderId="3" xfId="0" applyFont="1" applyFill="1" applyBorder="1" applyAlignment="1">
      <alignment horizontal="center" wrapText="1"/>
    </xf>
    <xf numFmtId="0" fontId="1" fillId="9" borderId="5" xfId="0" applyFont="1" applyFill="1" applyBorder="1" applyAlignment="1">
      <alignment horizontal="center" wrapText="1"/>
    </xf>
    <xf numFmtId="0" fontId="1" fillId="9" borderId="6" xfId="0" applyFont="1" applyFill="1" applyBorder="1" applyAlignment="1">
      <alignment horizontal="center" wrapText="1"/>
    </xf>
    <xf numFmtId="0" fontId="43" fillId="9" borderId="3" xfId="0" applyFont="1" applyFill="1" applyBorder="1" applyAlignment="1">
      <alignment horizontal="center"/>
    </xf>
    <xf numFmtId="0" fontId="43" fillId="9" borderId="5" xfId="0" applyFont="1" applyFill="1" applyBorder="1" applyAlignment="1">
      <alignment horizontal="center"/>
    </xf>
    <xf numFmtId="0" fontId="43" fillId="9" borderId="6" xfId="0" applyFont="1" applyFill="1" applyBorder="1" applyAlignment="1">
      <alignment horizontal="center"/>
    </xf>
    <xf numFmtId="0" fontId="1" fillId="9" borderId="36" xfId="0" applyFont="1" applyFill="1" applyBorder="1" applyAlignment="1">
      <alignment horizontal="center"/>
    </xf>
    <xf numFmtId="0" fontId="1" fillId="9" borderId="6" xfId="0" applyFont="1" applyFill="1" applyBorder="1" applyAlignment="1">
      <alignment horizontal="center"/>
    </xf>
    <xf numFmtId="0" fontId="1" fillId="9" borderId="14" xfId="0" applyFont="1" applyFill="1" applyBorder="1" applyAlignment="1">
      <alignment horizontal="center"/>
    </xf>
    <xf numFmtId="0" fontId="1" fillId="9" borderId="12" xfId="0" applyFont="1" applyFill="1" applyBorder="1" applyAlignment="1">
      <alignment horizontal="center"/>
    </xf>
    <xf numFmtId="0" fontId="1" fillId="0" borderId="0" xfId="0" applyFont="1" applyAlignment="1">
      <alignment horizontal="center"/>
    </xf>
    <xf numFmtId="0" fontId="4" fillId="0" borderId="0" xfId="0" applyFont="1" applyAlignment="1">
      <alignment horizontal="left" vertical="center" wrapText="1"/>
    </xf>
    <xf numFmtId="3" fontId="12" fillId="0" borderId="0" xfId="0" applyNumberFormat="1" applyFont="1" applyAlignment="1">
      <alignment horizontal="left" wrapText="1"/>
    </xf>
    <xf numFmtId="3" fontId="12" fillId="0" borderId="0" xfId="0" applyNumberFormat="1" applyFont="1" applyAlignment="1">
      <alignment horizontal="left"/>
    </xf>
    <xf numFmtId="0" fontId="4" fillId="0" borderId="7" xfId="0" applyFont="1" applyBorder="1" applyAlignment="1">
      <alignment horizontal="center"/>
    </xf>
    <xf numFmtId="0" fontId="4" fillId="0" borderId="0" xfId="0" applyFont="1" applyAlignment="1">
      <alignment vertical="center" wrapText="1"/>
    </xf>
    <xf numFmtId="0" fontId="4" fillId="0" borderId="0" xfId="0" applyFont="1" applyAlignment="1">
      <alignment vertical="center"/>
    </xf>
    <xf numFmtId="0" fontId="4" fillId="8" borderId="0" xfId="0" applyFont="1" applyFill="1" applyAlignment="1">
      <alignment horizontal="left" vertical="top" wrapText="1"/>
    </xf>
    <xf numFmtId="1" fontId="49" fillId="0" borderId="52" xfId="0" applyNumberFormat="1" applyFont="1" applyBorder="1" applyAlignment="1">
      <alignment horizontal="center" vertical="top"/>
    </xf>
    <xf numFmtId="1" fontId="49" fillId="0" borderId="0" xfId="0" applyNumberFormat="1" applyFont="1" applyAlignment="1">
      <alignment horizontal="center" vertical="top"/>
    </xf>
    <xf numFmtId="1" fontId="49" fillId="0" borderId="41" xfId="0" applyNumberFormat="1" applyFont="1" applyBorder="1" applyAlignment="1">
      <alignment horizontal="center" vertical="top"/>
    </xf>
    <xf numFmtId="1" fontId="49" fillId="0" borderId="42" xfId="0" applyNumberFormat="1" applyFont="1" applyBorder="1" applyAlignment="1">
      <alignment horizontal="center" vertical="top"/>
    </xf>
    <xf numFmtId="1" fontId="49" fillId="0" borderId="43" xfId="0" applyNumberFormat="1" applyFont="1" applyBorder="1" applyAlignment="1">
      <alignment horizontal="center" vertical="top"/>
    </xf>
    <xf numFmtId="0" fontId="12" fillId="27" borderId="0" xfId="0" applyFont="1" applyFill="1" applyAlignment="1">
      <alignment horizontal="center"/>
    </xf>
    <xf numFmtId="0" fontId="7" fillId="0" borderId="0" xfId="0" applyFont="1" applyAlignment="1">
      <alignment horizontal="center" wrapText="1"/>
    </xf>
    <xf numFmtId="0" fontId="7" fillId="32" borderId="0" xfId="0" applyFont="1" applyFill="1" applyAlignment="1">
      <alignment wrapText="1"/>
    </xf>
    <xf numFmtId="0" fontId="1" fillId="0" borderId="0" xfId="0" applyFont="1" applyAlignment="1">
      <alignment wrapText="1"/>
    </xf>
    <xf numFmtId="0" fontId="7" fillId="34" borderId="0" xfId="0" applyFont="1" applyFill="1" applyAlignment="1">
      <alignment horizontal="center" wrapText="1"/>
    </xf>
    <xf numFmtId="0" fontId="1" fillId="8" borderId="0" xfId="0" applyFont="1" applyFill="1" applyAlignment="1">
      <alignment horizontal="center" wrapText="1"/>
    </xf>
    <xf numFmtId="0" fontId="7" fillId="33" borderId="0" xfId="0" applyFont="1" applyFill="1" applyAlignment="1">
      <alignment horizontal="center" wrapText="1"/>
    </xf>
    <xf numFmtId="0" fontId="7" fillId="35" borderId="0" xfId="0" applyFont="1" applyFill="1" applyAlignment="1">
      <alignment horizontal="center" wrapText="1"/>
    </xf>
  </cellXfs>
  <cellStyles count="4">
    <cellStyle name="Normal" xfId="0" builtinId="0"/>
    <cellStyle name="Normal 2" xfId="2" xr:uid="{35E765C7-AE20-4FCA-9C6E-1305BB88AFE8}"/>
    <cellStyle name="Normal 3" xfId="3" xr:uid="{FAC3CA7E-CDF8-4E23-A1B8-F965AA8C4F6D}"/>
    <cellStyle name="Percent" xfId="1" builtinId="5"/>
  </cellStyles>
  <dxfs count="81">
    <dxf>
      <fill>
        <patternFill>
          <bgColor theme="9" tint="0.79998168889431442"/>
        </patternFill>
      </fill>
    </dxf>
    <dxf>
      <fill>
        <patternFill>
          <bgColor theme="5" tint="0.39994506668294322"/>
        </patternFill>
      </fill>
    </dxf>
    <dxf>
      <fill>
        <patternFill>
          <bgColor theme="9" tint="0.59996337778862885"/>
        </patternFill>
      </fill>
    </dxf>
    <dxf>
      <fill>
        <patternFill>
          <bgColor theme="5" tint="0.59996337778862885"/>
        </patternFill>
      </fill>
    </dxf>
    <dxf>
      <fill>
        <patternFill>
          <bgColor rgb="FFA9D08E"/>
        </patternFill>
      </fill>
    </dxf>
    <dxf>
      <fill>
        <patternFill>
          <bgColor rgb="FFA9D08E"/>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rgb="FFA9D08E"/>
        </patternFill>
      </fill>
    </dxf>
    <dxf>
      <fill>
        <patternFill>
          <bgColor theme="9" tint="0.39994506668294322"/>
        </patternFill>
      </fill>
    </dxf>
    <dxf>
      <font>
        <strike val="0"/>
        <outline val="0"/>
        <shadow val="0"/>
        <u val="none"/>
        <vertAlign val="baseline"/>
        <color theme="1"/>
        <name val="Arial"/>
        <family val="2"/>
        <scheme val="none"/>
      </font>
    </dxf>
    <dxf>
      <font>
        <strike val="0"/>
        <outline val="0"/>
        <shadow val="0"/>
        <u val="none"/>
        <vertAlign val="baseline"/>
        <color theme="1"/>
        <name val="Arial"/>
        <family val="2"/>
        <scheme val="none"/>
      </font>
    </dxf>
    <dxf>
      <font>
        <strike val="0"/>
        <outline val="0"/>
        <shadow val="0"/>
        <u val="none"/>
        <vertAlign val="baseline"/>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left" vertical="bottom" textRotation="0" wrapText="0" indent="2" justifyLastLine="0" shrinkToFit="0" readingOrder="0"/>
    </dxf>
    <dxf>
      <font>
        <strike val="0"/>
        <outline val="0"/>
        <shadow val="0"/>
        <u val="none"/>
        <vertAlign val="baseline"/>
        <color theme="1"/>
        <name val="Arial"/>
        <family val="2"/>
        <scheme val="none"/>
      </font>
    </dxf>
    <dxf>
      <font>
        <b val="0"/>
        <i val="0"/>
        <strike val="0"/>
        <condense val="0"/>
        <extend val="0"/>
        <outline val="0"/>
        <shadow val="0"/>
        <u val="none"/>
        <vertAlign val="baseline"/>
        <sz val="16"/>
        <color theme="1"/>
        <name val="Arial"/>
        <family val="2"/>
        <scheme val="none"/>
      </font>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alignment wrapText="1"/>
    </dxf>
    <dxf>
      <alignment wrapText="1"/>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alignment wrapText="1"/>
    </dxf>
    <dxf>
      <alignment wrapText="1"/>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sharedStrings" Target="sharedStrings.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theme" Target="theme/theme1.xml"/><Relationship Id="rId40" Type="http://schemas.microsoft.com/office/2017/10/relationships/person" Target="persons/perso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pivotCacheDefinition" Target="pivotCache/pivotCacheDefinition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externalLink" Target="externalLinks/externalLink1.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absolute">
    <xdr:from>
      <xdr:col>12</xdr:col>
      <xdr:colOff>76200</xdr:colOff>
      <xdr:row>8</xdr:row>
      <xdr:rowOff>114300</xdr:rowOff>
    </xdr:from>
    <xdr:to>
      <xdr:col>13</xdr:col>
      <xdr:colOff>609600</xdr:colOff>
      <xdr:row>11</xdr:row>
      <xdr:rowOff>304800</xdr:rowOff>
    </xdr:to>
    <xdr:sp macro="" textlink="">
      <xdr:nvSpPr>
        <xdr:cNvPr id="291841" name="Text Box 1025" hidden="1">
          <a:extLst>
            <a:ext uri="{FF2B5EF4-FFF2-40B4-BE49-F238E27FC236}">
              <a16:creationId xmlns:a16="http://schemas.microsoft.com/office/drawing/2014/main" id="{59F931C4-3CEC-488C-9295-DD87FFBF6346}"/>
            </a:ext>
          </a:extLst>
        </xdr:cNvPr>
        <xdr:cNvSpPr txBox="1">
          <a:spLocks noChangeArrowheads="1"/>
        </xdr:cNvSpPr>
      </xdr:nvSpPr>
      <xdr:spPr bwMode="auto">
        <a:xfrm>
          <a:off x="17145000" y="1838325"/>
          <a:ext cx="12954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1027" name="Text Box 3" hidden="1">
          <a:extLst>
            <a:ext uri="{FF2B5EF4-FFF2-40B4-BE49-F238E27FC236}">
              <a16:creationId xmlns:a16="http://schemas.microsoft.com/office/drawing/2014/main" id="{2CFB6872-35A6-4E3E-9831-117F30FCB99D}"/>
            </a:ext>
          </a:extLst>
        </xdr:cNvPr>
        <xdr:cNvSpPr txBox="1">
          <a:spLocks noChangeArrowheads="1"/>
        </xdr:cNvSpPr>
      </xdr:nvSpPr>
      <xdr:spPr bwMode="auto">
        <a:xfrm>
          <a:off x="17145000" y="183832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2" name="Text Box 3" hidden="1">
          <a:extLst>
            <a:ext uri="{FF2B5EF4-FFF2-40B4-BE49-F238E27FC236}">
              <a16:creationId xmlns:a16="http://schemas.microsoft.com/office/drawing/2014/main" id="{5B78127B-FDE8-4D1C-B9BF-3B0959B5B314}"/>
            </a:ext>
          </a:extLst>
        </xdr:cNvPr>
        <xdr:cNvSpPr txBox="1">
          <a:spLocks noChangeArrowheads="1"/>
        </xdr:cNvSpPr>
      </xdr:nvSpPr>
      <xdr:spPr bwMode="auto">
        <a:xfrm>
          <a:off x="17145000" y="183832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3" name="Text Box 3" hidden="1">
          <a:extLst>
            <a:ext uri="{FF2B5EF4-FFF2-40B4-BE49-F238E27FC236}">
              <a16:creationId xmlns:a16="http://schemas.microsoft.com/office/drawing/2014/main" id="{4EF50001-7DFD-42E6-BEEF-D54C3CA59439}"/>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4" name="Text Box 3" hidden="1">
          <a:extLst>
            <a:ext uri="{FF2B5EF4-FFF2-40B4-BE49-F238E27FC236}">
              <a16:creationId xmlns:a16="http://schemas.microsoft.com/office/drawing/2014/main" id="{CB83A888-A7B4-47BA-A453-3120A87CED82}"/>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5" name="Text Box 3" hidden="1">
          <a:extLst>
            <a:ext uri="{FF2B5EF4-FFF2-40B4-BE49-F238E27FC236}">
              <a16:creationId xmlns:a16="http://schemas.microsoft.com/office/drawing/2014/main" id="{368DB186-4601-4007-9006-74EA267F4664}"/>
            </a:ext>
          </a:extLst>
        </xdr:cNvPr>
        <xdr:cNvSpPr txBox="1">
          <a:spLocks noChangeArrowheads="1"/>
        </xdr:cNvSpPr>
      </xdr:nvSpPr>
      <xdr:spPr bwMode="auto">
        <a:xfrm>
          <a:off x="17145000" y="183832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10.xml><?xml version="1.0" encoding="utf-8"?>
<xdr:wsDr xmlns:xdr="http://schemas.openxmlformats.org/drawingml/2006/spreadsheetDrawing" xmlns:a="http://schemas.openxmlformats.org/drawingml/2006/main">
  <xdr:twoCellAnchor editAs="absolute">
    <xdr:from>
      <xdr:col>2</xdr:col>
      <xdr:colOff>140335</xdr:colOff>
      <xdr:row>52</xdr:row>
      <xdr:rowOff>13250</xdr:rowOff>
    </xdr:from>
    <xdr:to>
      <xdr:col>3</xdr:col>
      <xdr:colOff>635635</xdr:colOff>
      <xdr:row>52</xdr:row>
      <xdr:rowOff>13250</xdr:rowOff>
    </xdr:to>
    <xdr:sp macro="" textlink="">
      <xdr:nvSpPr>
        <xdr:cNvPr id="275460" name="Text Box 1028" hidden="1">
          <a:extLst>
            <a:ext uri="{FF2B5EF4-FFF2-40B4-BE49-F238E27FC236}">
              <a16:creationId xmlns:a16="http://schemas.microsoft.com/office/drawing/2014/main" id="{00FA32C4-E5B5-4A36-B80E-7E9890C5E8A9}"/>
            </a:ext>
          </a:extLst>
        </xdr:cNvPr>
        <xdr:cNvSpPr txBox="1">
          <a:spLocks noChangeArrowheads="1"/>
        </xdr:cNvSpPr>
      </xdr:nvSpPr>
      <xdr:spPr bwMode="auto">
        <a:xfrm>
          <a:off x="2743200" y="9662160"/>
          <a:ext cx="139446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52</xdr:row>
      <xdr:rowOff>13250</xdr:rowOff>
    </xdr:from>
    <xdr:to>
      <xdr:col>3</xdr:col>
      <xdr:colOff>628650</xdr:colOff>
      <xdr:row>52</xdr:row>
      <xdr:rowOff>13250</xdr:rowOff>
    </xdr:to>
    <xdr:sp macro="" textlink="">
      <xdr:nvSpPr>
        <xdr:cNvPr id="275461" name="Text Box 1029" hidden="1">
          <a:extLst>
            <a:ext uri="{FF2B5EF4-FFF2-40B4-BE49-F238E27FC236}">
              <a16:creationId xmlns:a16="http://schemas.microsoft.com/office/drawing/2014/main" id="{31E6748E-8457-4C4B-80B4-92C1BB0F1B8F}"/>
            </a:ext>
          </a:extLst>
        </xdr:cNvPr>
        <xdr:cNvSpPr txBox="1">
          <a:spLocks noChangeArrowheads="1"/>
        </xdr:cNvSpPr>
      </xdr:nvSpPr>
      <xdr:spPr bwMode="auto">
        <a:xfrm>
          <a:off x="2657475" y="99822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52</xdr:row>
      <xdr:rowOff>13250</xdr:rowOff>
    </xdr:from>
    <xdr:to>
      <xdr:col>3</xdr:col>
      <xdr:colOff>609600</xdr:colOff>
      <xdr:row>52</xdr:row>
      <xdr:rowOff>13250</xdr:rowOff>
    </xdr:to>
    <xdr:sp macro="" textlink="">
      <xdr:nvSpPr>
        <xdr:cNvPr id="275462" name="Text Box 1030" hidden="1">
          <a:extLst>
            <a:ext uri="{FF2B5EF4-FFF2-40B4-BE49-F238E27FC236}">
              <a16:creationId xmlns:a16="http://schemas.microsoft.com/office/drawing/2014/main" id="{31CBCC0B-5F7A-4A9E-9BC5-32F3742F9E9A}"/>
            </a:ext>
          </a:extLst>
        </xdr:cNvPr>
        <xdr:cNvSpPr txBox="1">
          <a:spLocks noChangeArrowheads="1"/>
        </xdr:cNvSpPr>
      </xdr:nvSpPr>
      <xdr:spPr bwMode="auto">
        <a:xfrm>
          <a:off x="2724150" y="972820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52</xdr:row>
      <xdr:rowOff>13250</xdr:rowOff>
    </xdr:from>
    <xdr:to>
      <xdr:col>3</xdr:col>
      <xdr:colOff>609600</xdr:colOff>
      <xdr:row>52</xdr:row>
      <xdr:rowOff>13250</xdr:rowOff>
    </xdr:to>
    <xdr:sp macro="" textlink="">
      <xdr:nvSpPr>
        <xdr:cNvPr id="275463" name="Text Box 1031" hidden="1">
          <a:extLst>
            <a:ext uri="{FF2B5EF4-FFF2-40B4-BE49-F238E27FC236}">
              <a16:creationId xmlns:a16="http://schemas.microsoft.com/office/drawing/2014/main" id="{78D9CD57-945C-46B4-8CF0-E01555CB1726}"/>
            </a:ext>
          </a:extLst>
        </xdr:cNvPr>
        <xdr:cNvSpPr txBox="1">
          <a:spLocks noChangeArrowheads="1"/>
        </xdr:cNvSpPr>
      </xdr:nvSpPr>
      <xdr:spPr bwMode="auto">
        <a:xfrm>
          <a:off x="2638425" y="99822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55</xdr:row>
      <xdr:rowOff>25236</xdr:rowOff>
    </xdr:from>
    <xdr:to>
      <xdr:col>3</xdr:col>
      <xdr:colOff>609600</xdr:colOff>
      <xdr:row>55</xdr:row>
      <xdr:rowOff>25236</xdr:rowOff>
    </xdr:to>
    <xdr:sp macro="" textlink="">
      <xdr:nvSpPr>
        <xdr:cNvPr id="275464" name="Text Box 8" hidden="1">
          <a:extLst>
            <a:ext uri="{FF2B5EF4-FFF2-40B4-BE49-F238E27FC236}">
              <a16:creationId xmlns:a16="http://schemas.microsoft.com/office/drawing/2014/main" id="{2A03C8FD-E8BF-44A0-956D-B6BFDADD1156}"/>
            </a:ext>
          </a:extLst>
        </xdr:cNvPr>
        <xdr:cNvSpPr txBox="1">
          <a:spLocks noChangeArrowheads="1"/>
        </xdr:cNvSpPr>
      </xdr:nvSpPr>
      <xdr:spPr bwMode="auto">
        <a:xfrm>
          <a:off x="2638425" y="109347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55</xdr:row>
      <xdr:rowOff>25236</xdr:rowOff>
    </xdr:from>
    <xdr:to>
      <xdr:col>3</xdr:col>
      <xdr:colOff>609600</xdr:colOff>
      <xdr:row>55</xdr:row>
      <xdr:rowOff>25236</xdr:rowOff>
    </xdr:to>
    <xdr:sp macro="" textlink="">
      <xdr:nvSpPr>
        <xdr:cNvPr id="302081" name="Text Box 1" hidden="1">
          <a:extLst>
            <a:ext uri="{FF2B5EF4-FFF2-40B4-BE49-F238E27FC236}">
              <a16:creationId xmlns:a16="http://schemas.microsoft.com/office/drawing/2014/main" id="{6CB65364-76DB-4F71-B75C-201FF3FABA3D}"/>
            </a:ext>
          </a:extLst>
        </xdr:cNvPr>
        <xdr:cNvSpPr txBox="1">
          <a:spLocks noChangeArrowheads="1"/>
        </xdr:cNvSpPr>
      </xdr:nvSpPr>
      <xdr:spPr bwMode="auto">
        <a:xfrm>
          <a:off x="2638425" y="109347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55</xdr:row>
      <xdr:rowOff>25236</xdr:rowOff>
    </xdr:from>
    <xdr:to>
      <xdr:col>3</xdr:col>
      <xdr:colOff>609600</xdr:colOff>
      <xdr:row>55</xdr:row>
      <xdr:rowOff>25236</xdr:rowOff>
    </xdr:to>
    <xdr:sp macro="" textlink="">
      <xdr:nvSpPr>
        <xdr:cNvPr id="302082" name="Text Box 2" hidden="1">
          <a:extLst>
            <a:ext uri="{FF2B5EF4-FFF2-40B4-BE49-F238E27FC236}">
              <a16:creationId xmlns:a16="http://schemas.microsoft.com/office/drawing/2014/main" id="{7722F2E7-DD7D-42CD-8199-B91C7C7D96B3}"/>
            </a:ext>
          </a:extLst>
        </xdr:cNvPr>
        <xdr:cNvSpPr txBox="1">
          <a:spLocks noChangeArrowheads="1"/>
        </xdr:cNvSpPr>
      </xdr:nvSpPr>
      <xdr:spPr bwMode="auto">
        <a:xfrm>
          <a:off x="2638425" y="109347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55</xdr:row>
      <xdr:rowOff>25236</xdr:rowOff>
    </xdr:from>
    <xdr:to>
      <xdr:col>3</xdr:col>
      <xdr:colOff>609600</xdr:colOff>
      <xdr:row>55</xdr:row>
      <xdr:rowOff>25236</xdr:rowOff>
    </xdr:to>
    <xdr:sp macro="" textlink="">
      <xdr:nvSpPr>
        <xdr:cNvPr id="302083" name="Text Box 3" hidden="1">
          <a:extLst>
            <a:ext uri="{FF2B5EF4-FFF2-40B4-BE49-F238E27FC236}">
              <a16:creationId xmlns:a16="http://schemas.microsoft.com/office/drawing/2014/main" id="{730C43A4-5B62-42DC-85DF-BE2732943BD1}"/>
            </a:ext>
          </a:extLst>
        </xdr:cNvPr>
        <xdr:cNvSpPr txBox="1">
          <a:spLocks noChangeArrowheads="1"/>
        </xdr:cNvSpPr>
      </xdr:nvSpPr>
      <xdr:spPr bwMode="auto">
        <a:xfrm>
          <a:off x="2724150" y="106489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55</xdr:row>
      <xdr:rowOff>25236</xdr:rowOff>
    </xdr:from>
    <xdr:to>
      <xdr:col>3</xdr:col>
      <xdr:colOff>609600</xdr:colOff>
      <xdr:row>55</xdr:row>
      <xdr:rowOff>25236</xdr:rowOff>
    </xdr:to>
    <xdr:sp macro="" textlink="">
      <xdr:nvSpPr>
        <xdr:cNvPr id="302084" name="Text Box 4" hidden="1">
          <a:extLst>
            <a:ext uri="{FF2B5EF4-FFF2-40B4-BE49-F238E27FC236}">
              <a16:creationId xmlns:a16="http://schemas.microsoft.com/office/drawing/2014/main" id="{924069F0-C83B-4662-8B30-845143ABCF18}"/>
            </a:ext>
          </a:extLst>
        </xdr:cNvPr>
        <xdr:cNvSpPr txBox="1">
          <a:spLocks noChangeArrowheads="1"/>
        </xdr:cNvSpPr>
      </xdr:nvSpPr>
      <xdr:spPr bwMode="auto">
        <a:xfrm>
          <a:off x="2724150" y="106489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55</xdr:row>
      <xdr:rowOff>25236</xdr:rowOff>
    </xdr:from>
    <xdr:to>
      <xdr:col>3</xdr:col>
      <xdr:colOff>609600</xdr:colOff>
      <xdr:row>55</xdr:row>
      <xdr:rowOff>25236</xdr:rowOff>
    </xdr:to>
    <xdr:sp macro="" textlink="">
      <xdr:nvSpPr>
        <xdr:cNvPr id="302085" name="Text Box 5" hidden="1">
          <a:extLst>
            <a:ext uri="{FF2B5EF4-FFF2-40B4-BE49-F238E27FC236}">
              <a16:creationId xmlns:a16="http://schemas.microsoft.com/office/drawing/2014/main" id="{655000A7-C9F1-459F-AB31-3FF6DEF20256}"/>
            </a:ext>
          </a:extLst>
        </xdr:cNvPr>
        <xdr:cNvSpPr txBox="1">
          <a:spLocks noChangeArrowheads="1"/>
        </xdr:cNvSpPr>
      </xdr:nvSpPr>
      <xdr:spPr bwMode="auto">
        <a:xfrm>
          <a:off x="2638425" y="109347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11.xml><?xml version="1.0" encoding="utf-8"?>
<xdr:wsDr xmlns:xdr="http://schemas.openxmlformats.org/drawingml/2006/spreadsheetDrawing" xmlns:a="http://schemas.openxmlformats.org/drawingml/2006/main">
  <xdr:twoCellAnchor editAs="absolute">
    <xdr:from>
      <xdr:col>3</xdr:col>
      <xdr:colOff>2781300</xdr:colOff>
      <xdr:row>77</xdr:row>
      <xdr:rowOff>66325</xdr:rowOff>
    </xdr:from>
    <xdr:to>
      <xdr:col>5</xdr:col>
      <xdr:colOff>190500</xdr:colOff>
      <xdr:row>83</xdr:row>
      <xdr:rowOff>74464</xdr:rowOff>
    </xdr:to>
    <xdr:sp macro="" textlink="">
      <xdr:nvSpPr>
        <xdr:cNvPr id="135177" name="Text Box 9" hidden="1">
          <a:extLst>
            <a:ext uri="{FF2B5EF4-FFF2-40B4-BE49-F238E27FC236}">
              <a16:creationId xmlns:a16="http://schemas.microsoft.com/office/drawing/2014/main" id="{4E89DBBC-FD72-4F27-B3EA-CC0C18F4A953}"/>
            </a:ext>
          </a:extLst>
        </xdr:cNvPr>
        <xdr:cNvSpPr txBox="1">
          <a:spLocks noChangeArrowheads="1"/>
        </xdr:cNvSpPr>
      </xdr:nvSpPr>
      <xdr:spPr bwMode="auto">
        <a:xfrm>
          <a:off x="3573780" y="15971520"/>
          <a:ext cx="1264920" cy="12039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78</xdr:row>
      <xdr:rowOff>146136</xdr:rowOff>
    </xdr:from>
    <xdr:to>
      <xdr:col>5</xdr:col>
      <xdr:colOff>190500</xdr:colOff>
      <xdr:row>84</xdr:row>
      <xdr:rowOff>104475</xdr:rowOff>
    </xdr:to>
    <xdr:sp macro="" textlink="">
      <xdr:nvSpPr>
        <xdr:cNvPr id="135178" name="Text Box 10" hidden="1">
          <a:extLst>
            <a:ext uri="{FF2B5EF4-FFF2-40B4-BE49-F238E27FC236}">
              <a16:creationId xmlns:a16="http://schemas.microsoft.com/office/drawing/2014/main" id="{AA6BD0B7-EB57-4D15-9BB8-CB90C55C6AF2}"/>
            </a:ext>
          </a:extLst>
        </xdr:cNvPr>
        <xdr:cNvSpPr txBox="1">
          <a:spLocks noChangeArrowheads="1"/>
        </xdr:cNvSpPr>
      </xdr:nvSpPr>
      <xdr:spPr bwMode="auto">
        <a:xfrm>
          <a:off x="3573780" y="16222980"/>
          <a:ext cx="1264920" cy="11353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79</xdr:row>
      <xdr:rowOff>180848</xdr:rowOff>
    </xdr:from>
    <xdr:to>
      <xdr:col>5</xdr:col>
      <xdr:colOff>190500</xdr:colOff>
      <xdr:row>85</xdr:row>
      <xdr:rowOff>65995</xdr:rowOff>
    </xdr:to>
    <xdr:sp macro="" textlink="">
      <xdr:nvSpPr>
        <xdr:cNvPr id="135179" name="Text Box 11" hidden="1">
          <a:extLst>
            <a:ext uri="{FF2B5EF4-FFF2-40B4-BE49-F238E27FC236}">
              <a16:creationId xmlns:a16="http://schemas.microsoft.com/office/drawing/2014/main" id="{9E83BF2A-F10E-4594-B5D4-30DD55D4EAE8}"/>
            </a:ext>
          </a:extLst>
        </xdr:cNvPr>
        <xdr:cNvSpPr txBox="1">
          <a:spLocks noChangeArrowheads="1"/>
        </xdr:cNvSpPr>
      </xdr:nvSpPr>
      <xdr:spPr bwMode="auto">
        <a:xfrm>
          <a:off x="3573780" y="16482060"/>
          <a:ext cx="1264920" cy="10591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81</xdr:row>
      <xdr:rowOff>32610</xdr:rowOff>
    </xdr:from>
    <xdr:to>
      <xdr:col>5</xdr:col>
      <xdr:colOff>190500</xdr:colOff>
      <xdr:row>87</xdr:row>
      <xdr:rowOff>6919</xdr:rowOff>
    </xdr:to>
    <xdr:sp macro="" textlink="">
      <xdr:nvSpPr>
        <xdr:cNvPr id="135180" name="Text Box 12" hidden="1">
          <a:extLst>
            <a:ext uri="{FF2B5EF4-FFF2-40B4-BE49-F238E27FC236}">
              <a16:creationId xmlns:a16="http://schemas.microsoft.com/office/drawing/2014/main" id="{8BBD204D-E57E-4D35-A59C-0F146D70F6BC}"/>
            </a:ext>
          </a:extLst>
        </xdr:cNvPr>
        <xdr:cNvSpPr txBox="1">
          <a:spLocks noChangeArrowheads="1"/>
        </xdr:cNvSpPr>
      </xdr:nvSpPr>
      <xdr:spPr bwMode="auto">
        <a:xfrm>
          <a:off x="3573780" y="16733520"/>
          <a:ext cx="1264920" cy="9906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106</xdr:row>
      <xdr:rowOff>43848</xdr:rowOff>
    </xdr:from>
    <xdr:to>
      <xdr:col>5</xdr:col>
      <xdr:colOff>190500</xdr:colOff>
      <xdr:row>132</xdr:row>
      <xdr:rowOff>25496</xdr:rowOff>
    </xdr:to>
    <xdr:sp macro="" textlink="">
      <xdr:nvSpPr>
        <xdr:cNvPr id="135185" name="Text Box 17" hidden="1">
          <a:extLst>
            <a:ext uri="{FF2B5EF4-FFF2-40B4-BE49-F238E27FC236}">
              <a16:creationId xmlns:a16="http://schemas.microsoft.com/office/drawing/2014/main" id="{9948205F-CAC2-4169-BEBA-A4E3909BEDF4}"/>
            </a:ext>
          </a:extLst>
        </xdr:cNvPr>
        <xdr:cNvSpPr txBox="1">
          <a:spLocks noChangeArrowheads="1"/>
        </xdr:cNvSpPr>
      </xdr:nvSpPr>
      <xdr:spPr bwMode="auto">
        <a:xfrm>
          <a:off x="3573780" y="21671280"/>
          <a:ext cx="1264920" cy="4968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106</xdr:row>
      <xdr:rowOff>149221</xdr:rowOff>
    </xdr:from>
    <xdr:to>
      <xdr:col>5</xdr:col>
      <xdr:colOff>190500</xdr:colOff>
      <xdr:row>116</xdr:row>
      <xdr:rowOff>194032</xdr:rowOff>
    </xdr:to>
    <xdr:sp macro="" textlink="">
      <xdr:nvSpPr>
        <xdr:cNvPr id="135186" name="Text Box 18" hidden="1">
          <a:extLst>
            <a:ext uri="{FF2B5EF4-FFF2-40B4-BE49-F238E27FC236}">
              <a16:creationId xmlns:a16="http://schemas.microsoft.com/office/drawing/2014/main" id="{07E22E2F-E99E-4150-B71E-5619FC718346}"/>
            </a:ext>
          </a:extLst>
        </xdr:cNvPr>
        <xdr:cNvSpPr txBox="1">
          <a:spLocks noChangeArrowheads="1"/>
        </xdr:cNvSpPr>
      </xdr:nvSpPr>
      <xdr:spPr bwMode="auto">
        <a:xfrm>
          <a:off x="3573780" y="21793200"/>
          <a:ext cx="1264920" cy="19964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61</xdr:row>
      <xdr:rowOff>2735</xdr:rowOff>
    </xdr:from>
    <xdr:to>
      <xdr:col>5</xdr:col>
      <xdr:colOff>190500</xdr:colOff>
      <xdr:row>77</xdr:row>
      <xdr:rowOff>84377</xdr:rowOff>
    </xdr:to>
    <xdr:sp macro="" textlink="">
      <xdr:nvSpPr>
        <xdr:cNvPr id="135189" name="Text Box 21" hidden="1">
          <a:extLst>
            <a:ext uri="{FF2B5EF4-FFF2-40B4-BE49-F238E27FC236}">
              <a16:creationId xmlns:a16="http://schemas.microsoft.com/office/drawing/2014/main" id="{32BFD649-70BE-4C7D-A92E-CA8B83F81214}"/>
            </a:ext>
          </a:extLst>
        </xdr:cNvPr>
        <xdr:cNvSpPr txBox="1">
          <a:spLocks noChangeArrowheads="1"/>
        </xdr:cNvSpPr>
      </xdr:nvSpPr>
      <xdr:spPr bwMode="auto">
        <a:xfrm>
          <a:off x="3573780" y="12298680"/>
          <a:ext cx="1264920" cy="37033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61</xdr:row>
      <xdr:rowOff>2735</xdr:rowOff>
    </xdr:from>
    <xdr:to>
      <xdr:col>5</xdr:col>
      <xdr:colOff>190500</xdr:colOff>
      <xdr:row>74</xdr:row>
      <xdr:rowOff>64623</xdr:rowOff>
    </xdr:to>
    <xdr:sp macro="" textlink="">
      <xdr:nvSpPr>
        <xdr:cNvPr id="135190" name="Text Box 22" hidden="1">
          <a:extLst>
            <a:ext uri="{FF2B5EF4-FFF2-40B4-BE49-F238E27FC236}">
              <a16:creationId xmlns:a16="http://schemas.microsoft.com/office/drawing/2014/main" id="{E1683EA9-70BC-4864-B77C-DEE618FAD1FA}"/>
            </a:ext>
          </a:extLst>
        </xdr:cNvPr>
        <xdr:cNvSpPr txBox="1">
          <a:spLocks noChangeArrowheads="1"/>
        </xdr:cNvSpPr>
      </xdr:nvSpPr>
      <xdr:spPr bwMode="auto">
        <a:xfrm>
          <a:off x="3573780" y="12336780"/>
          <a:ext cx="1264920" cy="2682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61</xdr:row>
      <xdr:rowOff>2735</xdr:rowOff>
    </xdr:from>
    <xdr:to>
      <xdr:col>5</xdr:col>
      <xdr:colOff>190500</xdr:colOff>
      <xdr:row>68</xdr:row>
      <xdr:rowOff>111852</xdr:rowOff>
    </xdr:to>
    <xdr:sp macro="" textlink="">
      <xdr:nvSpPr>
        <xdr:cNvPr id="135191" name="Text Box 23" hidden="1">
          <a:extLst>
            <a:ext uri="{FF2B5EF4-FFF2-40B4-BE49-F238E27FC236}">
              <a16:creationId xmlns:a16="http://schemas.microsoft.com/office/drawing/2014/main" id="{501D2FFC-B1EF-489A-B89E-B525EA86933B}"/>
            </a:ext>
          </a:extLst>
        </xdr:cNvPr>
        <xdr:cNvSpPr txBox="1">
          <a:spLocks noChangeArrowheads="1"/>
        </xdr:cNvSpPr>
      </xdr:nvSpPr>
      <xdr:spPr bwMode="auto">
        <a:xfrm>
          <a:off x="3573780" y="12336780"/>
          <a:ext cx="1264920" cy="13639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64</xdr:row>
      <xdr:rowOff>22540</xdr:rowOff>
    </xdr:from>
    <xdr:to>
      <xdr:col>5</xdr:col>
      <xdr:colOff>190500</xdr:colOff>
      <xdr:row>67</xdr:row>
      <xdr:rowOff>156393</xdr:rowOff>
    </xdr:to>
    <xdr:sp macro="" textlink="">
      <xdr:nvSpPr>
        <xdr:cNvPr id="135192" name="Text Box 24" hidden="1">
          <a:extLst>
            <a:ext uri="{FF2B5EF4-FFF2-40B4-BE49-F238E27FC236}">
              <a16:creationId xmlns:a16="http://schemas.microsoft.com/office/drawing/2014/main" id="{AF8678F1-642B-4F78-81EA-180B22BE33EB}"/>
            </a:ext>
          </a:extLst>
        </xdr:cNvPr>
        <xdr:cNvSpPr txBox="1">
          <a:spLocks noChangeArrowheads="1"/>
        </xdr:cNvSpPr>
      </xdr:nvSpPr>
      <xdr:spPr bwMode="auto">
        <a:xfrm>
          <a:off x="3573780" y="12854940"/>
          <a:ext cx="1264920" cy="7010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64</xdr:row>
      <xdr:rowOff>147533</xdr:rowOff>
    </xdr:from>
    <xdr:to>
      <xdr:col>5</xdr:col>
      <xdr:colOff>190500</xdr:colOff>
      <xdr:row>66</xdr:row>
      <xdr:rowOff>151762</xdr:rowOff>
    </xdr:to>
    <xdr:sp macro="" textlink="">
      <xdr:nvSpPr>
        <xdr:cNvPr id="135193" name="Text Box 25" hidden="1">
          <a:extLst>
            <a:ext uri="{FF2B5EF4-FFF2-40B4-BE49-F238E27FC236}">
              <a16:creationId xmlns:a16="http://schemas.microsoft.com/office/drawing/2014/main" id="{80A7DE2E-442D-4453-A0AF-17DBB5C3F1E9}"/>
            </a:ext>
          </a:extLst>
        </xdr:cNvPr>
        <xdr:cNvSpPr txBox="1">
          <a:spLocks noChangeArrowheads="1"/>
        </xdr:cNvSpPr>
      </xdr:nvSpPr>
      <xdr:spPr bwMode="auto">
        <a:xfrm>
          <a:off x="3573780" y="13007340"/>
          <a:ext cx="1264920" cy="3733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106</xdr:row>
      <xdr:rowOff>163136</xdr:rowOff>
    </xdr:from>
    <xdr:to>
      <xdr:col>6</xdr:col>
      <xdr:colOff>38100</xdr:colOff>
      <xdr:row>114</xdr:row>
      <xdr:rowOff>232758</xdr:rowOff>
    </xdr:to>
    <xdr:sp macro="" textlink="">
      <xdr:nvSpPr>
        <xdr:cNvPr id="135194" name="Text Box 26" hidden="1">
          <a:extLst>
            <a:ext uri="{FF2B5EF4-FFF2-40B4-BE49-F238E27FC236}">
              <a16:creationId xmlns:a16="http://schemas.microsoft.com/office/drawing/2014/main" id="{50B0E3E0-585F-45A7-A05E-1189E14DDA74}"/>
            </a:ext>
          </a:extLst>
        </xdr:cNvPr>
        <xdr:cNvSpPr txBox="1">
          <a:spLocks noChangeArrowheads="1"/>
        </xdr:cNvSpPr>
      </xdr:nvSpPr>
      <xdr:spPr bwMode="auto">
        <a:xfrm>
          <a:off x="4038600" y="21831300"/>
          <a:ext cx="1440180" cy="15163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114300</xdr:colOff>
      <xdr:row>7</xdr:row>
      <xdr:rowOff>106680</xdr:rowOff>
    </xdr:from>
    <xdr:to>
      <xdr:col>18</xdr:col>
      <xdr:colOff>647700</xdr:colOff>
      <xdr:row>12</xdr:row>
      <xdr:rowOff>9736</xdr:rowOff>
    </xdr:to>
    <xdr:sp macro="" textlink="">
      <xdr:nvSpPr>
        <xdr:cNvPr id="135195" name="Text Box 27" hidden="1">
          <a:extLst>
            <a:ext uri="{FF2B5EF4-FFF2-40B4-BE49-F238E27FC236}">
              <a16:creationId xmlns:a16="http://schemas.microsoft.com/office/drawing/2014/main" id="{B8E5AFDB-2585-41CD-8956-85E412E09D63}"/>
            </a:ext>
          </a:extLst>
        </xdr:cNvPr>
        <xdr:cNvSpPr txBox="1">
          <a:spLocks noChangeArrowheads="1"/>
        </xdr:cNvSpPr>
      </xdr:nvSpPr>
      <xdr:spPr bwMode="auto">
        <a:xfrm>
          <a:off x="14561820" y="2255520"/>
          <a:ext cx="1325880" cy="8077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xdr:row>
      <xdr:rowOff>142664</xdr:rowOff>
    </xdr:from>
    <xdr:to>
      <xdr:col>19</xdr:col>
      <xdr:colOff>640291</xdr:colOff>
      <xdr:row>15</xdr:row>
      <xdr:rowOff>143298</xdr:rowOff>
    </xdr:to>
    <xdr:sp macro="" textlink="">
      <xdr:nvSpPr>
        <xdr:cNvPr id="135197" name="Text Box 29" hidden="1">
          <a:extLst>
            <a:ext uri="{FF2B5EF4-FFF2-40B4-BE49-F238E27FC236}">
              <a16:creationId xmlns:a16="http://schemas.microsoft.com/office/drawing/2014/main" id="{5EF0D5F2-E95B-495D-B62C-4F68705782A6}"/>
            </a:ext>
          </a:extLst>
        </xdr:cNvPr>
        <xdr:cNvSpPr txBox="1">
          <a:spLocks noChangeArrowheads="1"/>
        </xdr:cNvSpPr>
      </xdr:nvSpPr>
      <xdr:spPr bwMode="auto">
        <a:xfrm>
          <a:off x="15354300" y="3002280"/>
          <a:ext cx="134112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60</xdr:row>
      <xdr:rowOff>42317</xdr:rowOff>
    </xdr:from>
    <xdr:to>
      <xdr:col>5</xdr:col>
      <xdr:colOff>190500</xdr:colOff>
      <xdr:row>66</xdr:row>
      <xdr:rowOff>149616</xdr:rowOff>
    </xdr:to>
    <xdr:sp macro="" textlink="">
      <xdr:nvSpPr>
        <xdr:cNvPr id="258062" name="Text Box 14" hidden="1">
          <a:extLst>
            <a:ext uri="{FF2B5EF4-FFF2-40B4-BE49-F238E27FC236}">
              <a16:creationId xmlns:a16="http://schemas.microsoft.com/office/drawing/2014/main" id="{9D2F127A-BDCA-4434-BB52-75C5F0DB1340}"/>
            </a:ext>
          </a:extLst>
        </xdr:cNvPr>
        <xdr:cNvSpPr txBox="1">
          <a:spLocks noChangeArrowheads="1"/>
        </xdr:cNvSpPr>
      </xdr:nvSpPr>
      <xdr:spPr bwMode="auto">
        <a:xfrm>
          <a:off x="3543300" y="12382500"/>
          <a:ext cx="1162050" cy="123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61</xdr:row>
      <xdr:rowOff>67558</xdr:rowOff>
    </xdr:from>
    <xdr:to>
      <xdr:col>5</xdr:col>
      <xdr:colOff>190500</xdr:colOff>
      <xdr:row>67</xdr:row>
      <xdr:rowOff>60327</xdr:rowOff>
    </xdr:to>
    <xdr:sp macro="" textlink="">
      <xdr:nvSpPr>
        <xdr:cNvPr id="258061" name="Text Box 13" hidden="1">
          <a:extLst>
            <a:ext uri="{FF2B5EF4-FFF2-40B4-BE49-F238E27FC236}">
              <a16:creationId xmlns:a16="http://schemas.microsoft.com/office/drawing/2014/main" id="{8A73CEE0-BE37-4AB1-9771-4293B42CE074}"/>
            </a:ext>
          </a:extLst>
        </xdr:cNvPr>
        <xdr:cNvSpPr txBox="1">
          <a:spLocks noChangeArrowheads="1"/>
        </xdr:cNvSpPr>
      </xdr:nvSpPr>
      <xdr:spPr bwMode="auto">
        <a:xfrm>
          <a:off x="3543300" y="12582525"/>
          <a:ext cx="1162050" cy="1171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62</xdr:row>
      <xdr:rowOff>112931</xdr:rowOff>
    </xdr:from>
    <xdr:to>
      <xdr:col>5</xdr:col>
      <xdr:colOff>190500</xdr:colOff>
      <xdr:row>68</xdr:row>
      <xdr:rowOff>84094</xdr:rowOff>
    </xdr:to>
    <xdr:sp macro="" textlink="">
      <xdr:nvSpPr>
        <xdr:cNvPr id="258060" name="Text Box 12" hidden="1">
          <a:extLst>
            <a:ext uri="{FF2B5EF4-FFF2-40B4-BE49-F238E27FC236}">
              <a16:creationId xmlns:a16="http://schemas.microsoft.com/office/drawing/2014/main" id="{98A7459B-79DF-4C83-A8F8-FFB45B06939A}"/>
            </a:ext>
          </a:extLst>
        </xdr:cNvPr>
        <xdr:cNvSpPr txBox="1">
          <a:spLocks noChangeArrowheads="1"/>
        </xdr:cNvSpPr>
      </xdr:nvSpPr>
      <xdr:spPr bwMode="auto">
        <a:xfrm>
          <a:off x="3543300" y="12792075"/>
          <a:ext cx="1162050" cy="1104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63</xdr:row>
      <xdr:rowOff>172400</xdr:rowOff>
    </xdr:from>
    <xdr:to>
      <xdr:col>5</xdr:col>
      <xdr:colOff>190500</xdr:colOff>
      <xdr:row>69</xdr:row>
      <xdr:rowOff>94894</xdr:rowOff>
    </xdr:to>
    <xdr:sp macro="" textlink="">
      <xdr:nvSpPr>
        <xdr:cNvPr id="258059" name="Text Box 11" hidden="1">
          <a:extLst>
            <a:ext uri="{FF2B5EF4-FFF2-40B4-BE49-F238E27FC236}">
              <a16:creationId xmlns:a16="http://schemas.microsoft.com/office/drawing/2014/main" id="{05A7FC6C-325C-440A-BC9A-83EE23270CB9}"/>
            </a:ext>
          </a:extLst>
        </xdr:cNvPr>
        <xdr:cNvSpPr txBox="1">
          <a:spLocks noChangeArrowheads="1"/>
        </xdr:cNvSpPr>
      </xdr:nvSpPr>
      <xdr:spPr bwMode="auto">
        <a:xfrm>
          <a:off x="3543300" y="13049250"/>
          <a:ext cx="11620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87</xdr:row>
      <xdr:rowOff>59538</xdr:rowOff>
    </xdr:from>
    <xdr:to>
      <xdr:col>5</xdr:col>
      <xdr:colOff>190500</xdr:colOff>
      <xdr:row>112</xdr:row>
      <xdr:rowOff>154355</xdr:rowOff>
    </xdr:to>
    <xdr:sp macro="" textlink="">
      <xdr:nvSpPr>
        <xdr:cNvPr id="258058" name="Text Box 10" hidden="1">
          <a:extLst>
            <a:ext uri="{FF2B5EF4-FFF2-40B4-BE49-F238E27FC236}">
              <a16:creationId xmlns:a16="http://schemas.microsoft.com/office/drawing/2014/main" id="{8E80E55F-CD54-4113-B117-A00F724455CF}"/>
            </a:ext>
          </a:extLst>
        </xdr:cNvPr>
        <xdr:cNvSpPr txBox="1">
          <a:spLocks noChangeArrowheads="1"/>
        </xdr:cNvSpPr>
      </xdr:nvSpPr>
      <xdr:spPr bwMode="auto">
        <a:xfrm>
          <a:off x="3543300" y="18192750"/>
          <a:ext cx="1162050" cy="51530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88</xdr:row>
      <xdr:rowOff>66271</xdr:rowOff>
    </xdr:from>
    <xdr:to>
      <xdr:col>5</xdr:col>
      <xdr:colOff>190500</xdr:colOff>
      <xdr:row>98</xdr:row>
      <xdr:rowOff>99988</xdr:rowOff>
    </xdr:to>
    <xdr:sp macro="" textlink="">
      <xdr:nvSpPr>
        <xdr:cNvPr id="258057" name="Text Box 9" hidden="1">
          <a:extLst>
            <a:ext uri="{FF2B5EF4-FFF2-40B4-BE49-F238E27FC236}">
              <a16:creationId xmlns:a16="http://schemas.microsoft.com/office/drawing/2014/main" id="{C74434EC-C772-4FBD-A719-1EC6D7152854}"/>
            </a:ext>
          </a:extLst>
        </xdr:cNvPr>
        <xdr:cNvSpPr txBox="1">
          <a:spLocks noChangeArrowheads="1"/>
        </xdr:cNvSpPr>
      </xdr:nvSpPr>
      <xdr:spPr bwMode="auto">
        <a:xfrm>
          <a:off x="3543300" y="18478500"/>
          <a:ext cx="1162050" cy="207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39</xdr:row>
      <xdr:rowOff>174351</xdr:rowOff>
    </xdr:from>
    <xdr:to>
      <xdr:col>5</xdr:col>
      <xdr:colOff>190500</xdr:colOff>
      <xdr:row>60</xdr:row>
      <xdr:rowOff>82040</xdr:rowOff>
    </xdr:to>
    <xdr:sp macro="" textlink="">
      <xdr:nvSpPr>
        <xdr:cNvPr id="258056" name="Text Box 8" hidden="1">
          <a:extLst>
            <a:ext uri="{FF2B5EF4-FFF2-40B4-BE49-F238E27FC236}">
              <a16:creationId xmlns:a16="http://schemas.microsoft.com/office/drawing/2014/main" id="{832EB958-313B-4F52-B181-37102F7BEDBE}"/>
            </a:ext>
          </a:extLst>
        </xdr:cNvPr>
        <xdr:cNvSpPr txBox="1">
          <a:spLocks noChangeArrowheads="1"/>
        </xdr:cNvSpPr>
      </xdr:nvSpPr>
      <xdr:spPr bwMode="auto">
        <a:xfrm>
          <a:off x="3543300" y="8601075"/>
          <a:ext cx="1162050" cy="381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40</xdr:row>
      <xdr:rowOff>17813</xdr:rowOff>
    </xdr:from>
    <xdr:to>
      <xdr:col>5</xdr:col>
      <xdr:colOff>190500</xdr:colOff>
      <xdr:row>55</xdr:row>
      <xdr:rowOff>89765</xdr:rowOff>
    </xdr:to>
    <xdr:sp macro="" textlink="">
      <xdr:nvSpPr>
        <xdr:cNvPr id="258055" name="Text Box 7" hidden="1">
          <a:extLst>
            <a:ext uri="{FF2B5EF4-FFF2-40B4-BE49-F238E27FC236}">
              <a16:creationId xmlns:a16="http://schemas.microsoft.com/office/drawing/2014/main" id="{01C0CDA7-EADB-40CD-BD97-5CE36BE15775}"/>
            </a:ext>
          </a:extLst>
        </xdr:cNvPr>
        <xdr:cNvSpPr txBox="1">
          <a:spLocks noChangeArrowheads="1"/>
        </xdr:cNvSpPr>
      </xdr:nvSpPr>
      <xdr:spPr bwMode="auto">
        <a:xfrm>
          <a:off x="3543300" y="8639175"/>
          <a:ext cx="1162050"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40</xdr:row>
      <xdr:rowOff>17813</xdr:rowOff>
    </xdr:from>
    <xdr:to>
      <xdr:col>5</xdr:col>
      <xdr:colOff>190500</xdr:colOff>
      <xdr:row>47</xdr:row>
      <xdr:rowOff>171325</xdr:rowOff>
    </xdr:to>
    <xdr:sp macro="" textlink="">
      <xdr:nvSpPr>
        <xdr:cNvPr id="258054" name="Text Box 6" hidden="1">
          <a:extLst>
            <a:ext uri="{FF2B5EF4-FFF2-40B4-BE49-F238E27FC236}">
              <a16:creationId xmlns:a16="http://schemas.microsoft.com/office/drawing/2014/main" id="{CBE989F5-AA1A-4D52-A4FA-096ADCDA9DD0}"/>
            </a:ext>
          </a:extLst>
        </xdr:cNvPr>
        <xdr:cNvSpPr txBox="1">
          <a:spLocks noChangeArrowheads="1"/>
        </xdr:cNvSpPr>
      </xdr:nvSpPr>
      <xdr:spPr bwMode="auto">
        <a:xfrm>
          <a:off x="3543300" y="8639175"/>
          <a:ext cx="116205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43</xdr:row>
      <xdr:rowOff>55791</xdr:rowOff>
    </xdr:from>
    <xdr:to>
      <xdr:col>5</xdr:col>
      <xdr:colOff>190500</xdr:colOff>
      <xdr:row>47</xdr:row>
      <xdr:rowOff>17592</xdr:rowOff>
    </xdr:to>
    <xdr:sp macro="" textlink="">
      <xdr:nvSpPr>
        <xdr:cNvPr id="258053" name="Text Box 5" hidden="1">
          <a:extLst>
            <a:ext uri="{FF2B5EF4-FFF2-40B4-BE49-F238E27FC236}">
              <a16:creationId xmlns:a16="http://schemas.microsoft.com/office/drawing/2014/main" id="{066E2B34-3FA0-4CDA-A1E9-D7DEF4B43A27}"/>
            </a:ext>
          </a:extLst>
        </xdr:cNvPr>
        <xdr:cNvSpPr txBox="1">
          <a:spLocks noChangeArrowheads="1"/>
        </xdr:cNvSpPr>
      </xdr:nvSpPr>
      <xdr:spPr bwMode="auto">
        <a:xfrm>
          <a:off x="3543300" y="9210675"/>
          <a:ext cx="11620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44</xdr:row>
      <xdr:rowOff>18801</xdr:rowOff>
    </xdr:from>
    <xdr:to>
      <xdr:col>5</xdr:col>
      <xdr:colOff>190500</xdr:colOff>
      <xdr:row>46</xdr:row>
      <xdr:rowOff>19302</xdr:rowOff>
    </xdr:to>
    <xdr:sp macro="" textlink="">
      <xdr:nvSpPr>
        <xdr:cNvPr id="258052" name="Text Box 4" hidden="1">
          <a:extLst>
            <a:ext uri="{FF2B5EF4-FFF2-40B4-BE49-F238E27FC236}">
              <a16:creationId xmlns:a16="http://schemas.microsoft.com/office/drawing/2014/main" id="{52A6946E-1C0E-44B7-9F5C-789287BB2E64}"/>
            </a:ext>
          </a:extLst>
        </xdr:cNvPr>
        <xdr:cNvSpPr txBox="1">
          <a:spLocks noChangeArrowheads="1"/>
        </xdr:cNvSpPr>
      </xdr:nvSpPr>
      <xdr:spPr bwMode="auto">
        <a:xfrm>
          <a:off x="3543300" y="9401175"/>
          <a:ext cx="1162050" cy="371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88</xdr:row>
      <xdr:rowOff>169407</xdr:rowOff>
    </xdr:from>
    <xdr:to>
      <xdr:col>6</xdr:col>
      <xdr:colOff>38100</xdr:colOff>
      <xdr:row>96</xdr:row>
      <xdr:rowOff>90720</xdr:rowOff>
    </xdr:to>
    <xdr:sp macro="" textlink="">
      <xdr:nvSpPr>
        <xdr:cNvPr id="258051" name="Text Box 3" hidden="1">
          <a:extLst>
            <a:ext uri="{FF2B5EF4-FFF2-40B4-BE49-F238E27FC236}">
              <a16:creationId xmlns:a16="http://schemas.microsoft.com/office/drawing/2014/main" id="{A029E077-0050-46A8-B029-BB00C3D60348}"/>
            </a:ext>
          </a:extLst>
        </xdr:cNvPr>
        <xdr:cNvSpPr txBox="1">
          <a:spLocks noChangeArrowheads="1"/>
        </xdr:cNvSpPr>
      </xdr:nvSpPr>
      <xdr:spPr bwMode="auto">
        <a:xfrm>
          <a:off x="3924300" y="18516600"/>
          <a:ext cx="1390650" cy="1571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114300</xdr:colOff>
      <xdr:row>7</xdr:row>
      <xdr:rowOff>106680</xdr:rowOff>
    </xdr:from>
    <xdr:to>
      <xdr:col>18</xdr:col>
      <xdr:colOff>647700</xdr:colOff>
      <xdr:row>12</xdr:row>
      <xdr:rowOff>9736</xdr:rowOff>
    </xdr:to>
    <xdr:sp macro="" textlink="">
      <xdr:nvSpPr>
        <xdr:cNvPr id="258050" name="Text Box 2" hidden="1">
          <a:extLst>
            <a:ext uri="{FF2B5EF4-FFF2-40B4-BE49-F238E27FC236}">
              <a16:creationId xmlns:a16="http://schemas.microsoft.com/office/drawing/2014/main" id="{E02C23BF-148C-4DCD-9671-BDCC8B779A2B}"/>
            </a:ext>
          </a:extLst>
        </xdr:cNvPr>
        <xdr:cNvSpPr txBox="1">
          <a:spLocks noChangeArrowheads="1"/>
        </xdr:cNvSpPr>
      </xdr:nvSpPr>
      <xdr:spPr bwMode="auto">
        <a:xfrm>
          <a:off x="14087475" y="2324100"/>
          <a:ext cx="1295400"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xdr:row>
      <xdr:rowOff>104564</xdr:rowOff>
    </xdr:from>
    <xdr:to>
      <xdr:col>19</xdr:col>
      <xdr:colOff>602191</xdr:colOff>
      <xdr:row>15</xdr:row>
      <xdr:rowOff>143298</xdr:rowOff>
    </xdr:to>
    <xdr:sp macro="" textlink="">
      <xdr:nvSpPr>
        <xdr:cNvPr id="258049" name="Text Box 1" hidden="1">
          <a:extLst>
            <a:ext uri="{FF2B5EF4-FFF2-40B4-BE49-F238E27FC236}">
              <a16:creationId xmlns:a16="http://schemas.microsoft.com/office/drawing/2014/main" id="{B82E974F-13A9-4EE3-815D-34E884A9E743}"/>
            </a:ext>
          </a:extLst>
        </xdr:cNvPr>
        <xdr:cNvSpPr txBox="1">
          <a:spLocks noChangeArrowheads="1"/>
        </xdr:cNvSpPr>
      </xdr:nvSpPr>
      <xdr:spPr bwMode="auto">
        <a:xfrm>
          <a:off x="14849475" y="3076575"/>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80</xdr:row>
      <xdr:rowOff>152514</xdr:rowOff>
    </xdr:from>
    <xdr:to>
      <xdr:col>5</xdr:col>
      <xdr:colOff>190500</xdr:colOff>
      <xdr:row>86</xdr:row>
      <xdr:rowOff>83059</xdr:rowOff>
    </xdr:to>
    <xdr:sp macro="" textlink="">
      <xdr:nvSpPr>
        <xdr:cNvPr id="258076" name="Text Box 28" hidden="1">
          <a:extLst>
            <a:ext uri="{FF2B5EF4-FFF2-40B4-BE49-F238E27FC236}">
              <a16:creationId xmlns:a16="http://schemas.microsoft.com/office/drawing/2014/main" id="{36EDE8AE-ACC1-4546-981A-57E008174118}"/>
            </a:ext>
          </a:extLst>
        </xdr:cNvPr>
        <xdr:cNvSpPr txBox="1">
          <a:spLocks noChangeArrowheads="1"/>
        </xdr:cNvSpPr>
      </xdr:nvSpPr>
      <xdr:spPr bwMode="auto">
        <a:xfrm>
          <a:off x="3533775" y="17145000"/>
          <a:ext cx="1171575" cy="1057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81</xdr:row>
      <xdr:rowOff>128383</xdr:rowOff>
    </xdr:from>
    <xdr:to>
      <xdr:col>5</xdr:col>
      <xdr:colOff>190500</xdr:colOff>
      <xdr:row>87</xdr:row>
      <xdr:rowOff>59688</xdr:rowOff>
    </xdr:to>
    <xdr:sp macro="" textlink="">
      <xdr:nvSpPr>
        <xdr:cNvPr id="258075" name="Text Box 27" hidden="1">
          <a:extLst>
            <a:ext uri="{FF2B5EF4-FFF2-40B4-BE49-F238E27FC236}">
              <a16:creationId xmlns:a16="http://schemas.microsoft.com/office/drawing/2014/main" id="{FA7E400C-8689-4238-BBF5-3E4DC71B4816}"/>
            </a:ext>
          </a:extLst>
        </xdr:cNvPr>
        <xdr:cNvSpPr txBox="1">
          <a:spLocks noChangeArrowheads="1"/>
        </xdr:cNvSpPr>
      </xdr:nvSpPr>
      <xdr:spPr bwMode="auto">
        <a:xfrm>
          <a:off x="3533775" y="17345025"/>
          <a:ext cx="1171575" cy="1047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82</xdr:row>
      <xdr:rowOff>104257</xdr:rowOff>
    </xdr:from>
    <xdr:to>
      <xdr:col>5</xdr:col>
      <xdr:colOff>190500</xdr:colOff>
      <xdr:row>88</xdr:row>
      <xdr:rowOff>26479</xdr:rowOff>
    </xdr:to>
    <xdr:sp macro="" textlink="">
      <xdr:nvSpPr>
        <xdr:cNvPr id="258074" name="Text Box 26" hidden="1">
          <a:extLst>
            <a:ext uri="{FF2B5EF4-FFF2-40B4-BE49-F238E27FC236}">
              <a16:creationId xmlns:a16="http://schemas.microsoft.com/office/drawing/2014/main" id="{2BE5A798-EB63-4DB5-B33B-40C91C09403A}"/>
            </a:ext>
          </a:extLst>
        </xdr:cNvPr>
        <xdr:cNvSpPr txBox="1">
          <a:spLocks noChangeArrowheads="1"/>
        </xdr:cNvSpPr>
      </xdr:nvSpPr>
      <xdr:spPr bwMode="auto">
        <a:xfrm>
          <a:off x="3533775" y="17564100"/>
          <a:ext cx="1171575" cy="923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84</xdr:row>
      <xdr:rowOff>45745</xdr:rowOff>
    </xdr:from>
    <xdr:to>
      <xdr:col>5</xdr:col>
      <xdr:colOff>190500</xdr:colOff>
      <xdr:row>88</xdr:row>
      <xdr:rowOff>185191</xdr:rowOff>
    </xdr:to>
    <xdr:sp macro="" textlink="">
      <xdr:nvSpPr>
        <xdr:cNvPr id="258073" name="Text Box 25" hidden="1">
          <a:extLst>
            <a:ext uri="{FF2B5EF4-FFF2-40B4-BE49-F238E27FC236}">
              <a16:creationId xmlns:a16="http://schemas.microsoft.com/office/drawing/2014/main" id="{F0C474FA-BFA5-469D-AD6C-88B093815628}"/>
            </a:ext>
          </a:extLst>
        </xdr:cNvPr>
        <xdr:cNvSpPr txBox="1">
          <a:spLocks noChangeArrowheads="1"/>
        </xdr:cNvSpPr>
      </xdr:nvSpPr>
      <xdr:spPr bwMode="auto">
        <a:xfrm>
          <a:off x="3533775" y="17811750"/>
          <a:ext cx="1171575" cy="866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109</xdr:row>
      <xdr:rowOff>99976</xdr:rowOff>
    </xdr:from>
    <xdr:to>
      <xdr:col>5</xdr:col>
      <xdr:colOff>190500</xdr:colOff>
      <xdr:row>123</xdr:row>
      <xdr:rowOff>169268</xdr:rowOff>
    </xdr:to>
    <xdr:sp macro="" textlink="">
      <xdr:nvSpPr>
        <xdr:cNvPr id="258071" name="Text Box 23" hidden="1">
          <a:extLst>
            <a:ext uri="{FF2B5EF4-FFF2-40B4-BE49-F238E27FC236}">
              <a16:creationId xmlns:a16="http://schemas.microsoft.com/office/drawing/2014/main" id="{86B58ABC-174E-4DF8-87AF-D20AAB9BE56B}"/>
            </a:ext>
          </a:extLst>
        </xdr:cNvPr>
        <xdr:cNvSpPr txBox="1">
          <a:spLocks noChangeArrowheads="1"/>
        </xdr:cNvSpPr>
      </xdr:nvSpPr>
      <xdr:spPr bwMode="auto">
        <a:xfrm>
          <a:off x="3533775" y="22898100"/>
          <a:ext cx="1171575" cy="2952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67</xdr:row>
      <xdr:rowOff>15716</xdr:rowOff>
    </xdr:from>
    <xdr:to>
      <xdr:col>5</xdr:col>
      <xdr:colOff>190500</xdr:colOff>
      <xdr:row>83</xdr:row>
      <xdr:rowOff>6376</xdr:rowOff>
    </xdr:to>
    <xdr:sp macro="" textlink="">
      <xdr:nvSpPr>
        <xdr:cNvPr id="258070" name="Text Box 22" hidden="1">
          <a:extLst>
            <a:ext uri="{FF2B5EF4-FFF2-40B4-BE49-F238E27FC236}">
              <a16:creationId xmlns:a16="http://schemas.microsoft.com/office/drawing/2014/main" id="{B8230EAA-E08C-409A-8C20-BE42463839FE}"/>
            </a:ext>
          </a:extLst>
        </xdr:cNvPr>
        <xdr:cNvSpPr txBox="1">
          <a:spLocks noChangeArrowheads="1"/>
        </xdr:cNvSpPr>
      </xdr:nvSpPr>
      <xdr:spPr bwMode="auto">
        <a:xfrm>
          <a:off x="3533775" y="13782675"/>
          <a:ext cx="1171575" cy="3810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66</xdr:row>
      <xdr:rowOff>131412</xdr:rowOff>
    </xdr:from>
    <xdr:to>
      <xdr:col>5</xdr:col>
      <xdr:colOff>190500</xdr:colOff>
      <xdr:row>77</xdr:row>
      <xdr:rowOff>54229</xdr:rowOff>
    </xdr:to>
    <xdr:sp macro="" textlink="">
      <xdr:nvSpPr>
        <xdr:cNvPr id="258069" name="Text Box 21" hidden="1">
          <a:extLst>
            <a:ext uri="{FF2B5EF4-FFF2-40B4-BE49-F238E27FC236}">
              <a16:creationId xmlns:a16="http://schemas.microsoft.com/office/drawing/2014/main" id="{613C0E78-3C5C-4401-B084-741E1236C70B}"/>
            </a:ext>
          </a:extLst>
        </xdr:cNvPr>
        <xdr:cNvSpPr txBox="1">
          <a:spLocks noChangeArrowheads="1"/>
        </xdr:cNvSpPr>
      </xdr:nvSpPr>
      <xdr:spPr bwMode="auto">
        <a:xfrm>
          <a:off x="3533775" y="13649325"/>
          <a:ext cx="1171575"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65</xdr:row>
      <xdr:rowOff>166546</xdr:rowOff>
    </xdr:from>
    <xdr:to>
      <xdr:col>5</xdr:col>
      <xdr:colOff>190500</xdr:colOff>
      <xdr:row>73</xdr:row>
      <xdr:rowOff>171892</xdr:rowOff>
    </xdr:to>
    <xdr:sp macro="" textlink="">
      <xdr:nvSpPr>
        <xdr:cNvPr id="258068" name="Text Box 20" hidden="1">
          <a:extLst>
            <a:ext uri="{FF2B5EF4-FFF2-40B4-BE49-F238E27FC236}">
              <a16:creationId xmlns:a16="http://schemas.microsoft.com/office/drawing/2014/main" id="{6BFD9422-D044-49C1-9D14-F00BF15067B4}"/>
            </a:ext>
          </a:extLst>
        </xdr:cNvPr>
        <xdr:cNvSpPr txBox="1">
          <a:spLocks noChangeArrowheads="1"/>
        </xdr:cNvSpPr>
      </xdr:nvSpPr>
      <xdr:spPr bwMode="auto">
        <a:xfrm>
          <a:off x="3533775" y="13515975"/>
          <a:ext cx="1171575" cy="1457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71</xdr:row>
      <xdr:rowOff>5604</xdr:rowOff>
    </xdr:from>
    <xdr:to>
      <xdr:col>5</xdr:col>
      <xdr:colOff>190500</xdr:colOff>
      <xdr:row>73</xdr:row>
      <xdr:rowOff>51384</xdr:rowOff>
    </xdr:to>
    <xdr:sp macro="" textlink="">
      <xdr:nvSpPr>
        <xdr:cNvPr id="258067" name="Text Box 19" hidden="1">
          <a:extLst>
            <a:ext uri="{FF2B5EF4-FFF2-40B4-BE49-F238E27FC236}">
              <a16:creationId xmlns:a16="http://schemas.microsoft.com/office/drawing/2014/main" id="{C81CA0C2-C574-461F-AACB-8A97714CBEAB}"/>
            </a:ext>
          </a:extLst>
        </xdr:cNvPr>
        <xdr:cNvSpPr txBox="1">
          <a:spLocks noChangeArrowheads="1"/>
        </xdr:cNvSpPr>
      </xdr:nvSpPr>
      <xdr:spPr bwMode="auto">
        <a:xfrm>
          <a:off x="3533775" y="14439900"/>
          <a:ext cx="1171575" cy="41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72</xdr:row>
      <xdr:rowOff>9034</xdr:rowOff>
    </xdr:from>
    <xdr:to>
      <xdr:col>5</xdr:col>
      <xdr:colOff>190500</xdr:colOff>
      <xdr:row>72</xdr:row>
      <xdr:rowOff>9034</xdr:rowOff>
    </xdr:to>
    <xdr:sp macro="" textlink="">
      <xdr:nvSpPr>
        <xdr:cNvPr id="258066" name="Text Box 18" hidden="1">
          <a:extLst>
            <a:ext uri="{FF2B5EF4-FFF2-40B4-BE49-F238E27FC236}">
              <a16:creationId xmlns:a16="http://schemas.microsoft.com/office/drawing/2014/main" id="{61C76F55-F289-4E44-9FE6-18354C001698}"/>
            </a:ext>
          </a:extLst>
        </xdr:cNvPr>
        <xdr:cNvSpPr txBox="1">
          <a:spLocks noChangeArrowheads="1"/>
        </xdr:cNvSpPr>
      </xdr:nvSpPr>
      <xdr:spPr bwMode="auto">
        <a:xfrm>
          <a:off x="3533775" y="14611350"/>
          <a:ext cx="11715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109</xdr:row>
      <xdr:rowOff>99976</xdr:rowOff>
    </xdr:from>
    <xdr:to>
      <xdr:col>6</xdr:col>
      <xdr:colOff>38100</xdr:colOff>
      <xdr:row>121</xdr:row>
      <xdr:rowOff>177309</xdr:rowOff>
    </xdr:to>
    <xdr:sp macro="" textlink="">
      <xdr:nvSpPr>
        <xdr:cNvPr id="258065" name="Text Box 17" hidden="1">
          <a:extLst>
            <a:ext uri="{FF2B5EF4-FFF2-40B4-BE49-F238E27FC236}">
              <a16:creationId xmlns:a16="http://schemas.microsoft.com/office/drawing/2014/main" id="{05B44202-1DCF-42CD-AFE9-46D60D851D27}"/>
            </a:ext>
          </a:extLst>
        </xdr:cNvPr>
        <xdr:cNvSpPr txBox="1">
          <a:spLocks noChangeArrowheads="1"/>
        </xdr:cNvSpPr>
      </xdr:nvSpPr>
      <xdr:spPr bwMode="auto">
        <a:xfrm>
          <a:off x="3924300" y="22907625"/>
          <a:ext cx="1390650" cy="2466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152400</xdr:colOff>
      <xdr:row>27</xdr:row>
      <xdr:rowOff>94709</xdr:rowOff>
    </xdr:from>
    <xdr:to>
      <xdr:col>18</xdr:col>
      <xdr:colOff>762000</xdr:colOff>
      <xdr:row>31</xdr:row>
      <xdr:rowOff>132808</xdr:rowOff>
    </xdr:to>
    <xdr:sp macro="" textlink="">
      <xdr:nvSpPr>
        <xdr:cNvPr id="258089" name="Text Box 41" hidden="1">
          <a:extLst>
            <a:ext uri="{FF2B5EF4-FFF2-40B4-BE49-F238E27FC236}">
              <a16:creationId xmlns:a16="http://schemas.microsoft.com/office/drawing/2014/main" id="{FD543B27-C383-4FA1-8552-F48937766A39}"/>
            </a:ext>
          </a:extLst>
        </xdr:cNvPr>
        <xdr:cNvSpPr txBox="1">
          <a:spLocks noChangeArrowheads="1"/>
        </xdr:cNvSpPr>
      </xdr:nvSpPr>
      <xdr:spPr bwMode="auto">
        <a:xfrm>
          <a:off x="14125575" y="6362700"/>
          <a:ext cx="13716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31</xdr:row>
      <xdr:rowOff>94708</xdr:rowOff>
    </xdr:from>
    <xdr:to>
      <xdr:col>19</xdr:col>
      <xdr:colOff>716491</xdr:colOff>
      <xdr:row>35</xdr:row>
      <xdr:rowOff>132807</xdr:rowOff>
    </xdr:to>
    <xdr:sp macro="" textlink="">
      <xdr:nvSpPr>
        <xdr:cNvPr id="258090" name="Text Box 42" hidden="1">
          <a:extLst>
            <a:ext uri="{FF2B5EF4-FFF2-40B4-BE49-F238E27FC236}">
              <a16:creationId xmlns:a16="http://schemas.microsoft.com/office/drawing/2014/main" id="{DFAC6A35-765E-4631-9B7A-9039E6028948}"/>
            </a:ext>
          </a:extLst>
        </xdr:cNvPr>
        <xdr:cNvSpPr txBox="1">
          <a:spLocks noChangeArrowheads="1"/>
        </xdr:cNvSpPr>
      </xdr:nvSpPr>
      <xdr:spPr bwMode="auto">
        <a:xfrm>
          <a:off x="14887575" y="7086600"/>
          <a:ext cx="13716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57</xdr:row>
      <xdr:rowOff>156845</xdr:rowOff>
    </xdr:from>
    <xdr:to>
      <xdr:col>5</xdr:col>
      <xdr:colOff>190500</xdr:colOff>
      <xdr:row>63</xdr:row>
      <xdr:rowOff>138438</xdr:rowOff>
    </xdr:to>
    <xdr:sp macro="" textlink="">
      <xdr:nvSpPr>
        <xdr:cNvPr id="258103" name="Text Box 55" hidden="1">
          <a:extLst>
            <a:ext uri="{FF2B5EF4-FFF2-40B4-BE49-F238E27FC236}">
              <a16:creationId xmlns:a16="http://schemas.microsoft.com/office/drawing/2014/main" id="{9269ECB8-7F59-4E93-B2E0-2A0DF0DC1187}"/>
            </a:ext>
          </a:extLst>
        </xdr:cNvPr>
        <xdr:cNvSpPr txBox="1">
          <a:spLocks noChangeArrowheads="1"/>
        </xdr:cNvSpPr>
      </xdr:nvSpPr>
      <xdr:spPr bwMode="auto">
        <a:xfrm>
          <a:off x="3533775" y="11982450"/>
          <a:ext cx="1171575" cy="1057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59</xdr:row>
      <xdr:rowOff>32000</xdr:rowOff>
    </xdr:from>
    <xdr:to>
      <xdr:col>5</xdr:col>
      <xdr:colOff>190500</xdr:colOff>
      <xdr:row>64</xdr:row>
      <xdr:rowOff>146717</xdr:rowOff>
    </xdr:to>
    <xdr:sp macro="" textlink="">
      <xdr:nvSpPr>
        <xdr:cNvPr id="258102" name="Text Box 54" hidden="1">
          <a:extLst>
            <a:ext uri="{FF2B5EF4-FFF2-40B4-BE49-F238E27FC236}">
              <a16:creationId xmlns:a16="http://schemas.microsoft.com/office/drawing/2014/main" id="{34CE8E6A-3F01-4884-8C62-A1595C056EA9}"/>
            </a:ext>
          </a:extLst>
        </xdr:cNvPr>
        <xdr:cNvSpPr txBox="1">
          <a:spLocks noChangeArrowheads="1"/>
        </xdr:cNvSpPr>
      </xdr:nvSpPr>
      <xdr:spPr bwMode="auto">
        <a:xfrm>
          <a:off x="3533775" y="12192000"/>
          <a:ext cx="1171575" cy="1047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60</xdr:row>
      <xdr:rowOff>81858</xdr:rowOff>
    </xdr:from>
    <xdr:to>
      <xdr:col>5</xdr:col>
      <xdr:colOff>190500</xdr:colOff>
      <xdr:row>65</xdr:row>
      <xdr:rowOff>75764</xdr:rowOff>
    </xdr:to>
    <xdr:sp macro="" textlink="">
      <xdr:nvSpPr>
        <xdr:cNvPr id="258101" name="Text Box 53" hidden="1">
          <a:extLst>
            <a:ext uri="{FF2B5EF4-FFF2-40B4-BE49-F238E27FC236}">
              <a16:creationId xmlns:a16="http://schemas.microsoft.com/office/drawing/2014/main" id="{24A5B055-92DB-4321-BF45-4A4889656431}"/>
            </a:ext>
          </a:extLst>
        </xdr:cNvPr>
        <xdr:cNvSpPr txBox="1">
          <a:spLocks noChangeArrowheads="1"/>
        </xdr:cNvSpPr>
      </xdr:nvSpPr>
      <xdr:spPr bwMode="auto">
        <a:xfrm>
          <a:off x="3533775" y="12411075"/>
          <a:ext cx="1171575" cy="923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61</xdr:row>
      <xdr:rowOff>67437</xdr:rowOff>
    </xdr:from>
    <xdr:to>
      <xdr:col>5</xdr:col>
      <xdr:colOff>190500</xdr:colOff>
      <xdr:row>65</xdr:row>
      <xdr:rowOff>176048</xdr:rowOff>
    </xdr:to>
    <xdr:sp macro="" textlink="">
      <xdr:nvSpPr>
        <xdr:cNvPr id="258100" name="Text Box 52" hidden="1">
          <a:extLst>
            <a:ext uri="{FF2B5EF4-FFF2-40B4-BE49-F238E27FC236}">
              <a16:creationId xmlns:a16="http://schemas.microsoft.com/office/drawing/2014/main" id="{70ADDC3D-A346-45F6-9BCC-186156765BD3}"/>
            </a:ext>
          </a:extLst>
        </xdr:cNvPr>
        <xdr:cNvSpPr txBox="1">
          <a:spLocks noChangeArrowheads="1"/>
        </xdr:cNvSpPr>
      </xdr:nvSpPr>
      <xdr:spPr bwMode="auto">
        <a:xfrm>
          <a:off x="3533775" y="12601575"/>
          <a:ext cx="1171575" cy="866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83</xdr:row>
      <xdr:rowOff>112866</xdr:rowOff>
    </xdr:from>
    <xdr:to>
      <xdr:col>5</xdr:col>
      <xdr:colOff>190500</xdr:colOff>
      <xdr:row>98</xdr:row>
      <xdr:rowOff>89184</xdr:rowOff>
    </xdr:to>
    <xdr:sp macro="" textlink="">
      <xdr:nvSpPr>
        <xdr:cNvPr id="258099" name="Text Box 51" hidden="1">
          <a:extLst>
            <a:ext uri="{FF2B5EF4-FFF2-40B4-BE49-F238E27FC236}">
              <a16:creationId xmlns:a16="http://schemas.microsoft.com/office/drawing/2014/main" id="{F25B63A3-646E-44C6-B865-6BAC5DC0E6FF}"/>
            </a:ext>
          </a:extLst>
        </xdr:cNvPr>
        <xdr:cNvSpPr txBox="1">
          <a:spLocks noChangeArrowheads="1"/>
        </xdr:cNvSpPr>
      </xdr:nvSpPr>
      <xdr:spPr bwMode="auto">
        <a:xfrm>
          <a:off x="3533775" y="17649825"/>
          <a:ext cx="1171575" cy="2962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39</xdr:row>
      <xdr:rowOff>95132</xdr:rowOff>
    </xdr:from>
    <xdr:to>
      <xdr:col>5</xdr:col>
      <xdr:colOff>190500</xdr:colOff>
      <xdr:row>60</xdr:row>
      <xdr:rowOff>42135</xdr:rowOff>
    </xdr:to>
    <xdr:sp macro="" textlink="">
      <xdr:nvSpPr>
        <xdr:cNvPr id="258098" name="Text Box 50" hidden="1">
          <a:extLst>
            <a:ext uri="{FF2B5EF4-FFF2-40B4-BE49-F238E27FC236}">
              <a16:creationId xmlns:a16="http://schemas.microsoft.com/office/drawing/2014/main" id="{AB383947-B240-4997-B365-6707705B36BE}"/>
            </a:ext>
          </a:extLst>
        </xdr:cNvPr>
        <xdr:cNvSpPr txBox="1">
          <a:spLocks noChangeArrowheads="1"/>
        </xdr:cNvSpPr>
      </xdr:nvSpPr>
      <xdr:spPr bwMode="auto">
        <a:xfrm>
          <a:off x="3533775" y="8553450"/>
          <a:ext cx="1171575" cy="381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133018</xdr:rowOff>
    </xdr:from>
    <xdr:to>
      <xdr:col>5</xdr:col>
      <xdr:colOff>190500</xdr:colOff>
      <xdr:row>54</xdr:row>
      <xdr:rowOff>48646</xdr:rowOff>
    </xdr:to>
    <xdr:sp macro="" textlink="">
      <xdr:nvSpPr>
        <xdr:cNvPr id="258097" name="Text Box 49" hidden="1">
          <a:extLst>
            <a:ext uri="{FF2B5EF4-FFF2-40B4-BE49-F238E27FC236}">
              <a16:creationId xmlns:a16="http://schemas.microsoft.com/office/drawing/2014/main" id="{8201CDFC-90EA-4575-85AD-61DA7E38B5D9}"/>
            </a:ext>
          </a:extLst>
        </xdr:cNvPr>
        <xdr:cNvSpPr txBox="1">
          <a:spLocks noChangeArrowheads="1"/>
        </xdr:cNvSpPr>
      </xdr:nvSpPr>
      <xdr:spPr bwMode="auto">
        <a:xfrm>
          <a:off x="3533775" y="8401050"/>
          <a:ext cx="1171575"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18506</xdr:rowOff>
    </xdr:from>
    <xdr:to>
      <xdr:col>5</xdr:col>
      <xdr:colOff>190500</xdr:colOff>
      <xdr:row>45</xdr:row>
      <xdr:rowOff>131703</xdr:rowOff>
    </xdr:to>
    <xdr:sp macro="" textlink="">
      <xdr:nvSpPr>
        <xdr:cNvPr id="258096" name="Text Box 48" hidden="1">
          <a:extLst>
            <a:ext uri="{FF2B5EF4-FFF2-40B4-BE49-F238E27FC236}">
              <a16:creationId xmlns:a16="http://schemas.microsoft.com/office/drawing/2014/main" id="{C1EB6411-6CFD-4914-959D-7DBCA083F0B5}"/>
            </a:ext>
          </a:extLst>
        </xdr:cNvPr>
        <xdr:cNvSpPr txBox="1">
          <a:spLocks noChangeArrowheads="1"/>
        </xdr:cNvSpPr>
      </xdr:nvSpPr>
      <xdr:spPr bwMode="auto">
        <a:xfrm>
          <a:off x="3533775" y="8248650"/>
          <a:ext cx="1171575"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43</xdr:row>
      <xdr:rowOff>94496</xdr:rowOff>
    </xdr:from>
    <xdr:to>
      <xdr:col>5</xdr:col>
      <xdr:colOff>190500</xdr:colOff>
      <xdr:row>45</xdr:row>
      <xdr:rowOff>93603</xdr:rowOff>
    </xdr:to>
    <xdr:sp macro="" textlink="">
      <xdr:nvSpPr>
        <xdr:cNvPr id="258095" name="Text Box 47" hidden="1">
          <a:extLst>
            <a:ext uri="{FF2B5EF4-FFF2-40B4-BE49-F238E27FC236}">
              <a16:creationId xmlns:a16="http://schemas.microsoft.com/office/drawing/2014/main" id="{7E0231E7-1EFB-4B47-8705-BC4AA4A91D53}"/>
            </a:ext>
          </a:extLst>
        </xdr:cNvPr>
        <xdr:cNvSpPr txBox="1">
          <a:spLocks noChangeArrowheads="1"/>
        </xdr:cNvSpPr>
      </xdr:nvSpPr>
      <xdr:spPr bwMode="auto">
        <a:xfrm>
          <a:off x="3533775" y="9248775"/>
          <a:ext cx="1171575" cy="409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44</xdr:row>
      <xdr:rowOff>55903</xdr:rowOff>
    </xdr:from>
    <xdr:to>
      <xdr:col>5</xdr:col>
      <xdr:colOff>190500</xdr:colOff>
      <xdr:row>44</xdr:row>
      <xdr:rowOff>94003</xdr:rowOff>
    </xdr:to>
    <xdr:sp macro="" textlink="">
      <xdr:nvSpPr>
        <xdr:cNvPr id="258094" name="Text Box 46" hidden="1">
          <a:extLst>
            <a:ext uri="{FF2B5EF4-FFF2-40B4-BE49-F238E27FC236}">
              <a16:creationId xmlns:a16="http://schemas.microsoft.com/office/drawing/2014/main" id="{5BC640C0-4B43-4B24-ACF0-31AAE133D1A7}"/>
            </a:ext>
          </a:extLst>
        </xdr:cNvPr>
        <xdr:cNvSpPr txBox="1">
          <a:spLocks noChangeArrowheads="1"/>
        </xdr:cNvSpPr>
      </xdr:nvSpPr>
      <xdr:spPr bwMode="auto">
        <a:xfrm>
          <a:off x="3533775" y="9439275"/>
          <a:ext cx="11715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83</xdr:row>
      <xdr:rowOff>112866</xdr:rowOff>
    </xdr:from>
    <xdr:to>
      <xdr:col>6</xdr:col>
      <xdr:colOff>38100</xdr:colOff>
      <xdr:row>96</xdr:row>
      <xdr:rowOff>28201</xdr:rowOff>
    </xdr:to>
    <xdr:sp macro="" textlink="">
      <xdr:nvSpPr>
        <xdr:cNvPr id="258093" name="Text Box 45" hidden="1">
          <a:extLst>
            <a:ext uri="{FF2B5EF4-FFF2-40B4-BE49-F238E27FC236}">
              <a16:creationId xmlns:a16="http://schemas.microsoft.com/office/drawing/2014/main" id="{47A8656E-928D-4A31-B27A-F45EAF1A6E38}"/>
            </a:ext>
          </a:extLst>
        </xdr:cNvPr>
        <xdr:cNvSpPr txBox="1">
          <a:spLocks noChangeArrowheads="1"/>
        </xdr:cNvSpPr>
      </xdr:nvSpPr>
      <xdr:spPr bwMode="auto">
        <a:xfrm>
          <a:off x="3924300" y="17659350"/>
          <a:ext cx="1390650" cy="2476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57</xdr:row>
      <xdr:rowOff>156845</xdr:rowOff>
    </xdr:from>
    <xdr:to>
      <xdr:col>5</xdr:col>
      <xdr:colOff>190500</xdr:colOff>
      <xdr:row>63</xdr:row>
      <xdr:rowOff>138438</xdr:rowOff>
    </xdr:to>
    <xdr:sp macro="" textlink="">
      <xdr:nvSpPr>
        <xdr:cNvPr id="258114" name="Text Box 66" hidden="1">
          <a:extLst>
            <a:ext uri="{FF2B5EF4-FFF2-40B4-BE49-F238E27FC236}">
              <a16:creationId xmlns:a16="http://schemas.microsoft.com/office/drawing/2014/main" id="{CAFDFE3F-D780-4DB4-B276-F912247E4668}"/>
            </a:ext>
          </a:extLst>
        </xdr:cNvPr>
        <xdr:cNvSpPr txBox="1">
          <a:spLocks noChangeArrowheads="1"/>
        </xdr:cNvSpPr>
      </xdr:nvSpPr>
      <xdr:spPr bwMode="auto">
        <a:xfrm>
          <a:off x="3558540" y="11811000"/>
          <a:ext cx="128016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59</xdr:row>
      <xdr:rowOff>32000</xdr:rowOff>
    </xdr:from>
    <xdr:to>
      <xdr:col>5</xdr:col>
      <xdr:colOff>190500</xdr:colOff>
      <xdr:row>64</xdr:row>
      <xdr:rowOff>146717</xdr:rowOff>
    </xdr:to>
    <xdr:sp macro="" textlink="">
      <xdr:nvSpPr>
        <xdr:cNvPr id="258113" name="Text Box 65" hidden="1">
          <a:extLst>
            <a:ext uri="{FF2B5EF4-FFF2-40B4-BE49-F238E27FC236}">
              <a16:creationId xmlns:a16="http://schemas.microsoft.com/office/drawing/2014/main" id="{AF7E2CE7-4914-4570-9018-C0CE0B965862}"/>
            </a:ext>
          </a:extLst>
        </xdr:cNvPr>
        <xdr:cNvSpPr txBox="1">
          <a:spLocks noChangeArrowheads="1"/>
        </xdr:cNvSpPr>
      </xdr:nvSpPr>
      <xdr:spPr bwMode="auto">
        <a:xfrm>
          <a:off x="3558540" y="12016740"/>
          <a:ext cx="1280160" cy="9982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60</xdr:row>
      <xdr:rowOff>81858</xdr:rowOff>
    </xdr:from>
    <xdr:to>
      <xdr:col>5</xdr:col>
      <xdr:colOff>190500</xdr:colOff>
      <xdr:row>65</xdr:row>
      <xdr:rowOff>75764</xdr:rowOff>
    </xdr:to>
    <xdr:sp macro="" textlink="">
      <xdr:nvSpPr>
        <xdr:cNvPr id="258112" name="Text Box 64" hidden="1">
          <a:extLst>
            <a:ext uri="{FF2B5EF4-FFF2-40B4-BE49-F238E27FC236}">
              <a16:creationId xmlns:a16="http://schemas.microsoft.com/office/drawing/2014/main" id="{1A1ECB9B-5204-482D-876F-2F32DC21B24F}"/>
            </a:ext>
          </a:extLst>
        </xdr:cNvPr>
        <xdr:cNvSpPr txBox="1">
          <a:spLocks noChangeArrowheads="1"/>
        </xdr:cNvSpPr>
      </xdr:nvSpPr>
      <xdr:spPr bwMode="auto">
        <a:xfrm>
          <a:off x="3558540" y="12222480"/>
          <a:ext cx="1280160" cy="891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61</xdr:row>
      <xdr:rowOff>67437</xdr:rowOff>
    </xdr:from>
    <xdr:to>
      <xdr:col>5</xdr:col>
      <xdr:colOff>190500</xdr:colOff>
      <xdr:row>65</xdr:row>
      <xdr:rowOff>176048</xdr:rowOff>
    </xdr:to>
    <xdr:sp macro="" textlink="">
      <xdr:nvSpPr>
        <xdr:cNvPr id="258111" name="Text Box 63" hidden="1">
          <a:extLst>
            <a:ext uri="{FF2B5EF4-FFF2-40B4-BE49-F238E27FC236}">
              <a16:creationId xmlns:a16="http://schemas.microsoft.com/office/drawing/2014/main" id="{794FC50B-FD02-4EEE-A0A9-F54E124D7615}"/>
            </a:ext>
          </a:extLst>
        </xdr:cNvPr>
        <xdr:cNvSpPr txBox="1">
          <a:spLocks noChangeArrowheads="1"/>
        </xdr:cNvSpPr>
      </xdr:nvSpPr>
      <xdr:spPr bwMode="auto">
        <a:xfrm>
          <a:off x="3558540" y="12405360"/>
          <a:ext cx="1280160" cy="830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83</xdr:row>
      <xdr:rowOff>112866</xdr:rowOff>
    </xdr:from>
    <xdr:to>
      <xdr:col>5</xdr:col>
      <xdr:colOff>190500</xdr:colOff>
      <xdr:row>98</xdr:row>
      <xdr:rowOff>89184</xdr:rowOff>
    </xdr:to>
    <xdr:sp macro="" textlink="">
      <xdr:nvSpPr>
        <xdr:cNvPr id="258110" name="Text Box 62" hidden="1">
          <a:extLst>
            <a:ext uri="{FF2B5EF4-FFF2-40B4-BE49-F238E27FC236}">
              <a16:creationId xmlns:a16="http://schemas.microsoft.com/office/drawing/2014/main" id="{3621830E-E520-498D-B988-B9FBCBE42875}"/>
            </a:ext>
          </a:extLst>
        </xdr:cNvPr>
        <xdr:cNvSpPr txBox="1">
          <a:spLocks noChangeArrowheads="1"/>
        </xdr:cNvSpPr>
      </xdr:nvSpPr>
      <xdr:spPr bwMode="auto">
        <a:xfrm>
          <a:off x="3558540" y="17305020"/>
          <a:ext cx="1280160" cy="2895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39</xdr:row>
      <xdr:rowOff>95132</xdr:rowOff>
    </xdr:from>
    <xdr:to>
      <xdr:col>5</xdr:col>
      <xdr:colOff>190500</xdr:colOff>
      <xdr:row>60</xdr:row>
      <xdr:rowOff>42135</xdr:rowOff>
    </xdr:to>
    <xdr:sp macro="" textlink="">
      <xdr:nvSpPr>
        <xdr:cNvPr id="258109" name="Text Box 61" hidden="1">
          <a:extLst>
            <a:ext uri="{FF2B5EF4-FFF2-40B4-BE49-F238E27FC236}">
              <a16:creationId xmlns:a16="http://schemas.microsoft.com/office/drawing/2014/main" id="{171B6E72-F46A-43FE-858D-2E30B232B65A}"/>
            </a:ext>
          </a:extLst>
        </xdr:cNvPr>
        <xdr:cNvSpPr txBox="1">
          <a:spLocks noChangeArrowheads="1"/>
        </xdr:cNvSpPr>
      </xdr:nvSpPr>
      <xdr:spPr bwMode="auto">
        <a:xfrm>
          <a:off x="3558540" y="8465820"/>
          <a:ext cx="1280160" cy="37261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133018</xdr:rowOff>
    </xdr:from>
    <xdr:to>
      <xdr:col>5</xdr:col>
      <xdr:colOff>190500</xdr:colOff>
      <xdr:row>54</xdr:row>
      <xdr:rowOff>48646</xdr:rowOff>
    </xdr:to>
    <xdr:sp macro="" textlink="">
      <xdr:nvSpPr>
        <xdr:cNvPr id="258108" name="Text Box 60" hidden="1">
          <a:extLst>
            <a:ext uri="{FF2B5EF4-FFF2-40B4-BE49-F238E27FC236}">
              <a16:creationId xmlns:a16="http://schemas.microsoft.com/office/drawing/2014/main" id="{841C9086-A662-4ABB-9F56-B9F8DA2CC4A9}"/>
            </a:ext>
          </a:extLst>
        </xdr:cNvPr>
        <xdr:cNvSpPr txBox="1">
          <a:spLocks noChangeArrowheads="1"/>
        </xdr:cNvSpPr>
      </xdr:nvSpPr>
      <xdr:spPr bwMode="auto">
        <a:xfrm>
          <a:off x="3558540" y="8313420"/>
          <a:ext cx="1280160" cy="2705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18506</xdr:rowOff>
    </xdr:from>
    <xdr:to>
      <xdr:col>5</xdr:col>
      <xdr:colOff>190500</xdr:colOff>
      <xdr:row>45</xdr:row>
      <xdr:rowOff>131703</xdr:rowOff>
    </xdr:to>
    <xdr:sp macro="" textlink="">
      <xdr:nvSpPr>
        <xdr:cNvPr id="258107" name="Text Box 59" hidden="1">
          <a:extLst>
            <a:ext uri="{FF2B5EF4-FFF2-40B4-BE49-F238E27FC236}">
              <a16:creationId xmlns:a16="http://schemas.microsoft.com/office/drawing/2014/main" id="{EAD50EEB-EC09-4047-BDE9-8F1E9560BEEE}"/>
            </a:ext>
          </a:extLst>
        </xdr:cNvPr>
        <xdr:cNvSpPr txBox="1">
          <a:spLocks noChangeArrowheads="1"/>
        </xdr:cNvSpPr>
      </xdr:nvSpPr>
      <xdr:spPr bwMode="auto">
        <a:xfrm>
          <a:off x="3558540" y="8168640"/>
          <a:ext cx="1280160" cy="1417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43</xdr:row>
      <xdr:rowOff>94496</xdr:rowOff>
    </xdr:from>
    <xdr:to>
      <xdr:col>5</xdr:col>
      <xdr:colOff>190500</xdr:colOff>
      <xdr:row>45</xdr:row>
      <xdr:rowOff>93603</xdr:rowOff>
    </xdr:to>
    <xdr:sp macro="" textlink="">
      <xdr:nvSpPr>
        <xdr:cNvPr id="258106" name="Text Box 58" hidden="1">
          <a:extLst>
            <a:ext uri="{FF2B5EF4-FFF2-40B4-BE49-F238E27FC236}">
              <a16:creationId xmlns:a16="http://schemas.microsoft.com/office/drawing/2014/main" id="{B7413031-0564-4413-89F7-A872F268F378}"/>
            </a:ext>
          </a:extLst>
        </xdr:cNvPr>
        <xdr:cNvSpPr txBox="1">
          <a:spLocks noChangeArrowheads="1"/>
        </xdr:cNvSpPr>
      </xdr:nvSpPr>
      <xdr:spPr bwMode="auto">
        <a:xfrm>
          <a:off x="3558540" y="9144000"/>
          <a:ext cx="1280160" cy="403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44</xdr:row>
      <xdr:rowOff>55903</xdr:rowOff>
    </xdr:from>
    <xdr:to>
      <xdr:col>5</xdr:col>
      <xdr:colOff>190500</xdr:colOff>
      <xdr:row>44</xdr:row>
      <xdr:rowOff>55903</xdr:rowOff>
    </xdr:to>
    <xdr:sp macro="" textlink="">
      <xdr:nvSpPr>
        <xdr:cNvPr id="258105" name="Text Box 57" hidden="1">
          <a:extLst>
            <a:ext uri="{FF2B5EF4-FFF2-40B4-BE49-F238E27FC236}">
              <a16:creationId xmlns:a16="http://schemas.microsoft.com/office/drawing/2014/main" id="{FD4E4E38-D662-4863-ACB4-C13D77101FB7}"/>
            </a:ext>
          </a:extLst>
        </xdr:cNvPr>
        <xdr:cNvSpPr txBox="1">
          <a:spLocks noChangeArrowheads="1"/>
        </xdr:cNvSpPr>
      </xdr:nvSpPr>
      <xdr:spPr bwMode="auto">
        <a:xfrm>
          <a:off x="3558540" y="9326880"/>
          <a:ext cx="1280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83</xdr:row>
      <xdr:rowOff>112866</xdr:rowOff>
    </xdr:from>
    <xdr:to>
      <xdr:col>6</xdr:col>
      <xdr:colOff>38100</xdr:colOff>
      <xdr:row>96</xdr:row>
      <xdr:rowOff>28201</xdr:rowOff>
    </xdr:to>
    <xdr:sp macro="" textlink="">
      <xdr:nvSpPr>
        <xdr:cNvPr id="258104" name="Text Box 56" hidden="1">
          <a:extLst>
            <a:ext uri="{FF2B5EF4-FFF2-40B4-BE49-F238E27FC236}">
              <a16:creationId xmlns:a16="http://schemas.microsoft.com/office/drawing/2014/main" id="{CE358658-5AE9-4D78-A896-9DDB830B9BF2}"/>
            </a:ext>
          </a:extLst>
        </xdr:cNvPr>
        <xdr:cNvSpPr txBox="1">
          <a:spLocks noChangeArrowheads="1"/>
        </xdr:cNvSpPr>
      </xdr:nvSpPr>
      <xdr:spPr bwMode="auto">
        <a:xfrm>
          <a:off x="4038600" y="17312640"/>
          <a:ext cx="1440180" cy="24307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57</xdr:row>
      <xdr:rowOff>156845</xdr:rowOff>
    </xdr:from>
    <xdr:to>
      <xdr:col>5</xdr:col>
      <xdr:colOff>190500</xdr:colOff>
      <xdr:row>63</xdr:row>
      <xdr:rowOff>138438</xdr:rowOff>
    </xdr:to>
    <xdr:sp macro="" textlink="">
      <xdr:nvSpPr>
        <xdr:cNvPr id="258125" name="Text Box 77" hidden="1">
          <a:extLst>
            <a:ext uri="{FF2B5EF4-FFF2-40B4-BE49-F238E27FC236}">
              <a16:creationId xmlns:a16="http://schemas.microsoft.com/office/drawing/2014/main" id="{AF2E8ED6-351A-4C42-BB05-E231F2D8B56A}"/>
            </a:ext>
          </a:extLst>
        </xdr:cNvPr>
        <xdr:cNvSpPr txBox="1">
          <a:spLocks noChangeArrowheads="1"/>
        </xdr:cNvSpPr>
      </xdr:nvSpPr>
      <xdr:spPr bwMode="auto">
        <a:xfrm>
          <a:off x="3550920" y="11803380"/>
          <a:ext cx="128778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59</xdr:row>
      <xdr:rowOff>32000</xdr:rowOff>
    </xdr:from>
    <xdr:to>
      <xdr:col>5</xdr:col>
      <xdr:colOff>190500</xdr:colOff>
      <xdr:row>64</xdr:row>
      <xdr:rowOff>146717</xdr:rowOff>
    </xdr:to>
    <xdr:sp macro="" textlink="">
      <xdr:nvSpPr>
        <xdr:cNvPr id="258124" name="Text Box 76" hidden="1">
          <a:extLst>
            <a:ext uri="{FF2B5EF4-FFF2-40B4-BE49-F238E27FC236}">
              <a16:creationId xmlns:a16="http://schemas.microsoft.com/office/drawing/2014/main" id="{F3DE07D3-EA8A-423C-94A4-246F34B79ED1}"/>
            </a:ext>
          </a:extLst>
        </xdr:cNvPr>
        <xdr:cNvSpPr txBox="1">
          <a:spLocks noChangeArrowheads="1"/>
        </xdr:cNvSpPr>
      </xdr:nvSpPr>
      <xdr:spPr bwMode="auto">
        <a:xfrm>
          <a:off x="3550920" y="12009120"/>
          <a:ext cx="1287780" cy="9982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60</xdr:row>
      <xdr:rowOff>81858</xdr:rowOff>
    </xdr:from>
    <xdr:to>
      <xdr:col>5</xdr:col>
      <xdr:colOff>190500</xdr:colOff>
      <xdr:row>65</xdr:row>
      <xdr:rowOff>75764</xdr:rowOff>
    </xdr:to>
    <xdr:sp macro="" textlink="">
      <xdr:nvSpPr>
        <xdr:cNvPr id="258123" name="Text Box 75" hidden="1">
          <a:extLst>
            <a:ext uri="{FF2B5EF4-FFF2-40B4-BE49-F238E27FC236}">
              <a16:creationId xmlns:a16="http://schemas.microsoft.com/office/drawing/2014/main" id="{65697809-1D4A-4D81-9F2B-6C5A065C28BB}"/>
            </a:ext>
          </a:extLst>
        </xdr:cNvPr>
        <xdr:cNvSpPr txBox="1">
          <a:spLocks noChangeArrowheads="1"/>
        </xdr:cNvSpPr>
      </xdr:nvSpPr>
      <xdr:spPr bwMode="auto">
        <a:xfrm>
          <a:off x="3550920" y="12222480"/>
          <a:ext cx="1287780" cy="883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61</xdr:row>
      <xdr:rowOff>67437</xdr:rowOff>
    </xdr:from>
    <xdr:to>
      <xdr:col>5</xdr:col>
      <xdr:colOff>190500</xdr:colOff>
      <xdr:row>65</xdr:row>
      <xdr:rowOff>176048</xdr:rowOff>
    </xdr:to>
    <xdr:sp macro="" textlink="">
      <xdr:nvSpPr>
        <xdr:cNvPr id="258122" name="Text Box 74" hidden="1">
          <a:extLst>
            <a:ext uri="{FF2B5EF4-FFF2-40B4-BE49-F238E27FC236}">
              <a16:creationId xmlns:a16="http://schemas.microsoft.com/office/drawing/2014/main" id="{1E1C8B04-4DDA-4A9D-84CC-77774D06FF39}"/>
            </a:ext>
          </a:extLst>
        </xdr:cNvPr>
        <xdr:cNvSpPr txBox="1">
          <a:spLocks noChangeArrowheads="1"/>
        </xdr:cNvSpPr>
      </xdr:nvSpPr>
      <xdr:spPr bwMode="auto">
        <a:xfrm>
          <a:off x="3550920" y="12405360"/>
          <a:ext cx="128778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83</xdr:row>
      <xdr:rowOff>74765</xdr:rowOff>
    </xdr:from>
    <xdr:to>
      <xdr:col>5</xdr:col>
      <xdr:colOff>190500</xdr:colOff>
      <xdr:row>98</xdr:row>
      <xdr:rowOff>89184</xdr:rowOff>
    </xdr:to>
    <xdr:sp macro="" textlink="">
      <xdr:nvSpPr>
        <xdr:cNvPr id="258121" name="Text Box 73" hidden="1">
          <a:extLst>
            <a:ext uri="{FF2B5EF4-FFF2-40B4-BE49-F238E27FC236}">
              <a16:creationId xmlns:a16="http://schemas.microsoft.com/office/drawing/2014/main" id="{C009E776-9176-46D3-B121-5EE6FE7BEDFA}"/>
            </a:ext>
          </a:extLst>
        </xdr:cNvPr>
        <xdr:cNvSpPr txBox="1">
          <a:spLocks noChangeArrowheads="1"/>
        </xdr:cNvSpPr>
      </xdr:nvSpPr>
      <xdr:spPr bwMode="auto">
        <a:xfrm>
          <a:off x="3550920" y="17297400"/>
          <a:ext cx="1287780" cy="2895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39</xdr:row>
      <xdr:rowOff>95132</xdr:rowOff>
    </xdr:from>
    <xdr:to>
      <xdr:col>5</xdr:col>
      <xdr:colOff>190500</xdr:colOff>
      <xdr:row>60</xdr:row>
      <xdr:rowOff>42135</xdr:rowOff>
    </xdr:to>
    <xdr:sp macro="" textlink="">
      <xdr:nvSpPr>
        <xdr:cNvPr id="258120" name="Text Box 72" hidden="1">
          <a:extLst>
            <a:ext uri="{FF2B5EF4-FFF2-40B4-BE49-F238E27FC236}">
              <a16:creationId xmlns:a16="http://schemas.microsoft.com/office/drawing/2014/main" id="{D0B5F2FD-C533-4570-BBEE-08F3EBCE2B08}"/>
            </a:ext>
          </a:extLst>
        </xdr:cNvPr>
        <xdr:cNvSpPr txBox="1">
          <a:spLocks noChangeArrowheads="1"/>
        </xdr:cNvSpPr>
      </xdr:nvSpPr>
      <xdr:spPr bwMode="auto">
        <a:xfrm>
          <a:off x="3550920" y="8465820"/>
          <a:ext cx="1287780" cy="37261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133018</xdr:rowOff>
    </xdr:from>
    <xdr:to>
      <xdr:col>5</xdr:col>
      <xdr:colOff>190500</xdr:colOff>
      <xdr:row>54</xdr:row>
      <xdr:rowOff>48646</xdr:rowOff>
    </xdr:to>
    <xdr:sp macro="" textlink="">
      <xdr:nvSpPr>
        <xdr:cNvPr id="258119" name="Text Box 71" hidden="1">
          <a:extLst>
            <a:ext uri="{FF2B5EF4-FFF2-40B4-BE49-F238E27FC236}">
              <a16:creationId xmlns:a16="http://schemas.microsoft.com/office/drawing/2014/main" id="{AE741AA8-E487-4932-B315-A805BA2F6794}"/>
            </a:ext>
          </a:extLst>
        </xdr:cNvPr>
        <xdr:cNvSpPr txBox="1">
          <a:spLocks noChangeArrowheads="1"/>
        </xdr:cNvSpPr>
      </xdr:nvSpPr>
      <xdr:spPr bwMode="auto">
        <a:xfrm>
          <a:off x="3550920" y="8305800"/>
          <a:ext cx="1287780" cy="2705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18506</xdr:rowOff>
    </xdr:from>
    <xdr:to>
      <xdr:col>5</xdr:col>
      <xdr:colOff>190500</xdr:colOff>
      <xdr:row>45</xdr:row>
      <xdr:rowOff>131703</xdr:rowOff>
    </xdr:to>
    <xdr:sp macro="" textlink="">
      <xdr:nvSpPr>
        <xdr:cNvPr id="258118" name="Text Box 70" hidden="1">
          <a:extLst>
            <a:ext uri="{FF2B5EF4-FFF2-40B4-BE49-F238E27FC236}">
              <a16:creationId xmlns:a16="http://schemas.microsoft.com/office/drawing/2014/main" id="{F1D86B32-85B1-4183-9204-66C932175407}"/>
            </a:ext>
          </a:extLst>
        </xdr:cNvPr>
        <xdr:cNvSpPr txBox="1">
          <a:spLocks noChangeArrowheads="1"/>
        </xdr:cNvSpPr>
      </xdr:nvSpPr>
      <xdr:spPr bwMode="auto">
        <a:xfrm>
          <a:off x="3550920" y="8168640"/>
          <a:ext cx="1287780" cy="1417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43</xdr:row>
      <xdr:rowOff>94496</xdr:rowOff>
    </xdr:from>
    <xdr:to>
      <xdr:col>5</xdr:col>
      <xdr:colOff>190500</xdr:colOff>
      <xdr:row>45</xdr:row>
      <xdr:rowOff>93603</xdr:rowOff>
    </xdr:to>
    <xdr:sp macro="" textlink="">
      <xdr:nvSpPr>
        <xdr:cNvPr id="258117" name="Text Box 69" hidden="1">
          <a:extLst>
            <a:ext uri="{FF2B5EF4-FFF2-40B4-BE49-F238E27FC236}">
              <a16:creationId xmlns:a16="http://schemas.microsoft.com/office/drawing/2014/main" id="{9A9EAE49-4926-4FFC-A235-4330B20DF8B8}"/>
            </a:ext>
          </a:extLst>
        </xdr:cNvPr>
        <xdr:cNvSpPr txBox="1">
          <a:spLocks noChangeArrowheads="1"/>
        </xdr:cNvSpPr>
      </xdr:nvSpPr>
      <xdr:spPr bwMode="auto">
        <a:xfrm>
          <a:off x="3550920" y="9136380"/>
          <a:ext cx="1287780" cy="411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44</xdr:row>
      <xdr:rowOff>55903</xdr:rowOff>
    </xdr:from>
    <xdr:to>
      <xdr:col>5</xdr:col>
      <xdr:colOff>190500</xdr:colOff>
      <xdr:row>44</xdr:row>
      <xdr:rowOff>55903</xdr:rowOff>
    </xdr:to>
    <xdr:sp macro="" textlink="">
      <xdr:nvSpPr>
        <xdr:cNvPr id="258116" name="Text Box 68" hidden="1">
          <a:extLst>
            <a:ext uri="{FF2B5EF4-FFF2-40B4-BE49-F238E27FC236}">
              <a16:creationId xmlns:a16="http://schemas.microsoft.com/office/drawing/2014/main" id="{7CC03DAB-A3D6-4398-94F5-3252A853574D}"/>
            </a:ext>
          </a:extLst>
        </xdr:cNvPr>
        <xdr:cNvSpPr txBox="1">
          <a:spLocks noChangeArrowheads="1"/>
        </xdr:cNvSpPr>
      </xdr:nvSpPr>
      <xdr:spPr bwMode="auto">
        <a:xfrm>
          <a:off x="3550920" y="9319260"/>
          <a:ext cx="12877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83</xdr:row>
      <xdr:rowOff>112866</xdr:rowOff>
    </xdr:from>
    <xdr:to>
      <xdr:col>6</xdr:col>
      <xdr:colOff>38100</xdr:colOff>
      <xdr:row>96</xdr:row>
      <xdr:rowOff>28201</xdr:rowOff>
    </xdr:to>
    <xdr:sp macro="" textlink="">
      <xdr:nvSpPr>
        <xdr:cNvPr id="258115" name="Text Box 67" hidden="1">
          <a:extLst>
            <a:ext uri="{FF2B5EF4-FFF2-40B4-BE49-F238E27FC236}">
              <a16:creationId xmlns:a16="http://schemas.microsoft.com/office/drawing/2014/main" id="{0F89E18A-8BE0-427D-9F86-6B354084A203}"/>
            </a:ext>
          </a:extLst>
        </xdr:cNvPr>
        <xdr:cNvSpPr txBox="1">
          <a:spLocks noChangeArrowheads="1"/>
        </xdr:cNvSpPr>
      </xdr:nvSpPr>
      <xdr:spPr bwMode="auto">
        <a:xfrm>
          <a:off x="4038600" y="17305020"/>
          <a:ext cx="1440180" cy="24307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57</xdr:row>
      <xdr:rowOff>156845</xdr:rowOff>
    </xdr:from>
    <xdr:to>
      <xdr:col>5</xdr:col>
      <xdr:colOff>190500</xdr:colOff>
      <xdr:row>63</xdr:row>
      <xdr:rowOff>138438</xdr:rowOff>
    </xdr:to>
    <xdr:sp macro="" textlink="">
      <xdr:nvSpPr>
        <xdr:cNvPr id="258136" name="Text Box 88" hidden="1">
          <a:extLst>
            <a:ext uri="{FF2B5EF4-FFF2-40B4-BE49-F238E27FC236}">
              <a16:creationId xmlns:a16="http://schemas.microsoft.com/office/drawing/2014/main" id="{CDB79FE7-D27E-4382-B0AC-F88F2D19A641}"/>
            </a:ext>
          </a:extLst>
        </xdr:cNvPr>
        <xdr:cNvSpPr txBox="1">
          <a:spLocks noChangeArrowheads="1"/>
        </xdr:cNvSpPr>
      </xdr:nvSpPr>
      <xdr:spPr bwMode="auto">
        <a:xfrm>
          <a:off x="3514725" y="11963400"/>
          <a:ext cx="1190625" cy="1057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59</xdr:row>
      <xdr:rowOff>32000</xdr:rowOff>
    </xdr:from>
    <xdr:to>
      <xdr:col>5</xdr:col>
      <xdr:colOff>190500</xdr:colOff>
      <xdr:row>64</xdr:row>
      <xdr:rowOff>146717</xdr:rowOff>
    </xdr:to>
    <xdr:sp macro="" textlink="">
      <xdr:nvSpPr>
        <xdr:cNvPr id="258135" name="Text Box 87" hidden="1">
          <a:extLst>
            <a:ext uri="{FF2B5EF4-FFF2-40B4-BE49-F238E27FC236}">
              <a16:creationId xmlns:a16="http://schemas.microsoft.com/office/drawing/2014/main" id="{C7D2E695-9E38-4BA9-B8C6-372D169722AE}"/>
            </a:ext>
          </a:extLst>
        </xdr:cNvPr>
        <xdr:cNvSpPr txBox="1">
          <a:spLocks noChangeArrowheads="1"/>
        </xdr:cNvSpPr>
      </xdr:nvSpPr>
      <xdr:spPr bwMode="auto">
        <a:xfrm>
          <a:off x="3514725" y="12182475"/>
          <a:ext cx="11906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60</xdr:row>
      <xdr:rowOff>81858</xdr:rowOff>
    </xdr:from>
    <xdr:to>
      <xdr:col>5</xdr:col>
      <xdr:colOff>190500</xdr:colOff>
      <xdr:row>65</xdr:row>
      <xdr:rowOff>75764</xdr:rowOff>
    </xdr:to>
    <xdr:sp macro="" textlink="">
      <xdr:nvSpPr>
        <xdr:cNvPr id="258134" name="Text Box 86" hidden="1">
          <a:extLst>
            <a:ext uri="{FF2B5EF4-FFF2-40B4-BE49-F238E27FC236}">
              <a16:creationId xmlns:a16="http://schemas.microsoft.com/office/drawing/2014/main" id="{53CDEEB9-36BE-404B-9570-5F0953725CDE}"/>
            </a:ext>
          </a:extLst>
        </xdr:cNvPr>
        <xdr:cNvSpPr txBox="1">
          <a:spLocks noChangeArrowheads="1"/>
        </xdr:cNvSpPr>
      </xdr:nvSpPr>
      <xdr:spPr bwMode="auto">
        <a:xfrm>
          <a:off x="3514725" y="12411075"/>
          <a:ext cx="1190625"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61</xdr:row>
      <xdr:rowOff>67437</xdr:rowOff>
    </xdr:from>
    <xdr:to>
      <xdr:col>5</xdr:col>
      <xdr:colOff>190500</xdr:colOff>
      <xdr:row>65</xdr:row>
      <xdr:rowOff>176048</xdr:rowOff>
    </xdr:to>
    <xdr:sp macro="" textlink="">
      <xdr:nvSpPr>
        <xdr:cNvPr id="258133" name="Text Box 85" hidden="1">
          <a:extLst>
            <a:ext uri="{FF2B5EF4-FFF2-40B4-BE49-F238E27FC236}">
              <a16:creationId xmlns:a16="http://schemas.microsoft.com/office/drawing/2014/main" id="{BD1CC641-2C5F-4420-9713-8BE5274CE99D}"/>
            </a:ext>
          </a:extLst>
        </xdr:cNvPr>
        <xdr:cNvSpPr txBox="1">
          <a:spLocks noChangeArrowheads="1"/>
        </xdr:cNvSpPr>
      </xdr:nvSpPr>
      <xdr:spPr bwMode="auto">
        <a:xfrm>
          <a:off x="3514725" y="12601575"/>
          <a:ext cx="1190625"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83</xdr:row>
      <xdr:rowOff>74765</xdr:rowOff>
    </xdr:from>
    <xdr:to>
      <xdr:col>5</xdr:col>
      <xdr:colOff>190500</xdr:colOff>
      <xdr:row>98</xdr:row>
      <xdr:rowOff>89184</xdr:rowOff>
    </xdr:to>
    <xdr:sp macro="" textlink="">
      <xdr:nvSpPr>
        <xdr:cNvPr id="258132" name="Text Box 84" hidden="1">
          <a:extLst>
            <a:ext uri="{FF2B5EF4-FFF2-40B4-BE49-F238E27FC236}">
              <a16:creationId xmlns:a16="http://schemas.microsoft.com/office/drawing/2014/main" id="{2DC7A7F3-B148-43DF-9173-1C3B376C3D9F}"/>
            </a:ext>
          </a:extLst>
        </xdr:cNvPr>
        <xdr:cNvSpPr txBox="1">
          <a:spLocks noChangeArrowheads="1"/>
        </xdr:cNvSpPr>
      </xdr:nvSpPr>
      <xdr:spPr bwMode="auto">
        <a:xfrm>
          <a:off x="3514725" y="17640300"/>
          <a:ext cx="1190625" cy="2962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39</xdr:row>
      <xdr:rowOff>95132</xdr:rowOff>
    </xdr:from>
    <xdr:to>
      <xdr:col>5</xdr:col>
      <xdr:colOff>190500</xdr:colOff>
      <xdr:row>60</xdr:row>
      <xdr:rowOff>42135</xdr:rowOff>
    </xdr:to>
    <xdr:sp macro="" textlink="">
      <xdr:nvSpPr>
        <xdr:cNvPr id="258131" name="Text Box 83" hidden="1">
          <a:extLst>
            <a:ext uri="{FF2B5EF4-FFF2-40B4-BE49-F238E27FC236}">
              <a16:creationId xmlns:a16="http://schemas.microsoft.com/office/drawing/2014/main" id="{F54DA020-13C9-4D02-BC75-6F2F65E96630}"/>
            </a:ext>
          </a:extLst>
        </xdr:cNvPr>
        <xdr:cNvSpPr txBox="1">
          <a:spLocks noChangeArrowheads="1"/>
        </xdr:cNvSpPr>
      </xdr:nvSpPr>
      <xdr:spPr bwMode="auto">
        <a:xfrm>
          <a:off x="3514725" y="8553450"/>
          <a:ext cx="1190625" cy="381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133018</xdr:rowOff>
    </xdr:from>
    <xdr:to>
      <xdr:col>5</xdr:col>
      <xdr:colOff>190500</xdr:colOff>
      <xdr:row>54</xdr:row>
      <xdr:rowOff>48646</xdr:rowOff>
    </xdr:to>
    <xdr:sp macro="" textlink="">
      <xdr:nvSpPr>
        <xdr:cNvPr id="258130" name="Text Box 82" hidden="1">
          <a:extLst>
            <a:ext uri="{FF2B5EF4-FFF2-40B4-BE49-F238E27FC236}">
              <a16:creationId xmlns:a16="http://schemas.microsoft.com/office/drawing/2014/main" id="{F35FCBE6-42C0-4995-BC30-3B584A3FC639}"/>
            </a:ext>
          </a:extLst>
        </xdr:cNvPr>
        <xdr:cNvSpPr txBox="1">
          <a:spLocks noChangeArrowheads="1"/>
        </xdr:cNvSpPr>
      </xdr:nvSpPr>
      <xdr:spPr bwMode="auto">
        <a:xfrm>
          <a:off x="3514725" y="8382000"/>
          <a:ext cx="1190625" cy="2771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18506</xdr:rowOff>
    </xdr:from>
    <xdr:to>
      <xdr:col>5</xdr:col>
      <xdr:colOff>190500</xdr:colOff>
      <xdr:row>45</xdr:row>
      <xdr:rowOff>131703</xdr:rowOff>
    </xdr:to>
    <xdr:sp macro="" textlink="">
      <xdr:nvSpPr>
        <xdr:cNvPr id="258129" name="Text Box 81" hidden="1">
          <a:extLst>
            <a:ext uri="{FF2B5EF4-FFF2-40B4-BE49-F238E27FC236}">
              <a16:creationId xmlns:a16="http://schemas.microsoft.com/office/drawing/2014/main" id="{65DD4C78-3341-497E-A858-345BA13BF7BB}"/>
            </a:ext>
          </a:extLst>
        </xdr:cNvPr>
        <xdr:cNvSpPr txBox="1">
          <a:spLocks noChangeArrowheads="1"/>
        </xdr:cNvSpPr>
      </xdr:nvSpPr>
      <xdr:spPr bwMode="auto">
        <a:xfrm>
          <a:off x="3514725" y="8248650"/>
          <a:ext cx="1190625"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43</xdr:row>
      <xdr:rowOff>94496</xdr:rowOff>
    </xdr:from>
    <xdr:to>
      <xdr:col>5</xdr:col>
      <xdr:colOff>190500</xdr:colOff>
      <xdr:row>45</xdr:row>
      <xdr:rowOff>93603</xdr:rowOff>
    </xdr:to>
    <xdr:sp macro="" textlink="">
      <xdr:nvSpPr>
        <xdr:cNvPr id="258128" name="Text Box 80" hidden="1">
          <a:extLst>
            <a:ext uri="{FF2B5EF4-FFF2-40B4-BE49-F238E27FC236}">
              <a16:creationId xmlns:a16="http://schemas.microsoft.com/office/drawing/2014/main" id="{8ADFCC48-D9D9-4989-998A-A2437E3C1EE3}"/>
            </a:ext>
          </a:extLst>
        </xdr:cNvPr>
        <xdr:cNvSpPr txBox="1">
          <a:spLocks noChangeArrowheads="1"/>
        </xdr:cNvSpPr>
      </xdr:nvSpPr>
      <xdr:spPr bwMode="auto">
        <a:xfrm>
          <a:off x="3514725" y="9239250"/>
          <a:ext cx="1190625" cy="41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44</xdr:row>
      <xdr:rowOff>55903</xdr:rowOff>
    </xdr:from>
    <xdr:to>
      <xdr:col>5</xdr:col>
      <xdr:colOff>190500</xdr:colOff>
      <xdr:row>44</xdr:row>
      <xdr:rowOff>55903</xdr:rowOff>
    </xdr:to>
    <xdr:sp macro="" textlink="">
      <xdr:nvSpPr>
        <xdr:cNvPr id="258127" name="Text Box 79" hidden="1">
          <a:extLst>
            <a:ext uri="{FF2B5EF4-FFF2-40B4-BE49-F238E27FC236}">
              <a16:creationId xmlns:a16="http://schemas.microsoft.com/office/drawing/2014/main" id="{5E6F14DA-0985-4197-8622-20F77A5AFAA5}"/>
            </a:ext>
          </a:extLst>
        </xdr:cNvPr>
        <xdr:cNvSpPr txBox="1">
          <a:spLocks noChangeArrowheads="1"/>
        </xdr:cNvSpPr>
      </xdr:nvSpPr>
      <xdr:spPr bwMode="auto">
        <a:xfrm>
          <a:off x="3514725" y="9420225"/>
          <a:ext cx="11906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83</xdr:row>
      <xdr:rowOff>74765</xdr:rowOff>
    </xdr:from>
    <xdr:to>
      <xdr:col>6</xdr:col>
      <xdr:colOff>38100</xdr:colOff>
      <xdr:row>96</xdr:row>
      <xdr:rowOff>28201</xdr:rowOff>
    </xdr:to>
    <xdr:sp macro="" textlink="">
      <xdr:nvSpPr>
        <xdr:cNvPr id="258126" name="Text Box 78" hidden="1">
          <a:extLst>
            <a:ext uri="{FF2B5EF4-FFF2-40B4-BE49-F238E27FC236}">
              <a16:creationId xmlns:a16="http://schemas.microsoft.com/office/drawing/2014/main" id="{BF290713-97E1-4A13-BF1C-37F6023DB01A}"/>
            </a:ext>
          </a:extLst>
        </xdr:cNvPr>
        <xdr:cNvSpPr txBox="1">
          <a:spLocks noChangeArrowheads="1"/>
        </xdr:cNvSpPr>
      </xdr:nvSpPr>
      <xdr:spPr bwMode="auto">
        <a:xfrm>
          <a:off x="3924300" y="17640300"/>
          <a:ext cx="1390650" cy="2476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83</xdr:row>
      <xdr:rowOff>103976</xdr:rowOff>
    </xdr:from>
    <xdr:to>
      <xdr:col>6</xdr:col>
      <xdr:colOff>38100</xdr:colOff>
      <xdr:row>95</xdr:row>
      <xdr:rowOff>166301</xdr:rowOff>
    </xdr:to>
    <xdr:sp macro="" textlink="">
      <xdr:nvSpPr>
        <xdr:cNvPr id="258137" name="Text Box 89" hidden="1">
          <a:extLst>
            <a:ext uri="{FF2B5EF4-FFF2-40B4-BE49-F238E27FC236}">
              <a16:creationId xmlns:a16="http://schemas.microsoft.com/office/drawing/2014/main" id="{1C85DC9F-9C98-450F-9E19-1D065C923B68}"/>
            </a:ext>
          </a:extLst>
        </xdr:cNvPr>
        <xdr:cNvSpPr txBox="1">
          <a:spLocks noChangeArrowheads="1"/>
        </xdr:cNvSpPr>
      </xdr:nvSpPr>
      <xdr:spPr bwMode="auto">
        <a:xfrm>
          <a:off x="3924300" y="17640300"/>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94285</xdr:rowOff>
    </xdr:from>
    <xdr:to>
      <xdr:col>5</xdr:col>
      <xdr:colOff>640715</xdr:colOff>
      <xdr:row>44</xdr:row>
      <xdr:rowOff>94849</xdr:rowOff>
    </xdr:to>
    <xdr:sp macro="" textlink="">
      <xdr:nvSpPr>
        <xdr:cNvPr id="258149" name="Text Box 101" hidden="1">
          <a:extLst>
            <a:ext uri="{FF2B5EF4-FFF2-40B4-BE49-F238E27FC236}">
              <a16:creationId xmlns:a16="http://schemas.microsoft.com/office/drawing/2014/main" id="{E7B8629A-07A3-49FB-A2C7-D131B22AA69A}"/>
            </a:ext>
          </a:extLst>
        </xdr:cNvPr>
        <xdr:cNvSpPr txBox="1">
          <a:spLocks noChangeArrowheads="1"/>
        </xdr:cNvSpPr>
      </xdr:nvSpPr>
      <xdr:spPr bwMode="auto">
        <a:xfrm>
          <a:off x="3886200" y="8724900"/>
          <a:ext cx="1257300" cy="7715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94284</xdr:rowOff>
    </xdr:from>
    <xdr:to>
      <xdr:col>5</xdr:col>
      <xdr:colOff>640715</xdr:colOff>
      <xdr:row>45</xdr:row>
      <xdr:rowOff>130645</xdr:rowOff>
    </xdr:to>
    <xdr:sp macro="" textlink="">
      <xdr:nvSpPr>
        <xdr:cNvPr id="258150" name="Text Box 102" hidden="1">
          <a:extLst>
            <a:ext uri="{FF2B5EF4-FFF2-40B4-BE49-F238E27FC236}">
              <a16:creationId xmlns:a16="http://schemas.microsoft.com/office/drawing/2014/main" id="{D70B7199-DB6A-4B5C-80E9-BFCA5534ED4E}"/>
            </a:ext>
          </a:extLst>
        </xdr:cNvPr>
        <xdr:cNvSpPr txBox="1">
          <a:spLocks noChangeArrowheads="1"/>
        </xdr:cNvSpPr>
      </xdr:nvSpPr>
      <xdr:spPr bwMode="auto">
        <a:xfrm>
          <a:off x="3886200" y="89249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172507</xdr:rowOff>
    </xdr:from>
    <xdr:to>
      <xdr:col>5</xdr:col>
      <xdr:colOff>640715</xdr:colOff>
      <xdr:row>48</xdr:row>
      <xdr:rowOff>27255</xdr:rowOff>
    </xdr:to>
    <xdr:sp macro="" textlink="">
      <xdr:nvSpPr>
        <xdr:cNvPr id="258151" name="Text Box 103" hidden="1">
          <a:extLst>
            <a:ext uri="{FF2B5EF4-FFF2-40B4-BE49-F238E27FC236}">
              <a16:creationId xmlns:a16="http://schemas.microsoft.com/office/drawing/2014/main" id="{5C72487A-284C-4AC5-93AB-EDEE3931B3AE}"/>
            </a:ext>
          </a:extLst>
        </xdr:cNvPr>
        <xdr:cNvSpPr txBox="1">
          <a:spLocks noChangeArrowheads="1"/>
        </xdr:cNvSpPr>
      </xdr:nvSpPr>
      <xdr:spPr bwMode="auto">
        <a:xfrm>
          <a:off x="3886200" y="932497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132949</xdr:rowOff>
    </xdr:from>
    <xdr:to>
      <xdr:col>5</xdr:col>
      <xdr:colOff>640715</xdr:colOff>
      <xdr:row>49</xdr:row>
      <xdr:rowOff>60887</xdr:rowOff>
    </xdr:to>
    <xdr:sp macro="" textlink="">
      <xdr:nvSpPr>
        <xdr:cNvPr id="258152" name="Text Box 104" hidden="1">
          <a:extLst>
            <a:ext uri="{FF2B5EF4-FFF2-40B4-BE49-F238E27FC236}">
              <a16:creationId xmlns:a16="http://schemas.microsoft.com/office/drawing/2014/main" id="{35617988-37FC-4EDC-97B6-51576FC4021A}"/>
            </a:ext>
          </a:extLst>
        </xdr:cNvPr>
        <xdr:cNvSpPr txBox="1">
          <a:spLocks noChangeArrowheads="1"/>
        </xdr:cNvSpPr>
      </xdr:nvSpPr>
      <xdr:spPr bwMode="auto">
        <a:xfrm>
          <a:off x="3886200" y="95345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141</xdr:rowOff>
    </xdr:from>
    <xdr:to>
      <xdr:col>5</xdr:col>
      <xdr:colOff>640715</xdr:colOff>
      <xdr:row>50</xdr:row>
      <xdr:rowOff>109759</xdr:rowOff>
    </xdr:to>
    <xdr:sp macro="" textlink="">
      <xdr:nvSpPr>
        <xdr:cNvPr id="258153" name="Text Box 105" hidden="1">
          <a:extLst>
            <a:ext uri="{FF2B5EF4-FFF2-40B4-BE49-F238E27FC236}">
              <a16:creationId xmlns:a16="http://schemas.microsoft.com/office/drawing/2014/main" id="{FAFE7F69-9567-4B2A-976C-5795DFCD9423}"/>
            </a:ext>
          </a:extLst>
        </xdr:cNvPr>
        <xdr:cNvSpPr txBox="1">
          <a:spLocks noChangeArrowheads="1"/>
        </xdr:cNvSpPr>
      </xdr:nvSpPr>
      <xdr:spPr bwMode="auto">
        <a:xfrm>
          <a:off x="3886200" y="974407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149917</xdr:rowOff>
    </xdr:from>
    <xdr:to>
      <xdr:col>5</xdr:col>
      <xdr:colOff>640715</xdr:colOff>
      <xdr:row>70</xdr:row>
      <xdr:rowOff>12352</xdr:rowOff>
    </xdr:to>
    <xdr:sp macro="" textlink="">
      <xdr:nvSpPr>
        <xdr:cNvPr id="258154" name="Text Box 106" hidden="1">
          <a:extLst>
            <a:ext uri="{FF2B5EF4-FFF2-40B4-BE49-F238E27FC236}">
              <a16:creationId xmlns:a16="http://schemas.microsoft.com/office/drawing/2014/main" id="{C1E5109B-B99F-4A34-A64B-1D5A0647B55D}"/>
            </a:ext>
          </a:extLst>
        </xdr:cNvPr>
        <xdr:cNvSpPr txBox="1">
          <a:spLocks noChangeArrowheads="1"/>
        </xdr:cNvSpPr>
      </xdr:nvSpPr>
      <xdr:spPr bwMode="auto">
        <a:xfrm>
          <a:off x="3886200" y="134112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131623</xdr:rowOff>
    </xdr:from>
    <xdr:to>
      <xdr:col>5</xdr:col>
      <xdr:colOff>640715</xdr:colOff>
      <xdr:row>71</xdr:row>
      <xdr:rowOff>5180</xdr:rowOff>
    </xdr:to>
    <xdr:sp macro="" textlink="">
      <xdr:nvSpPr>
        <xdr:cNvPr id="258155" name="Text Box 107" hidden="1">
          <a:extLst>
            <a:ext uri="{FF2B5EF4-FFF2-40B4-BE49-F238E27FC236}">
              <a16:creationId xmlns:a16="http://schemas.microsoft.com/office/drawing/2014/main" id="{6934292F-6827-4F61-9359-E4BC126CAA17}"/>
            </a:ext>
          </a:extLst>
        </xdr:cNvPr>
        <xdr:cNvSpPr txBox="1">
          <a:spLocks noChangeArrowheads="1"/>
        </xdr:cNvSpPr>
      </xdr:nvSpPr>
      <xdr:spPr bwMode="auto">
        <a:xfrm>
          <a:off x="3886200" y="136017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53674</xdr:rowOff>
    </xdr:from>
    <xdr:to>
      <xdr:col>5</xdr:col>
      <xdr:colOff>640715</xdr:colOff>
      <xdr:row>72</xdr:row>
      <xdr:rowOff>46709</xdr:rowOff>
    </xdr:to>
    <xdr:sp macro="" textlink="">
      <xdr:nvSpPr>
        <xdr:cNvPr id="258156" name="Text Box 108" hidden="1">
          <a:extLst>
            <a:ext uri="{FF2B5EF4-FFF2-40B4-BE49-F238E27FC236}">
              <a16:creationId xmlns:a16="http://schemas.microsoft.com/office/drawing/2014/main" id="{885944F1-8E4A-456B-B2F5-8DFABDC7EBD4}"/>
            </a:ext>
          </a:extLst>
        </xdr:cNvPr>
        <xdr:cNvSpPr txBox="1">
          <a:spLocks noChangeArrowheads="1"/>
        </xdr:cNvSpPr>
      </xdr:nvSpPr>
      <xdr:spPr bwMode="auto">
        <a:xfrm>
          <a:off x="3886200" y="137922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112426</xdr:rowOff>
    </xdr:from>
    <xdr:to>
      <xdr:col>5</xdr:col>
      <xdr:colOff>640715</xdr:colOff>
      <xdr:row>73</xdr:row>
      <xdr:rowOff>51078</xdr:rowOff>
    </xdr:to>
    <xdr:sp macro="" textlink="">
      <xdr:nvSpPr>
        <xdr:cNvPr id="258157" name="Text Box 109" hidden="1">
          <a:extLst>
            <a:ext uri="{FF2B5EF4-FFF2-40B4-BE49-F238E27FC236}">
              <a16:creationId xmlns:a16="http://schemas.microsoft.com/office/drawing/2014/main" id="{E6C6E50F-AAFC-4DBA-B8D0-102ECF36057A}"/>
            </a:ext>
          </a:extLst>
        </xdr:cNvPr>
        <xdr:cNvSpPr txBox="1">
          <a:spLocks noChangeArrowheads="1"/>
        </xdr:cNvSpPr>
      </xdr:nvSpPr>
      <xdr:spPr bwMode="auto">
        <a:xfrm>
          <a:off x="3886200" y="139827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6797</xdr:rowOff>
    </xdr:from>
    <xdr:to>
      <xdr:col>5</xdr:col>
      <xdr:colOff>640715</xdr:colOff>
      <xdr:row>89</xdr:row>
      <xdr:rowOff>323965</xdr:rowOff>
    </xdr:to>
    <xdr:sp macro="" textlink="">
      <xdr:nvSpPr>
        <xdr:cNvPr id="258158" name="Text Box 110" hidden="1">
          <a:extLst>
            <a:ext uri="{FF2B5EF4-FFF2-40B4-BE49-F238E27FC236}">
              <a16:creationId xmlns:a16="http://schemas.microsoft.com/office/drawing/2014/main" id="{C9BBA7A6-102B-4C36-9522-3443CB9F6C7F}"/>
            </a:ext>
          </a:extLst>
        </xdr:cNvPr>
        <xdr:cNvSpPr txBox="1">
          <a:spLocks noChangeArrowheads="1"/>
        </xdr:cNvSpPr>
      </xdr:nvSpPr>
      <xdr:spPr bwMode="auto">
        <a:xfrm>
          <a:off x="3886200" y="181832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88</xdr:row>
      <xdr:rowOff>83113</xdr:rowOff>
    </xdr:from>
    <xdr:to>
      <xdr:col>5</xdr:col>
      <xdr:colOff>640715</xdr:colOff>
      <xdr:row>91</xdr:row>
      <xdr:rowOff>45288</xdr:rowOff>
    </xdr:to>
    <xdr:sp macro="" textlink="">
      <xdr:nvSpPr>
        <xdr:cNvPr id="258159" name="Text Box 111" hidden="1">
          <a:extLst>
            <a:ext uri="{FF2B5EF4-FFF2-40B4-BE49-F238E27FC236}">
              <a16:creationId xmlns:a16="http://schemas.microsoft.com/office/drawing/2014/main" id="{BA9807FE-F55B-419F-9EF9-C7EFEB5E47C1}"/>
            </a:ext>
          </a:extLst>
        </xdr:cNvPr>
        <xdr:cNvSpPr txBox="1">
          <a:spLocks noChangeArrowheads="1"/>
        </xdr:cNvSpPr>
      </xdr:nvSpPr>
      <xdr:spPr bwMode="auto">
        <a:xfrm>
          <a:off x="3886200" y="18545175"/>
          <a:ext cx="12573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89</xdr:row>
      <xdr:rowOff>206921</xdr:rowOff>
    </xdr:from>
    <xdr:to>
      <xdr:col>5</xdr:col>
      <xdr:colOff>640715</xdr:colOff>
      <xdr:row>93</xdr:row>
      <xdr:rowOff>89350</xdr:rowOff>
    </xdr:to>
    <xdr:sp macro="" textlink="">
      <xdr:nvSpPr>
        <xdr:cNvPr id="258160" name="Text Box 112" hidden="1">
          <a:extLst>
            <a:ext uri="{FF2B5EF4-FFF2-40B4-BE49-F238E27FC236}">
              <a16:creationId xmlns:a16="http://schemas.microsoft.com/office/drawing/2014/main" id="{D0C41837-0A4C-44E8-ABCE-FDC54AB36B3B}"/>
            </a:ext>
          </a:extLst>
        </xdr:cNvPr>
        <xdr:cNvSpPr txBox="1">
          <a:spLocks noChangeArrowheads="1"/>
        </xdr:cNvSpPr>
      </xdr:nvSpPr>
      <xdr:spPr bwMode="auto">
        <a:xfrm>
          <a:off x="3886200" y="18888075"/>
          <a:ext cx="12573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83</xdr:row>
      <xdr:rowOff>103976</xdr:rowOff>
    </xdr:from>
    <xdr:to>
      <xdr:col>6</xdr:col>
      <xdr:colOff>38100</xdr:colOff>
      <xdr:row>95</xdr:row>
      <xdr:rowOff>166301</xdr:rowOff>
    </xdr:to>
    <xdr:sp macro="" textlink="">
      <xdr:nvSpPr>
        <xdr:cNvPr id="258173" name="Text Box 125" hidden="1">
          <a:extLst>
            <a:ext uri="{FF2B5EF4-FFF2-40B4-BE49-F238E27FC236}">
              <a16:creationId xmlns:a16="http://schemas.microsoft.com/office/drawing/2014/main" id="{646D364A-6B63-41E8-B8F9-8FBEA2548FC7}"/>
            </a:ext>
          </a:extLst>
        </xdr:cNvPr>
        <xdr:cNvSpPr txBox="1">
          <a:spLocks noChangeArrowheads="1"/>
        </xdr:cNvSpPr>
      </xdr:nvSpPr>
      <xdr:spPr bwMode="auto">
        <a:xfrm>
          <a:off x="3924300" y="17640300"/>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94285</xdr:rowOff>
    </xdr:from>
    <xdr:to>
      <xdr:col>5</xdr:col>
      <xdr:colOff>640715</xdr:colOff>
      <xdr:row>44</xdr:row>
      <xdr:rowOff>94849</xdr:rowOff>
    </xdr:to>
    <xdr:sp macro="" textlink="">
      <xdr:nvSpPr>
        <xdr:cNvPr id="258172" name="Text Box 124" hidden="1">
          <a:extLst>
            <a:ext uri="{FF2B5EF4-FFF2-40B4-BE49-F238E27FC236}">
              <a16:creationId xmlns:a16="http://schemas.microsoft.com/office/drawing/2014/main" id="{989AF1E0-0392-4FCF-93A4-C4435A14BD39}"/>
            </a:ext>
          </a:extLst>
        </xdr:cNvPr>
        <xdr:cNvSpPr txBox="1">
          <a:spLocks noChangeArrowheads="1"/>
        </xdr:cNvSpPr>
      </xdr:nvSpPr>
      <xdr:spPr bwMode="auto">
        <a:xfrm>
          <a:off x="3886200" y="8724900"/>
          <a:ext cx="125730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94284</xdr:rowOff>
    </xdr:from>
    <xdr:to>
      <xdr:col>5</xdr:col>
      <xdr:colOff>640715</xdr:colOff>
      <xdr:row>45</xdr:row>
      <xdr:rowOff>130645</xdr:rowOff>
    </xdr:to>
    <xdr:sp macro="" textlink="">
      <xdr:nvSpPr>
        <xdr:cNvPr id="258171" name="Text Box 123" hidden="1">
          <a:extLst>
            <a:ext uri="{FF2B5EF4-FFF2-40B4-BE49-F238E27FC236}">
              <a16:creationId xmlns:a16="http://schemas.microsoft.com/office/drawing/2014/main" id="{EDDB947C-589A-416D-9635-6DFCA5C9CA98}"/>
            </a:ext>
          </a:extLst>
        </xdr:cNvPr>
        <xdr:cNvSpPr txBox="1">
          <a:spLocks noChangeArrowheads="1"/>
        </xdr:cNvSpPr>
      </xdr:nvSpPr>
      <xdr:spPr bwMode="auto">
        <a:xfrm>
          <a:off x="3886200" y="89249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172507</xdr:rowOff>
    </xdr:from>
    <xdr:to>
      <xdr:col>5</xdr:col>
      <xdr:colOff>640715</xdr:colOff>
      <xdr:row>48</xdr:row>
      <xdr:rowOff>27255</xdr:rowOff>
    </xdr:to>
    <xdr:sp macro="" textlink="">
      <xdr:nvSpPr>
        <xdr:cNvPr id="258170" name="Text Box 122" hidden="1">
          <a:extLst>
            <a:ext uri="{FF2B5EF4-FFF2-40B4-BE49-F238E27FC236}">
              <a16:creationId xmlns:a16="http://schemas.microsoft.com/office/drawing/2014/main" id="{41521D7B-0FB5-4D68-B391-4F8E898C7BA8}"/>
            </a:ext>
          </a:extLst>
        </xdr:cNvPr>
        <xdr:cNvSpPr txBox="1">
          <a:spLocks noChangeArrowheads="1"/>
        </xdr:cNvSpPr>
      </xdr:nvSpPr>
      <xdr:spPr bwMode="auto">
        <a:xfrm>
          <a:off x="3886200" y="932497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132949</xdr:rowOff>
    </xdr:from>
    <xdr:to>
      <xdr:col>5</xdr:col>
      <xdr:colOff>640715</xdr:colOff>
      <xdr:row>49</xdr:row>
      <xdr:rowOff>60887</xdr:rowOff>
    </xdr:to>
    <xdr:sp macro="" textlink="">
      <xdr:nvSpPr>
        <xdr:cNvPr id="258169" name="Text Box 121" hidden="1">
          <a:extLst>
            <a:ext uri="{FF2B5EF4-FFF2-40B4-BE49-F238E27FC236}">
              <a16:creationId xmlns:a16="http://schemas.microsoft.com/office/drawing/2014/main" id="{DAAAAB86-718F-4996-BB04-E84428379A52}"/>
            </a:ext>
          </a:extLst>
        </xdr:cNvPr>
        <xdr:cNvSpPr txBox="1">
          <a:spLocks noChangeArrowheads="1"/>
        </xdr:cNvSpPr>
      </xdr:nvSpPr>
      <xdr:spPr bwMode="auto">
        <a:xfrm>
          <a:off x="3886200" y="95345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141</xdr:rowOff>
    </xdr:from>
    <xdr:to>
      <xdr:col>5</xdr:col>
      <xdr:colOff>640715</xdr:colOff>
      <xdr:row>50</xdr:row>
      <xdr:rowOff>109759</xdr:rowOff>
    </xdr:to>
    <xdr:sp macro="" textlink="">
      <xdr:nvSpPr>
        <xdr:cNvPr id="258168" name="Text Box 120" hidden="1">
          <a:extLst>
            <a:ext uri="{FF2B5EF4-FFF2-40B4-BE49-F238E27FC236}">
              <a16:creationId xmlns:a16="http://schemas.microsoft.com/office/drawing/2014/main" id="{B723D271-1A14-433E-9B1B-5F055073ACC0}"/>
            </a:ext>
          </a:extLst>
        </xdr:cNvPr>
        <xdr:cNvSpPr txBox="1">
          <a:spLocks noChangeArrowheads="1"/>
        </xdr:cNvSpPr>
      </xdr:nvSpPr>
      <xdr:spPr bwMode="auto">
        <a:xfrm>
          <a:off x="3886200" y="974407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149917</xdr:rowOff>
    </xdr:from>
    <xdr:to>
      <xdr:col>5</xdr:col>
      <xdr:colOff>640715</xdr:colOff>
      <xdr:row>70</xdr:row>
      <xdr:rowOff>12352</xdr:rowOff>
    </xdr:to>
    <xdr:sp macro="" textlink="">
      <xdr:nvSpPr>
        <xdr:cNvPr id="258167" name="Text Box 119" hidden="1">
          <a:extLst>
            <a:ext uri="{FF2B5EF4-FFF2-40B4-BE49-F238E27FC236}">
              <a16:creationId xmlns:a16="http://schemas.microsoft.com/office/drawing/2014/main" id="{6A326EE1-1C08-4078-8605-020A2F8E31F7}"/>
            </a:ext>
          </a:extLst>
        </xdr:cNvPr>
        <xdr:cNvSpPr txBox="1">
          <a:spLocks noChangeArrowheads="1"/>
        </xdr:cNvSpPr>
      </xdr:nvSpPr>
      <xdr:spPr bwMode="auto">
        <a:xfrm>
          <a:off x="3886200" y="134112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131623</xdr:rowOff>
    </xdr:from>
    <xdr:to>
      <xdr:col>5</xdr:col>
      <xdr:colOff>640715</xdr:colOff>
      <xdr:row>71</xdr:row>
      <xdr:rowOff>5180</xdr:rowOff>
    </xdr:to>
    <xdr:sp macro="" textlink="">
      <xdr:nvSpPr>
        <xdr:cNvPr id="258166" name="Text Box 118" hidden="1">
          <a:extLst>
            <a:ext uri="{FF2B5EF4-FFF2-40B4-BE49-F238E27FC236}">
              <a16:creationId xmlns:a16="http://schemas.microsoft.com/office/drawing/2014/main" id="{635CBE83-550A-4F94-8B69-56E10ABF546E}"/>
            </a:ext>
          </a:extLst>
        </xdr:cNvPr>
        <xdr:cNvSpPr txBox="1">
          <a:spLocks noChangeArrowheads="1"/>
        </xdr:cNvSpPr>
      </xdr:nvSpPr>
      <xdr:spPr bwMode="auto">
        <a:xfrm>
          <a:off x="3886200" y="136017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53674</xdr:rowOff>
    </xdr:from>
    <xdr:to>
      <xdr:col>5</xdr:col>
      <xdr:colOff>640715</xdr:colOff>
      <xdr:row>72</xdr:row>
      <xdr:rowOff>46709</xdr:rowOff>
    </xdr:to>
    <xdr:sp macro="" textlink="">
      <xdr:nvSpPr>
        <xdr:cNvPr id="258165" name="Text Box 117" hidden="1">
          <a:extLst>
            <a:ext uri="{FF2B5EF4-FFF2-40B4-BE49-F238E27FC236}">
              <a16:creationId xmlns:a16="http://schemas.microsoft.com/office/drawing/2014/main" id="{51AEC109-152B-4F5E-8414-3B1F71A990B2}"/>
            </a:ext>
          </a:extLst>
        </xdr:cNvPr>
        <xdr:cNvSpPr txBox="1">
          <a:spLocks noChangeArrowheads="1"/>
        </xdr:cNvSpPr>
      </xdr:nvSpPr>
      <xdr:spPr bwMode="auto">
        <a:xfrm>
          <a:off x="3886200" y="137922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112426</xdr:rowOff>
    </xdr:from>
    <xdr:to>
      <xdr:col>5</xdr:col>
      <xdr:colOff>640715</xdr:colOff>
      <xdr:row>73</xdr:row>
      <xdr:rowOff>51078</xdr:rowOff>
    </xdr:to>
    <xdr:sp macro="" textlink="">
      <xdr:nvSpPr>
        <xdr:cNvPr id="258164" name="Text Box 116" hidden="1">
          <a:extLst>
            <a:ext uri="{FF2B5EF4-FFF2-40B4-BE49-F238E27FC236}">
              <a16:creationId xmlns:a16="http://schemas.microsoft.com/office/drawing/2014/main" id="{2A43A914-A0B0-4BAD-B807-69A5E610831F}"/>
            </a:ext>
          </a:extLst>
        </xdr:cNvPr>
        <xdr:cNvSpPr txBox="1">
          <a:spLocks noChangeArrowheads="1"/>
        </xdr:cNvSpPr>
      </xdr:nvSpPr>
      <xdr:spPr bwMode="auto">
        <a:xfrm>
          <a:off x="3886200" y="139827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6797</xdr:rowOff>
    </xdr:from>
    <xdr:to>
      <xdr:col>5</xdr:col>
      <xdr:colOff>640715</xdr:colOff>
      <xdr:row>89</xdr:row>
      <xdr:rowOff>323965</xdr:rowOff>
    </xdr:to>
    <xdr:sp macro="" textlink="">
      <xdr:nvSpPr>
        <xdr:cNvPr id="258163" name="Text Box 115" hidden="1">
          <a:extLst>
            <a:ext uri="{FF2B5EF4-FFF2-40B4-BE49-F238E27FC236}">
              <a16:creationId xmlns:a16="http://schemas.microsoft.com/office/drawing/2014/main" id="{D1FB1822-FBE2-447A-B66B-7CAE6BB4E815}"/>
            </a:ext>
          </a:extLst>
        </xdr:cNvPr>
        <xdr:cNvSpPr txBox="1">
          <a:spLocks noChangeArrowheads="1"/>
        </xdr:cNvSpPr>
      </xdr:nvSpPr>
      <xdr:spPr bwMode="auto">
        <a:xfrm>
          <a:off x="3886200" y="181832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88</xdr:row>
      <xdr:rowOff>83113</xdr:rowOff>
    </xdr:from>
    <xdr:to>
      <xdr:col>5</xdr:col>
      <xdr:colOff>640715</xdr:colOff>
      <xdr:row>91</xdr:row>
      <xdr:rowOff>45288</xdr:rowOff>
    </xdr:to>
    <xdr:sp macro="" textlink="">
      <xdr:nvSpPr>
        <xdr:cNvPr id="258162" name="Text Box 114" hidden="1">
          <a:extLst>
            <a:ext uri="{FF2B5EF4-FFF2-40B4-BE49-F238E27FC236}">
              <a16:creationId xmlns:a16="http://schemas.microsoft.com/office/drawing/2014/main" id="{DB7E14AA-8DA2-4877-9A83-0ADEF26B16A4}"/>
            </a:ext>
          </a:extLst>
        </xdr:cNvPr>
        <xdr:cNvSpPr txBox="1">
          <a:spLocks noChangeArrowheads="1"/>
        </xdr:cNvSpPr>
      </xdr:nvSpPr>
      <xdr:spPr bwMode="auto">
        <a:xfrm>
          <a:off x="3886200" y="18545175"/>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89</xdr:row>
      <xdr:rowOff>206921</xdr:rowOff>
    </xdr:from>
    <xdr:to>
      <xdr:col>5</xdr:col>
      <xdr:colOff>640715</xdr:colOff>
      <xdr:row>93</xdr:row>
      <xdr:rowOff>89350</xdr:rowOff>
    </xdr:to>
    <xdr:sp macro="" textlink="">
      <xdr:nvSpPr>
        <xdr:cNvPr id="258161" name="Text Box 113" hidden="1">
          <a:extLst>
            <a:ext uri="{FF2B5EF4-FFF2-40B4-BE49-F238E27FC236}">
              <a16:creationId xmlns:a16="http://schemas.microsoft.com/office/drawing/2014/main" id="{18B6A1A1-E3FD-4047-8FA5-3FC5B8E05B80}"/>
            </a:ext>
          </a:extLst>
        </xdr:cNvPr>
        <xdr:cNvSpPr txBox="1">
          <a:spLocks noChangeArrowheads="1"/>
        </xdr:cNvSpPr>
      </xdr:nvSpPr>
      <xdr:spPr bwMode="auto">
        <a:xfrm>
          <a:off x="3886200" y="18888075"/>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83</xdr:row>
      <xdr:rowOff>103976</xdr:rowOff>
    </xdr:from>
    <xdr:to>
      <xdr:col>6</xdr:col>
      <xdr:colOff>38100</xdr:colOff>
      <xdr:row>95</xdr:row>
      <xdr:rowOff>166301</xdr:rowOff>
    </xdr:to>
    <xdr:sp macro="" textlink="">
      <xdr:nvSpPr>
        <xdr:cNvPr id="258186" name="Text Box 138" hidden="1">
          <a:extLst>
            <a:ext uri="{FF2B5EF4-FFF2-40B4-BE49-F238E27FC236}">
              <a16:creationId xmlns:a16="http://schemas.microsoft.com/office/drawing/2014/main" id="{30509615-67FA-4BE1-A202-8152F5DB3C7E}"/>
            </a:ext>
          </a:extLst>
        </xdr:cNvPr>
        <xdr:cNvSpPr txBox="1">
          <a:spLocks noChangeArrowheads="1"/>
        </xdr:cNvSpPr>
      </xdr:nvSpPr>
      <xdr:spPr bwMode="auto">
        <a:xfrm>
          <a:off x="4038600" y="17320260"/>
          <a:ext cx="1440180" cy="2415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94285</xdr:rowOff>
    </xdr:from>
    <xdr:to>
      <xdr:col>5</xdr:col>
      <xdr:colOff>640715</xdr:colOff>
      <xdr:row>44</xdr:row>
      <xdr:rowOff>94849</xdr:rowOff>
    </xdr:to>
    <xdr:sp macro="" textlink="">
      <xdr:nvSpPr>
        <xdr:cNvPr id="258185" name="Text Box 137" hidden="1">
          <a:extLst>
            <a:ext uri="{FF2B5EF4-FFF2-40B4-BE49-F238E27FC236}">
              <a16:creationId xmlns:a16="http://schemas.microsoft.com/office/drawing/2014/main" id="{1806C9A9-EDA3-4C4C-8D1F-DE3CB7AD93D8}"/>
            </a:ext>
          </a:extLst>
        </xdr:cNvPr>
        <xdr:cNvSpPr txBox="1">
          <a:spLocks noChangeArrowheads="1"/>
        </xdr:cNvSpPr>
      </xdr:nvSpPr>
      <xdr:spPr bwMode="auto">
        <a:xfrm>
          <a:off x="4000500" y="8648700"/>
          <a:ext cx="126492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94284</xdr:rowOff>
    </xdr:from>
    <xdr:to>
      <xdr:col>5</xdr:col>
      <xdr:colOff>640715</xdr:colOff>
      <xdr:row>45</xdr:row>
      <xdr:rowOff>130645</xdr:rowOff>
    </xdr:to>
    <xdr:sp macro="" textlink="">
      <xdr:nvSpPr>
        <xdr:cNvPr id="258184" name="Text Box 136" hidden="1">
          <a:extLst>
            <a:ext uri="{FF2B5EF4-FFF2-40B4-BE49-F238E27FC236}">
              <a16:creationId xmlns:a16="http://schemas.microsoft.com/office/drawing/2014/main" id="{9DB28CC2-DDED-4AFF-BE65-90966A1631C6}"/>
            </a:ext>
          </a:extLst>
        </xdr:cNvPr>
        <xdr:cNvSpPr txBox="1">
          <a:spLocks noChangeArrowheads="1"/>
        </xdr:cNvSpPr>
      </xdr:nvSpPr>
      <xdr:spPr bwMode="auto">
        <a:xfrm>
          <a:off x="4000500" y="8846820"/>
          <a:ext cx="126492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131749</xdr:rowOff>
    </xdr:from>
    <xdr:to>
      <xdr:col>5</xdr:col>
      <xdr:colOff>640715</xdr:colOff>
      <xdr:row>47</xdr:row>
      <xdr:rowOff>171022</xdr:rowOff>
    </xdr:to>
    <xdr:sp macro="" textlink="">
      <xdr:nvSpPr>
        <xdr:cNvPr id="258183" name="Text Box 135" hidden="1">
          <a:extLst>
            <a:ext uri="{FF2B5EF4-FFF2-40B4-BE49-F238E27FC236}">
              <a16:creationId xmlns:a16="http://schemas.microsoft.com/office/drawing/2014/main" id="{289EEA78-5087-4170-BC37-9C436FFA440D}"/>
            </a:ext>
          </a:extLst>
        </xdr:cNvPr>
        <xdr:cNvSpPr txBox="1">
          <a:spLocks noChangeArrowheads="1"/>
        </xdr:cNvSpPr>
      </xdr:nvSpPr>
      <xdr:spPr bwMode="auto">
        <a:xfrm>
          <a:off x="4000500" y="9227820"/>
          <a:ext cx="126492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132949</xdr:rowOff>
    </xdr:from>
    <xdr:to>
      <xdr:col>5</xdr:col>
      <xdr:colOff>640715</xdr:colOff>
      <xdr:row>49</xdr:row>
      <xdr:rowOff>40778</xdr:rowOff>
    </xdr:to>
    <xdr:sp macro="" textlink="">
      <xdr:nvSpPr>
        <xdr:cNvPr id="258182" name="Text Box 134" hidden="1">
          <a:extLst>
            <a:ext uri="{FF2B5EF4-FFF2-40B4-BE49-F238E27FC236}">
              <a16:creationId xmlns:a16="http://schemas.microsoft.com/office/drawing/2014/main" id="{C10CCC45-8420-411D-A833-64964DA6C417}"/>
            </a:ext>
          </a:extLst>
        </xdr:cNvPr>
        <xdr:cNvSpPr txBox="1">
          <a:spLocks noChangeArrowheads="1"/>
        </xdr:cNvSpPr>
      </xdr:nvSpPr>
      <xdr:spPr bwMode="auto">
        <a:xfrm>
          <a:off x="4000500" y="9441180"/>
          <a:ext cx="126492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141</xdr:rowOff>
    </xdr:from>
    <xdr:to>
      <xdr:col>5</xdr:col>
      <xdr:colOff>640715</xdr:colOff>
      <xdr:row>50</xdr:row>
      <xdr:rowOff>109759</xdr:rowOff>
    </xdr:to>
    <xdr:sp macro="" textlink="">
      <xdr:nvSpPr>
        <xdr:cNvPr id="258181" name="Text Box 133" hidden="1">
          <a:extLst>
            <a:ext uri="{FF2B5EF4-FFF2-40B4-BE49-F238E27FC236}">
              <a16:creationId xmlns:a16="http://schemas.microsoft.com/office/drawing/2014/main" id="{A3A984B5-A63F-43B4-AE99-04FDFF119ED3}"/>
            </a:ext>
          </a:extLst>
        </xdr:cNvPr>
        <xdr:cNvSpPr txBox="1">
          <a:spLocks noChangeArrowheads="1"/>
        </xdr:cNvSpPr>
      </xdr:nvSpPr>
      <xdr:spPr bwMode="auto">
        <a:xfrm>
          <a:off x="4000500" y="9646920"/>
          <a:ext cx="126492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111817</xdr:rowOff>
    </xdr:from>
    <xdr:to>
      <xdr:col>5</xdr:col>
      <xdr:colOff>640715</xdr:colOff>
      <xdr:row>70</xdr:row>
      <xdr:rowOff>12352</xdr:rowOff>
    </xdr:to>
    <xdr:sp macro="" textlink="">
      <xdr:nvSpPr>
        <xdr:cNvPr id="258180" name="Text Box 132" hidden="1">
          <a:extLst>
            <a:ext uri="{FF2B5EF4-FFF2-40B4-BE49-F238E27FC236}">
              <a16:creationId xmlns:a16="http://schemas.microsoft.com/office/drawing/2014/main" id="{58385BF9-968F-40BB-9BBE-EDF9BA2E7762}"/>
            </a:ext>
          </a:extLst>
        </xdr:cNvPr>
        <xdr:cNvSpPr txBox="1">
          <a:spLocks noChangeArrowheads="1"/>
        </xdr:cNvSpPr>
      </xdr:nvSpPr>
      <xdr:spPr bwMode="auto">
        <a:xfrm>
          <a:off x="4000500" y="132054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84391</xdr:rowOff>
    </xdr:from>
    <xdr:to>
      <xdr:col>5</xdr:col>
      <xdr:colOff>640715</xdr:colOff>
      <xdr:row>71</xdr:row>
      <xdr:rowOff>5180</xdr:rowOff>
    </xdr:to>
    <xdr:sp macro="" textlink="">
      <xdr:nvSpPr>
        <xdr:cNvPr id="258179" name="Text Box 131" hidden="1">
          <a:extLst>
            <a:ext uri="{FF2B5EF4-FFF2-40B4-BE49-F238E27FC236}">
              <a16:creationId xmlns:a16="http://schemas.microsoft.com/office/drawing/2014/main" id="{69448090-4C86-49C8-9D34-2EB7F064D1DC}"/>
            </a:ext>
          </a:extLst>
        </xdr:cNvPr>
        <xdr:cNvSpPr txBox="1">
          <a:spLocks noChangeArrowheads="1"/>
        </xdr:cNvSpPr>
      </xdr:nvSpPr>
      <xdr:spPr bwMode="auto">
        <a:xfrm>
          <a:off x="4000500" y="1338834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61294</xdr:rowOff>
    </xdr:from>
    <xdr:to>
      <xdr:col>5</xdr:col>
      <xdr:colOff>640715</xdr:colOff>
      <xdr:row>72</xdr:row>
      <xdr:rowOff>46709</xdr:rowOff>
    </xdr:to>
    <xdr:sp macro="" textlink="">
      <xdr:nvSpPr>
        <xdr:cNvPr id="258178" name="Text Box 130" hidden="1">
          <a:extLst>
            <a:ext uri="{FF2B5EF4-FFF2-40B4-BE49-F238E27FC236}">
              <a16:creationId xmlns:a16="http://schemas.microsoft.com/office/drawing/2014/main" id="{2FD921E3-1AD1-418F-93EA-3AD770A5B3EB}"/>
            </a:ext>
          </a:extLst>
        </xdr:cNvPr>
        <xdr:cNvSpPr txBox="1">
          <a:spLocks noChangeArrowheads="1"/>
        </xdr:cNvSpPr>
      </xdr:nvSpPr>
      <xdr:spPr bwMode="auto">
        <a:xfrm>
          <a:off x="4000500" y="1357122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83851</xdr:rowOff>
    </xdr:from>
    <xdr:to>
      <xdr:col>5</xdr:col>
      <xdr:colOff>640715</xdr:colOff>
      <xdr:row>73</xdr:row>
      <xdr:rowOff>51078</xdr:rowOff>
    </xdr:to>
    <xdr:sp macro="" textlink="">
      <xdr:nvSpPr>
        <xdr:cNvPr id="258177" name="Text Box 129" hidden="1">
          <a:extLst>
            <a:ext uri="{FF2B5EF4-FFF2-40B4-BE49-F238E27FC236}">
              <a16:creationId xmlns:a16="http://schemas.microsoft.com/office/drawing/2014/main" id="{69682EB3-5ACF-4B20-9D34-3E7CAD9B55C9}"/>
            </a:ext>
          </a:extLst>
        </xdr:cNvPr>
        <xdr:cNvSpPr txBox="1">
          <a:spLocks noChangeArrowheads="1"/>
        </xdr:cNvSpPr>
      </xdr:nvSpPr>
      <xdr:spPr bwMode="auto">
        <a:xfrm>
          <a:off x="4000500" y="1375410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86</xdr:row>
      <xdr:rowOff>83059</xdr:rowOff>
    </xdr:from>
    <xdr:to>
      <xdr:col>5</xdr:col>
      <xdr:colOff>640715</xdr:colOff>
      <xdr:row>89</xdr:row>
      <xdr:rowOff>323965</xdr:rowOff>
    </xdr:to>
    <xdr:sp macro="" textlink="">
      <xdr:nvSpPr>
        <xdr:cNvPr id="258176" name="Text Box 128" hidden="1">
          <a:extLst>
            <a:ext uri="{FF2B5EF4-FFF2-40B4-BE49-F238E27FC236}">
              <a16:creationId xmlns:a16="http://schemas.microsoft.com/office/drawing/2014/main" id="{6DF67816-E8A1-4613-ABD3-5F51BC42A56C}"/>
            </a:ext>
          </a:extLst>
        </xdr:cNvPr>
        <xdr:cNvSpPr txBox="1">
          <a:spLocks noChangeArrowheads="1"/>
        </xdr:cNvSpPr>
      </xdr:nvSpPr>
      <xdr:spPr bwMode="auto">
        <a:xfrm>
          <a:off x="4000500" y="1783842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88</xdr:row>
      <xdr:rowOff>83113</xdr:rowOff>
    </xdr:from>
    <xdr:to>
      <xdr:col>5</xdr:col>
      <xdr:colOff>640715</xdr:colOff>
      <xdr:row>91</xdr:row>
      <xdr:rowOff>45288</xdr:rowOff>
    </xdr:to>
    <xdr:sp macro="" textlink="">
      <xdr:nvSpPr>
        <xdr:cNvPr id="258175" name="Text Box 127" hidden="1">
          <a:extLst>
            <a:ext uri="{FF2B5EF4-FFF2-40B4-BE49-F238E27FC236}">
              <a16:creationId xmlns:a16="http://schemas.microsoft.com/office/drawing/2014/main" id="{B7BB1BEE-06C7-40E8-BED8-86422C7ECED9}"/>
            </a:ext>
          </a:extLst>
        </xdr:cNvPr>
        <xdr:cNvSpPr txBox="1">
          <a:spLocks noChangeArrowheads="1"/>
        </xdr:cNvSpPr>
      </xdr:nvSpPr>
      <xdr:spPr bwMode="auto">
        <a:xfrm>
          <a:off x="4000500" y="18204180"/>
          <a:ext cx="12649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89</xdr:row>
      <xdr:rowOff>206921</xdr:rowOff>
    </xdr:from>
    <xdr:to>
      <xdr:col>5</xdr:col>
      <xdr:colOff>640715</xdr:colOff>
      <xdr:row>93</xdr:row>
      <xdr:rowOff>89350</xdr:rowOff>
    </xdr:to>
    <xdr:sp macro="" textlink="">
      <xdr:nvSpPr>
        <xdr:cNvPr id="258174" name="Text Box 126" hidden="1">
          <a:extLst>
            <a:ext uri="{FF2B5EF4-FFF2-40B4-BE49-F238E27FC236}">
              <a16:creationId xmlns:a16="http://schemas.microsoft.com/office/drawing/2014/main" id="{E0707D8B-EE6E-4001-8BF7-3C9C757D9352}"/>
            </a:ext>
          </a:extLst>
        </xdr:cNvPr>
        <xdr:cNvSpPr txBox="1">
          <a:spLocks noChangeArrowheads="1"/>
        </xdr:cNvSpPr>
      </xdr:nvSpPr>
      <xdr:spPr bwMode="auto">
        <a:xfrm>
          <a:off x="4000500" y="18554700"/>
          <a:ext cx="1264920" cy="784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83</xdr:row>
      <xdr:rowOff>103976</xdr:rowOff>
    </xdr:from>
    <xdr:to>
      <xdr:col>6</xdr:col>
      <xdr:colOff>38100</xdr:colOff>
      <xdr:row>95</xdr:row>
      <xdr:rowOff>166301</xdr:rowOff>
    </xdr:to>
    <xdr:sp macro="" textlink="">
      <xdr:nvSpPr>
        <xdr:cNvPr id="258199" name="Text Box 151" hidden="1">
          <a:extLst>
            <a:ext uri="{FF2B5EF4-FFF2-40B4-BE49-F238E27FC236}">
              <a16:creationId xmlns:a16="http://schemas.microsoft.com/office/drawing/2014/main" id="{B80E63B9-1C66-4B71-9033-B34D7CA0CB03}"/>
            </a:ext>
          </a:extLst>
        </xdr:cNvPr>
        <xdr:cNvSpPr txBox="1">
          <a:spLocks noChangeArrowheads="1"/>
        </xdr:cNvSpPr>
      </xdr:nvSpPr>
      <xdr:spPr bwMode="auto">
        <a:xfrm>
          <a:off x="4038600" y="17320260"/>
          <a:ext cx="1440180" cy="2415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94285</xdr:rowOff>
    </xdr:from>
    <xdr:to>
      <xdr:col>5</xdr:col>
      <xdr:colOff>609600</xdr:colOff>
      <xdr:row>44</xdr:row>
      <xdr:rowOff>94849</xdr:rowOff>
    </xdr:to>
    <xdr:sp macro="" textlink="">
      <xdr:nvSpPr>
        <xdr:cNvPr id="258198" name="Text Box 150" hidden="1">
          <a:extLst>
            <a:ext uri="{FF2B5EF4-FFF2-40B4-BE49-F238E27FC236}">
              <a16:creationId xmlns:a16="http://schemas.microsoft.com/office/drawing/2014/main" id="{931A2DF4-BD70-42F4-BFFD-C679DA344655}"/>
            </a:ext>
          </a:extLst>
        </xdr:cNvPr>
        <xdr:cNvSpPr txBox="1">
          <a:spLocks noChangeArrowheads="1"/>
        </xdr:cNvSpPr>
      </xdr:nvSpPr>
      <xdr:spPr bwMode="auto">
        <a:xfrm>
          <a:off x="4000500" y="8648700"/>
          <a:ext cx="125730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94284</xdr:rowOff>
    </xdr:from>
    <xdr:to>
      <xdr:col>5</xdr:col>
      <xdr:colOff>609600</xdr:colOff>
      <xdr:row>45</xdr:row>
      <xdr:rowOff>130645</xdr:rowOff>
    </xdr:to>
    <xdr:sp macro="" textlink="">
      <xdr:nvSpPr>
        <xdr:cNvPr id="258197" name="Text Box 149" hidden="1">
          <a:extLst>
            <a:ext uri="{FF2B5EF4-FFF2-40B4-BE49-F238E27FC236}">
              <a16:creationId xmlns:a16="http://schemas.microsoft.com/office/drawing/2014/main" id="{23C156C3-C589-4C6F-9C2A-491197AC578A}"/>
            </a:ext>
          </a:extLst>
        </xdr:cNvPr>
        <xdr:cNvSpPr txBox="1">
          <a:spLocks noChangeArrowheads="1"/>
        </xdr:cNvSpPr>
      </xdr:nvSpPr>
      <xdr:spPr bwMode="auto">
        <a:xfrm>
          <a:off x="4000500" y="88468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131749</xdr:rowOff>
    </xdr:from>
    <xdr:to>
      <xdr:col>5</xdr:col>
      <xdr:colOff>609600</xdr:colOff>
      <xdr:row>47</xdr:row>
      <xdr:rowOff>171022</xdr:rowOff>
    </xdr:to>
    <xdr:sp macro="" textlink="">
      <xdr:nvSpPr>
        <xdr:cNvPr id="258196" name="Text Box 148" hidden="1">
          <a:extLst>
            <a:ext uri="{FF2B5EF4-FFF2-40B4-BE49-F238E27FC236}">
              <a16:creationId xmlns:a16="http://schemas.microsoft.com/office/drawing/2014/main" id="{1E63EEE1-0D08-4FD2-986B-D13F34D78DFE}"/>
            </a:ext>
          </a:extLst>
        </xdr:cNvPr>
        <xdr:cNvSpPr txBox="1">
          <a:spLocks noChangeArrowheads="1"/>
        </xdr:cNvSpPr>
      </xdr:nvSpPr>
      <xdr:spPr bwMode="auto">
        <a:xfrm>
          <a:off x="4000500" y="922020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132949</xdr:rowOff>
    </xdr:from>
    <xdr:to>
      <xdr:col>5</xdr:col>
      <xdr:colOff>609600</xdr:colOff>
      <xdr:row>49</xdr:row>
      <xdr:rowOff>40778</xdr:rowOff>
    </xdr:to>
    <xdr:sp macro="" textlink="">
      <xdr:nvSpPr>
        <xdr:cNvPr id="258195" name="Text Box 147" hidden="1">
          <a:extLst>
            <a:ext uri="{FF2B5EF4-FFF2-40B4-BE49-F238E27FC236}">
              <a16:creationId xmlns:a16="http://schemas.microsoft.com/office/drawing/2014/main" id="{991B1544-D0CA-45CB-ABEF-8BCB1C1DCAD9}"/>
            </a:ext>
          </a:extLst>
        </xdr:cNvPr>
        <xdr:cNvSpPr txBox="1">
          <a:spLocks noChangeArrowheads="1"/>
        </xdr:cNvSpPr>
      </xdr:nvSpPr>
      <xdr:spPr bwMode="auto">
        <a:xfrm>
          <a:off x="4000500" y="9441180"/>
          <a:ext cx="12573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141</xdr:rowOff>
    </xdr:from>
    <xdr:to>
      <xdr:col>5</xdr:col>
      <xdr:colOff>609600</xdr:colOff>
      <xdr:row>50</xdr:row>
      <xdr:rowOff>109759</xdr:rowOff>
    </xdr:to>
    <xdr:sp macro="" textlink="">
      <xdr:nvSpPr>
        <xdr:cNvPr id="258194" name="Text Box 146" hidden="1">
          <a:extLst>
            <a:ext uri="{FF2B5EF4-FFF2-40B4-BE49-F238E27FC236}">
              <a16:creationId xmlns:a16="http://schemas.microsoft.com/office/drawing/2014/main" id="{18B22ACD-D42A-4F22-901C-1BC9BBB2E0BF}"/>
            </a:ext>
          </a:extLst>
        </xdr:cNvPr>
        <xdr:cNvSpPr txBox="1">
          <a:spLocks noChangeArrowheads="1"/>
        </xdr:cNvSpPr>
      </xdr:nvSpPr>
      <xdr:spPr bwMode="auto">
        <a:xfrm>
          <a:off x="4000500" y="96469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111817</xdr:rowOff>
    </xdr:from>
    <xdr:to>
      <xdr:col>5</xdr:col>
      <xdr:colOff>609600</xdr:colOff>
      <xdr:row>70</xdr:row>
      <xdr:rowOff>12352</xdr:rowOff>
    </xdr:to>
    <xdr:sp macro="" textlink="">
      <xdr:nvSpPr>
        <xdr:cNvPr id="258193" name="Text Box 145" hidden="1">
          <a:extLst>
            <a:ext uri="{FF2B5EF4-FFF2-40B4-BE49-F238E27FC236}">
              <a16:creationId xmlns:a16="http://schemas.microsoft.com/office/drawing/2014/main" id="{21AE8088-1BD9-45D1-9BD5-1781B621DF3E}"/>
            </a:ext>
          </a:extLst>
        </xdr:cNvPr>
        <xdr:cNvSpPr txBox="1">
          <a:spLocks noChangeArrowheads="1"/>
        </xdr:cNvSpPr>
      </xdr:nvSpPr>
      <xdr:spPr bwMode="auto">
        <a:xfrm>
          <a:off x="4000500" y="1319784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84391</xdr:rowOff>
    </xdr:from>
    <xdr:to>
      <xdr:col>5</xdr:col>
      <xdr:colOff>609600</xdr:colOff>
      <xdr:row>71</xdr:row>
      <xdr:rowOff>5180</xdr:rowOff>
    </xdr:to>
    <xdr:sp macro="" textlink="">
      <xdr:nvSpPr>
        <xdr:cNvPr id="258192" name="Text Box 144" hidden="1">
          <a:extLst>
            <a:ext uri="{FF2B5EF4-FFF2-40B4-BE49-F238E27FC236}">
              <a16:creationId xmlns:a16="http://schemas.microsoft.com/office/drawing/2014/main" id="{8DAFCC68-4D2E-4545-AB08-D932AD421BF2}"/>
            </a:ext>
          </a:extLst>
        </xdr:cNvPr>
        <xdr:cNvSpPr txBox="1">
          <a:spLocks noChangeArrowheads="1"/>
        </xdr:cNvSpPr>
      </xdr:nvSpPr>
      <xdr:spPr bwMode="auto">
        <a:xfrm>
          <a:off x="4000500" y="1338072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61294</xdr:rowOff>
    </xdr:from>
    <xdr:to>
      <xdr:col>5</xdr:col>
      <xdr:colOff>609600</xdr:colOff>
      <xdr:row>72</xdr:row>
      <xdr:rowOff>46709</xdr:rowOff>
    </xdr:to>
    <xdr:sp macro="" textlink="">
      <xdr:nvSpPr>
        <xdr:cNvPr id="258191" name="Text Box 143" hidden="1">
          <a:extLst>
            <a:ext uri="{FF2B5EF4-FFF2-40B4-BE49-F238E27FC236}">
              <a16:creationId xmlns:a16="http://schemas.microsoft.com/office/drawing/2014/main" id="{C60D3818-8B42-45E9-9190-180375E040EB}"/>
            </a:ext>
          </a:extLst>
        </xdr:cNvPr>
        <xdr:cNvSpPr txBox="1">
          <a:spLocks noChangeArrowheads="1"/>
        </xdr:cNvSpPr>
      </xdr:nvSpPr>
      <xdr:spPr bwMode="auto">
        <a:xfrm>
          <a:off x="4000500" y="135636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83851</xdr:rowOff>
    </xdr:from>
    <xdr:to>
      <xdr:col>5</xdr:col>
      <xdr:colOff>609600</xdr:colOff>
      <xdr:row>73</xdr:row>
      <xdr:rowOff>51078</xdr:rowOff>
    </xdr:to>
    <xdr:sp macro="" textlink="">
      <xdr:nvSpPr>
        <xdr:cNvPr id="258190" name="Text Box 142" hidden="1">
          <a:extLst>
            <a:ext uri="{FF2B5EF4-FFF2-40B4-BE49-F238E27FC236}">
              <a16:creationId xmlns:a16="http://schemas.microsoft.com/office/drawing/2014/main" id="{B5327802-C1AC-4776-90F8-71EC621E2901}"/>
            </a:ext>
          </a:extLst>
        </xdr:cNvPr>
        <xdr:cNvSpPr txBox="1">
          <a:spLocks noChangeArrowheads="1"/>
        </xdr:cNvSpPr>
      </xdr:nvSpPr>
      <xdr:spPr bwMode="auto">
        <a:xfrm>
          <a:off x="4000500" y="137464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86</xdr:row>
      <xdr:rowOff>83059</xdr:rowOff>
    </xdr:from>
    <xdr:to>
      <xdr:col>5</xdr:col>
      <xdr:colOff>609600</xdr:colOff>
      <xdr:row>89</xdr:row>
      <xdr:rowOff>323965</xdr:rowOff>
    </xdr:to>
    <xdr:sp macro="" textlink="">
      <xdr:nvSpPr>
        <xdr:cNvPr id="258189" name="Text Box 141" hidden="1">
          <a:extLst>
            <a:ext uri="{FF2B5EF4-FFF2-40B4-BE49-F238E27FC236}">
              <a16:creationId xmlns:a16="http://schemas.microsoft.com/office/drawing/2014/main" id="{DA5003AF-DA2C-40C8-8B5D-518B61F66DA5}"/>
            </a:ext>
          </a:extLst>
        </xdr:cNvPr>
        <xdr:cNvSpPr txBox="1">
          <a:spLocks noChangeArrowheads="1"/>
        </xdr:cNvSpPr>
      </xdr:nvSpPr>
      <xdr:spPr bwMode="auto">
        <a:xfrm>
          <a:off x="4000500" y="178308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88</xdr:row>
      <xdr:rowOff>83113</xdr:rowOff>
    </xdr:from>
    <xdr:to>
      <xdr:col>5</xdr:col>
      <xdr:colOff>609600</xdr:colOff>
      <xdr:row>91</xdr:row>
      <xdr:rowOff>45288</xdr:rowOff>
    </xdr:to>
    <xdr:sp macro="" textlink="">
      <xdr:nvSpPr>
        <xdr:cNvPr id="258188" name="Text Box 140" hidden="1">
          <a:extLst>
            <a:ext uri="{FF2B5EF4-FFF2-40B4-BE49-F238E27FC236}">
              <a16:creationId xmlns:a16="http://schemas.microsoft.com/office/drawing/2014/main" id="{6B321CC5-A672-4514-96A5-E7931AB6EE31}"/>
            </a:ext>
          </a:extLst>
        </xdr:cNvPr>
        <xdr:cNvSpPr txBox="1">
          <a:spLocks noChangeArrowheads="1"/>
        </xdr:cNvSpPr>
      </xdr:nvSpPr>
      <xdr:spPr bwMode="auto">
        <a:xfrm>
          <a:off x="4000500" y="18204180"/>
          <a:ext cx="125730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89</xdr:row>
      <xdr:rowOff>206921</xdr:rowOff>
    </xdr:from>
    <xdr:to>
      <xdr:col>5</xdr:col>
      <xdr:colOff>609600</xdr:colOff>
      <xdr:row>93</xdr:row>
      <xdr:rowOff>89350</xdr:rowOff>
    </xdr:to>
    <xdr:sp macro="" textlink="">
      <xdr:nvSpPr>
        <xdr:cNvPr id="258187" name="Text Box 139" hidden="1">
          <a:extLst>
            <a:ext uri="{FF2B5EF4-FFF2-40B4-BE49-F238E27FC236}">
              <a16:creationId xmlns:a16="http://schemas.microsoft.com/office/drawing/2014/main" id="{505BBBD2-3420-439D-A987-890981078B68}"/>
            </a:ext>
          </a:extLst>
        </xdr:cNvPr>
        <xdr:cNvSpPr txBox="1">
          <a:spLocks noChangeArrowheads="1"/>
        </xdr:cNvSpPr>
      </xdr:nvSpPr>
      <xdr:spPr bwMode="auto">
        <a:xfrm>
          <a:off x="4000500" y="18554700"/>
          <a:ext cx="1257300" cy="784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83</xdr:row>
      <xdr:rowOff>103976</xdr:rowOff>
    </xdr:from>
    <xdr:to>
      <xdr:col>6</xdr:col>
      <xdr:colOff>38100</xdr:colOff>
      <xdr:row>95</xdr:row>
      <xdr:rowOff>166301</xdr:rowOff>
    </xdr:to>
    <xdr:sp macro="" textlink="">
      <xdr:nvSpPr>
        <xdr:cNvPr id="258212" name="Text Box 164" hidden="1">
          <a:extLst>
            <a:ext uri="{FF2B5EF4-FFF2-40B4-BE49-F238E27FC236}">
              <a16:creationId xmlns:a16="http://schemas.microsoft.com/office/drawing/2014/main" id="{DA0FDEC6-AF7B-4FF9-9EC5-264C7208616D}"/>
            </a:ext>
          </a:extLst>
        </xdr:cNvPr>
        <xdr:cNvSpPr txBox="1">
          <a:spLocks noChangeArrowheads="1"/>
        </xdr:cNvSpPr>
      </xdr:nvSpPr>
      <xdr:spPr bwMode="auto">
        <a:xfrm>
          <a:off x="4038600" y="17320260"/>
          <a:ext cx="1440180" cy="2415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94285</xdr:rowOff>
    </xdr:from>
    <xdr:to>
      <xdr:col>5</xdr:col>
      <xdr:colOff>609600</xdr:colOff>
      <xdr:row>44</xdr:row>
      <xdr:rowOff>94849</xdr:rowOff>
    </xdr:to>
    <xdr:sp macro="" textlink="">
      <xdr:nvSpPr>
        <xdr:cNvPr id="258211" name="Text Box 163" hidden="1">
          <a:extLst>
            <a:ext uri="{FF2B5EF4-FFF2-40B4-BE49-F238E27FC236}">
              <a16:creationId xmlns:a16="http://schemas.microsoft.com/office/drawing/2014/main" id="{61013165-FCD1-47D8-9D59-899DE139EF94}"/>
            </a:ext>
          </a:extLst>
        </xdr:cNvPr>
        <xdr:cNvSpPr txBox="1">
          <a:spLocks noChangeArrowheads="1"/>
        </xdr:cNvSpPr>
      </xdr:nvSpPr>
      <xdr:spPr bwMode="auto">
        <a:xfrm>
          <a:off x="4000500" y="8648700"/>
          <a:ext cx="125730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94284</xdr:rowOff>
    </xdr:from>
    <xdr:to>
      <xdr:col>5</xdr:col>
      <xdr:colOff>609600</xdr:colOff>
      <xdr:row>45</xdr:row>
      <xdr:rowOff>130645</xdr:rowOff>
    </xdr:to>
    <xdr:sp macro="" textlink="">
      <xdr:nvSpPr>
        <xdr:cNvPr id="258210" name="Text Box 162" hidden="1">
          <a:extLst>
            <a:ext uri="{FF2B5EF4-FFF2-40B4-BE49-F238E27FC236}">
              <a16:creationId xmlns:a16="http://schemas.microsoft.com/office/drawing/2014/main" id="{D939C523-085D-4608-B01A-3F99FD665D99}"/>
            </a:ext>
          </a:extLst>
        </xdr:cNvPr>
        <xdr:cNvSpPr txBox="1">
          <a:spLocks noChangeArrowheads="1"/>
        </xdr:cNvSpPr>
      </xdr:nvSpPr>
      <xdr:spPr bwMode="auto">
        <a:xfrm>
          <a:off x="4000500" y="88468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131749</xdr:rowOff>
    </xdr:from>
    <xdr:to>
      <xdr:col>5</xdr:col>
      <xdr:colOff>609600</xdr:colOff>
      <xdr:row>47</xdr:row>
      <xdr:rowOff>171022</xdr:rowOff>
    </xdr:to>
    <xdr:sp macro="" textlink="">
      <xdr:nvSpPr>
        <xdr:cNvPr id="258209" name="Text Box 161" hidden="1">
          <a:extLst>
            <a:ext uri="{FF2B5EF4-FFF2-40B4-BE49-F238E27FC236}">
              <a16:creationId xmlns:a16="http://schemas.microsoft.com/office/drawing/2014/main" id="{6C4A87AF-0A72-4CE3-AA77-8225FF17653B}"/>
            </a:ext>
          </a:extLst>
        </xdr:cNvPr>
        <xdr:cNvSpPr txBox="1">
          <a:spLocks noChangeArrowheads="1"/>
        </xdr:cNvSpPr>
      </xdr:nvSpPr>
      <xdr:spPr bwMode="auto">
        <a:xfrm>
          <a:off x="4000500" y="922020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132949</xdr:rowOff>
    </xdr:from>
    <xdr:to>
      <xdr:col>5</xdr:col>
      <xdr:colOff>609600</xdr:colOff>
      <xdr:row>49</xdr:row>
      <xdr:rowOff>40778</xdr:rowOff>
    </xdr:to>
    <xdr:sp macro="" textlink="">
      <xdr:nvSpPr>
        <xdr:cNvPr id="258208" name="Text Box 160" hidden="1">
          <a:extLst>
            <a:ext uri="{FF2B5EF4-FFF2-40B4-BE49-F238E27FC236}">
              <a16:creationId xmlns:a16="http://schemas.microsoft.com/office/drawing/2014/main" id="{46718102-FC4A-48D1-A0BE-94037EA0871C}"/>
            </a:ext>
          </a:extLst>
        </xdr:cNvPr>
        <xdr:cNvSpPr txBox="1">
          <a:spLocks noChangeArrowheads="1"/>
        </xdr:cNvSpPr>
      </xdr:nvSpPr>
      <xdr:spPr bwMode="auto">
        <a:xfrm>
          <a:off x="4000500" y="9441180"/>
          <a:ext cx="12573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141</xdr:rowOff>
    </xdr:from>
    <xdr:to>
      <xdr:col>5</xdr:col>
      <xdr:colOff>609600</xdr:colOff>
      <xdr:row>50</xdr:row>
      <xdr:rowOff>109759</xdr:rowOff>
    </xdr:to>
    <xdr:sp macro="" textlink="">
      <xdr:nvSpPr>
        <xdr:cNvPr id="258207" name="Text Box 159" hidden="1">
          <a:extLst>
            <a:ext uri="{FF2B5EF4-FFF2-40B4-BE49-F238E27FC236}">
              <a16:creationId xmlns:a16="http://schemas.microsoft.com/office/drawing/2014/main" id="{1BB0AFC6-DDA3-4D64-87FB-484C183CBD0D}"/>
            </a:ext>
          </a:extLst>
        </xdr:cNvPr>
        <xdr:cNvSpPr txBox="1">
          <a:spLocks noChangeArrowheads="1"/>
        </xdr:cNvSpPr>
      </xdr:nvSpPr>
      <xdr:spPr bwMode="auto">
        <a:xfrm>
          <a:off x="4000500" y="96469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111817</xdr:rowOff>
    </xdr:from>
    <xdr:to>
      <xdr:col>5</xdr:col>
      <xdr:colOff>609600</xdr:colOff>
      <xdr:row>70</xdr:row>
      <xdr:rowOff>12352</xdr:rowOff>
    </xdr:to>
    <xdr:sp macro="" textlink="">
      <xdr:nvSpPr>
        <xdr:cNvPr id="258206" name="Text Box 158" hidden="1">
          <a:extLst>
            <a:ext uri="{FF2B5EF4-FFF2-40B4-BE49-F238E27FC236}">
              <a16:creationId xmlns:a16="http://schemas.microsoft.com/office/drawing/2014/main" id="{9213571F-E379-4851-9D5E-AB101250361A}"/>
            </a:ext>
          </a:extLst>
        </xdr:cNvPr>
        <xdr:cNvSpPr txBox="1">
          <a:spLocks noChangeArrowheads="1"/>
        </xdr:cNvSpPr>
      </xdr:nvSpPr>
      <xdr:spPr bwMode="auto">
        <a:xfrm>
          <a:off x="4000500" y="1319784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84391</xdr:rowOff>
    </xdr:from>
    <xdr:to>
      <xdr:col>5</xdr:col>
      <xdr:colOff>609600</xdr:colOff>
      <xdr:row>71</xdr:row>
      <xdr:rowOff>5180</xdr:rowOff>
    </xdr:to>
    <xdr:sp macro="" textlink="">
      <xdr:nvSpPr>
        <xdr:cNvPr id="258205" name="Text Box 157" hidden="1">
          <a:extLst>
            <a:ext uri="{FF2B5EF4-FFF2-40B4-BE49-F238E27FC236}">
              <a16:creationId xmlns:a16="http://schemas.microsoft.com/office/drawing/2014/main" id="{38DBC8C8-A76B-4994-B885-0068D5044B57}"/>
            </a:ext>
          </a:extLst>
        </xdr:cNvPr>
        <xdr:cNvSpPr txBox="1">
          <a:spLocks noChangeArrowheads="1"/>
        </xdr:cNvSpPr>
      </xdr:nvSpPr>
      <xdr:spPr bwMode="auto">
        <a:xfrm>
          <a:off x="4000500" y="1338072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61294</xdr:rowOff>
    </xdr:from>
    <xdr:to>
      <xdr:col>5</xdr:col>
      <xdr:colOff>609600</xdr:colOff>
      <xdr:row>72</xdr:row>
      <xdr:rowOff>46709</xdr:rowOff>
    </xdr:to>
    <xdr:sp macro="" textlink="">
      <xdr:nvSpPr>
        <xdr:cNvPr id="258204" name="Text Box 156" hidden="1">
          <a:extLst>
            <a:ext uri="{FF2B5EF4-FFF2-40B4-BE49-F238E27FC236}">
              <a16:creationId xmlns:a16="http://schemas.microsoft.com/office/drawing/2014/main" id="{4710B63F-FC9C-41F2-B542-27502722D10B}"/>
            </a:ext>
          </a:extLst>
        </xdr:cNvPr>
        <xdr:cNvSpPr txBox="1">
          <a:spLocks noChangeArrowheads="1"/>
        </xdr:cNvSpPr>
      </xdr:nvSpPr>
      <xdr:spPr bwMode="auto">
        <a:xfrm>
          <a:off x="4000500" y="135636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83851</xdr:rowOff>
    </xdr:from>
    <xdr:to>
      <xdr:col>5</xdr:col>
      <xdr:colOff>609600</xdr:colOff>
      <xdr:row>73</xdr:row>
      <xdr:rowOff>51078</xdr:rowOff>
    </xdr:to>
    <xdr:sp macro="" textlink="">
      <xdr:nvSpPr>
        <xdr:cNvPr id="258203" name="Text Box 155" hidden="1">
          <a:extLst>
            <a:ext uri="{FF2B5EF4-FFF2-40B4-BE49-F238E27FC236}">
              <a16:creationId xmlns:a16="http://schemas.microsoft.com/office/drawing/2014/main" id="{676EFE17-D7EE-4004-AB64-21285E8D39B7}"/>
            </a:ext>
          </a:extLst>
        </xdr:cNvPr>
        <xdr:cNvSpPr txBox="1">
          <a:spLocks noChangeArrowheads="1"/>
        </xdr:cNvSpPr>
      </xdr:nvSpPr>
      <xdr:spPr bwMode="auto">
        <a:xfrm>
          <a:off x="4000500" y="137464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86</xdr:row>
      <xdr:rowOff>83059</xdr:rowOff>
    </xdr:from>
    <xdr:to>
      <xdr:col>5</xdr:col>
      <xdr:colOff>609600</xdr:colOff>
      <xdr:row>89</xdr:row>
      <xdr:rowOff>323965</xdr:rowOff>
    </xdr:to>
    <xdr:sp macro="" textlink="">
      <xdr:nvSpPr>
        <xdr:cNvPr id="258202" name="Text Box 154" hidden="1">
          <a:extLst>
            <a:ext uri="{FF2B5EF4-FFF2-40B4-BE49-F238E27FC236}">
              <a16:creationId xmlns:a16="http://schemas.microsoft.com/office/drawing/2014/main" id="{DCB05D0F-9E2D-44DE-B306-A7B8DFA22122}"/>
            </a:ext>
          </a:extLst>
        </xdr:cNvPr>
        <xdr:cNvSpPr txBox="1">
          <a:spLocks noChangeArrowheads="1"/>
        </xdr:cNvSpPr>
      </xdr:nvSpPr>
      <xdr:spPr bwMode="auto">
        <a:xfrm>
          <a:off x="4000500" y="178308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88</xdr:row>
      <xdr:rowOff>83113</xdr:rowOff>
    </xdr:from>
    <xdr:to>
      <xdr:col>5</xdr:col>
      <xdr:colOff>609600</xdr:colOff>
      <xdr:row>91</xdr:row>
      <xdr:rowOff>45288</xdr:rowOff>
    </xdr:to>
    <xdr:sp macro="" textlink="">
      <xdr:nvSpPr>
        <xdr:cNvPr id="258201" name="Text Box 153" hidden="1">
          <a:extLst>
            <a:ext uri="{FF2B5EF4-FFF2-40B4-BE49-F238E27FC236}">
              <a16:creationId xmlns:a16="http://schemas.microsoft.com/office/drawing/2014/main" id="{4021D309-17B6-4B6F-AF5D-AF883DF6D37A}"/>
            </a:ext>
          </a:extLst>
        </xdr:cNvPr>
        <xdr:cNvSpPr txBox="1">
          <a:spLocks noChangeArrowheads="1"/>
        </xdr:cNvSpPr>
      </xdr:nvSpPr>
      <xdr:spPr bwMode="auto">
        <a:xfrm>
          <a:off x="4000500" y="18204180"/>
          <a:ext cx="125730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89</xdr:row>
      <xdr:rowOff>206921</xdr:rowOff>
    </xdr:from>
    <xdr:to>
      <xdr:col>5</xdr:col>
      <xdr:colOff>609600</xdr:colOff>
      <xdr:row>93</xdr:row>
      <xdr:rowOff>89350</xdr:rowOff>
    </xdr:to>
    <xdr:sp macro="" textlink="">
      <xdr:nvSpPr>
        <xdr:cNvPr id="258200" name="Text Box 152" hidden="1">
          <a:extLst>
            <a:ext uri="{FF2B5EF4-FFF2-40B4-BE49-F238E27FC236}">
              <a16:creationId xmlns:a16="http://schemas.microsoft.com/office/drawing/2014/main" id="{60F6900B-A076-44B0-B9F6-9A9DA7B5BC56}"/>
            </a:ext>
          </a:extLst>
        </xdr:cNvPr>
        <xdr:cNvSpPr txBox="1">
          <a:spLocks noChangeArrowheads="1"/>
        </xdr:cNvSpPr>
      </xdr:nvSpPr>
      <xdr:spPr bwMode="auto">
        <a:xfrm>
          <a:off x="4000500" y="18554700"/>
          <a:ext cx="1257300" cy="784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83</xdr:row>
      <xdr:rowOff>103976</xdr:rowOff>
    </xdr:from>
    <xdr:to>
      <xdr:col>6</xdr:col>
      <xdr:colOff>38100</xdr:colOff>
      <xdr:row>95</xdr:row>
      <xdr:rowOff>166301</xdr:rowOff>
    </xdr:to>
    <xdr:sp macro="" textlink="">
      <xdr:nvSpPr>
        <xdr:cNvPr id="258225" name="Text Box 177" hidden="1">
          <a:extLst>
            <a:ext uri="{FF2B5EF4-FFF2-40B4-BE49-F238E27FC236}">
              <a16:creationId xmlns:a16="http://schemas.microsoft.com/office/drawing/2014/main" id="{DED80608-0C15-465F-AA91-D4AF41FDA1D5}"/>
            </a:ext>
          </a:extLst>
        </xdr:cNvPr>
        <xdr:cNvSpPr txBox="1">
          <a:spLocks noChangeArrowheads="1"/>
        </xdr:cNvSpPr>
      </xdr:nvSpPr>
      <xdr:spPr bwMode="auto">
        <a:xfrm>
          <a:off x="3924300" y="17640300"/>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94285</xdr:rowOff>
    </xdr:from>
    <xdr:to>
      <xdr:col>5</xdr:col>
      <xdr:colOff>609600</xdr:colOff>
      <xdr:row>44</xdr:row>
      <xdr:rowOff>94849</xdr:rowOff>
    </xdr:to>
    <xdr:sp macro="" textlink="">
      <xdr:nvSpPr>
        <xdr:cNvPr id="258224" name="Text Box 176" hidden="1">
          <a:extLst>
            <a:ext uri="{FF2B5EF4-FFF2-40B4-BE49-F238E27FC236}">
              <a16:creationId xmlns:a16="http://schemas.microsoft.com/office/drawing/2014/main" id="{950AB110-C7C9-46F2-B09D-6802CBE46BFC}"/>
            </a:ext>
          </a:extLst>
        </xdr:cNvPr>
        <xdr:cNvSpPr txBox="1">
          <a:spLocks noChangeArrowheads="1"/>
        </xdr:cNvSpPr>
      </xdr:nvSpPr>
      <xdr:spPr bwMode="auto">
        <a:xfrm>
          <a:off x="3886200" y="8724900"/>
          <a:ext cx="12382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94284</xdr:rowOff>
    </xdr:from>
    <xdr:to>
      <xdr:col>5</xdr:col>
      <xdr:colOff>609600</xdr:colOff>
      <xdr:row>45</xdr:row>
      <xdr:rowOff>130645</xdr:rowOff>
    </xdr:to>
    <xdr:sp macro="" textlink="">
      <xdr:nvSpPr>
        <xdr:cNvPr id="258223" name="Text Box 175" hidden="1">
          <a:extLst>
            <a:ext uri="{FF2B5EF4-FFF2-40B4-BE49-F238E27FC236}">
              <a16:creationId xmlns:a16="http://schemas.microsoft.com/office/drawing/2014/main" id="{C5ED9A8F-5F37-441D-B0E6-5B67E3F33FC3}"/>
            </a:ext>
          </a:extLst>
        </xdr:cNvPr>
        <xdr:cNvSpPr txBox="1">
          <a:spLocks noChangeArrowheads="1"/>
        </xdr:cNvSpPr>
      </xdr:nvSpPr>
      <xdr:spPr bwMode="auto">
        <a:xfrm>
          <a:off x="3886200" y="8924925"/>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131749</xdr:rowOff>
    </xdr:from>
    <xdr:to>
      <xdr:col>5</xdr:col>
      <xdr:colOff>609600</xdr:colOff>
      <xdr:row>47</xdr:row>
      <xdr:rowOff>171022</xdr:rowOff>
    </xdr:to>
    <xdr:sp macro="" textlink="">
      <xdr:nvSpPr>
        <xdr:cNvPr id="258222" name="Text Box 174" hidden="1">
          <a:extLst>
            <a:ext uri="{FF2B5EF4-FFF2-40B4-BE49-F238E27FC236}">
              <a16:creationId xmlns:a16="http://schemas.microsoft.com/office/drawing/2014/main" id="{00662BEC-9825-4274-AF47-AC9C4A479DDA}"/>
            </a:ext>
          </a:extLst>
        </xdr:cNvPr>
        <xdr:cNvSpPr txBox="1">
          <a:spLocks noChangeArrowheads="1"/>
        </xdr:cNvSpPr>
      </xdr:nvSpPr>
      <xdr:spPr bwMode="auto">
        <a:xfrm>
          <a:off x="3886200" y="9305925"/>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132949</xdr:rowOff>
    </xdr:from>
    <xdr:to>
      <xdr:col>5</xdr:col>
      <xdr:colOff>609600</xdr:colOff>
      <xdr:row>49</xdr:row>
      <xdr:rowOff>40778</xdr:rowOff>
    </xdr:to>
    <xdr:sp macro="" textlink="">
      <xdr:nvSpPr>
        <xdr:cNvPr id="258221" name="Text Box 173" hidden="1">
          <a:extLst>
            <a:ext uri="{FF2B5EF4-FFF2-40B4-BE49-F238E27FC236}">
              <a16:creationId xmlns:a16="http://schemas.microsoft.com/office/drawing/2014/main" id="{B1397697-2058-42F4-B9E8-17C224D65F8E}"/>
            </a:ext>
          </a:extLst>
        </xdr:cNvPr>
        <xdr:cNvSpPr txBox="1">
          <a:spLocks noChangeArrowheads="1"/>
        </xdr:cNvSpPr>
      </xdr:nvSpPr>
      <xdr:spPr bwMode="auto">
        <a:xfrm>
          <a:off x="3886200" y="9534525"/>
          <a:ext cx="12382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141</xdr:rowOff>
    </xdr:from>
    <xdr:to>
      <xdr:col>5</xdr:col>
      <xdr:colOff>609600</xdr:colOff>
      <xdr:row>50</xdr:row>
      <xdr:rowOff>109759</xdr:rowOff>
    </xdr:to>
    <xdr:sp macro="" textlink="">
      <xdr:nvSpPr>
        <xdr:cNvPr id="258220" name="Text Box 172" hidden="1">
          <a:extLst>
            <a:ext uri="{FF2B5EF4-FFF2-40B4-BE49-F238E27FC236}">
              <a16:creationId xmlns:a16="http://schemas.microsoft.com/office/drawing/2014/main" id="{66264935-572B-44F4-93A7-9A4F4D56EF04}"/>
            </a:ext>
          </a:extLst>
        </xdr:cNvPr>
        <xdr:cNvSpPr txBox="1">
          <a:spLocks noChangeArrowheads="1"/>
        </xdr:cNvSpPr>
      </xdr:nvSpPr>
      <xdr:spPr bwMode="auto">
        <a:xfrm>
          <a:off x="3886200" y="9744075"/>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111817</xdr:rowOff>
    </xdr:from>
    <xdr:to>
      <xdr:col>5</xdr:col>
      <xdr:colOff>609600</xdr:colOff>
      <xdr:row>70</xdr:row>
      <xdr:rowOff>12352</xdr:rowOff>
    </xdr:to>
    <xdr:sp macro="" textlink="">
      <xdr:nvSpPr>
        <xdr:cNvPr id="258219" name="Text Box 171" hidden="1">
          <a:extLst>
            <a:ext uri="{FF2B5EF4-FFF2-40B4-BE49-F238E27FC236}">
              <a16:creationId xmlns:a16="http://schemas.microsoft.com/office/drawing/2014/main" id="{DC553F5F-242B-42AD-BE77-B4540BB0C7C3}"/>
            </a:ext>
          </a:extLst>
        </xdr:cNvPr>
        <xdr:cNvSpPr txBox="1">
          <a:spLocks noChangeArrowheads="1"/>
        </xdr:cNvSpPr>
      </xdr:nvSpPr>
      <xdr:spPr bwMode="auto">
        <a:xfrm>
          <a:off x="3886200" y="133921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84391</xdr:rowOff>
    </xdr:from>
    <xdr:to>
      <xdr:col>5</xdr:col>
      <xdr:colOff>609600</xdr:colOff>
      <xdr:row>71</xdr:row>
      <xdr:rowOff>5180</xdr:rowOff>
    </xdr:to>
    <xdr:sp macro="" textlink="">
      <xdr:nvSpPr>
        <xdr:cNvPr id="258218" name="Text Box 170" hidden="1">
          <a:extLst>
            <a:ext uri="{FF2B5EF4-FFF2-40B4-BE49-F238E27FC236}">
              <a16:creationId xmlns:a16="http://schemas.microsoft.com/office/drawing/2014/main" id="{4B29BE96-2C85-4C72-8B8B-64C2A6249CA6}"/>
            </a:ext>
          </a:extLst>
        </xdr:cNvPr>
        <xdr:cNvSpPr txBox="1">
          <a:spLocks noChangeArrowheads="1"/>
        </xdr:cNvSpPr>
      </xdr:nvSpPr>
      <xdr:spPr bwMode="auto">
        <a:xfrm>
          <a:off x="3886200" y="135826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61294</xdr:rowOff>
    </xdr:from>
    <xdr:to>
      <xdr:col>5</xdr:col>
      <xdr:colOff>609600</xdr:colOff>
      <xdr:row>72</xdr:row>
      <xdr:rowOff>46709</xdr:rowOff>
    </xdr:to>
    <xdr:sp macro="" textlink="">
      <xdr:nvSpPr>
        <xdr:cNvPr id="258217" name="Text Box 169" hidden="1">
          <a:extLst>
            <a:ext uri="{FF2B5EF4-FFF2-40B4-BE49-F238E27FC236}">
              <a16:creationId xmlns:a16="http://schemas.microsoft.com/office/drawing/2014/main" id="{1DEAA2B2-0F36-45C7-8577-27F9E4D38AF0}"/>
            </a:ext>
          </a:extLst>
        </xdr:cNvPr>
        <xdr:cNvSpPr txBox="1">
          <a:spLocks noChangeArrowheads="1"/>
        </xdr:cNvSpPr>
      </xdr:nvSpPr>
      <xdr:spPr bwMode="auto">
        <a:xfrm>
          <a:off x="3886200" y="137731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83851</xdr:rowOff>
    </xdr:from>
    <xdr:to>
      <xdr:col>5</xdr:col>
      <xdr:colOff>609600</xdr:colOff>
      <xdr:row>73</xdr:row>
      <xdr:rowOff>51078</xdr:rowOff>
    </xdr:to>
    <xdr:sp macro="" textlink="">
      <xdr:nvSpPr>
        <xdr:cNvPr id="258216" name="Text Box 168" hidden="1">
          <a:extLst>
            <a:ext uri="{FF2B5EF4-FFF2-40B4-BE49-F238E27FC236}">
              <a16:creationId xmlns:a16="http://schemas.microsoft.com/office/drawing/2014/main" id="{81452BE4-05B5-4F68-9066-3057A6D04796}"/>
            </a:ext>
          </a:extLst>
        </xdr:cNvPr>
        <xdr:cNvSpPr txBox="1">
          <a:spLocks noChangeArrowheads="1"/>
        </xdr:cNvSpPr>
      </xdr:nvSpPr>
      <xdr:spPr bwMode="auto">
        <a:xfrm>
          <a:off x="3886200" y="139636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86</xdr:row>
      <xdr:rowOff>83059</xdr:rowOff>
    </xdr:from>
    <xdr:to>
      <xdr:col>5</xdr:col>
      <xdr:colOff>609600</xdr:colOff>
      <xdr:row>89</xdr:row>
      <xdr:rowOff>323965</xdr:rowOff>
    </xdr:to>
    <xdr:sp macro="" textlink="">
      <xdr:nvSpPr>
        <xdr:cNvPr id="258215" name="Text Box 167" hidden="1">
          <a:extLst>
            <a:ext uri="{FF2B5EF4-FFF2-40B4-BE49-F238E27FC236}">
              <a16:creationId xmlns:a16="http://schemas.microsoft.com/office/drawing/2014/main" id="{3F47B15F-18C8-48B3-ADF3-E1E910D00798}"/>
            </a:ext>
          </a:extLst>
        </xdr:cNvPr>
        <xdr:cNvSpPr txBox="1">
          <a:spLocks noChangeArrowheads="1"/>
        </xdr:cNvSpPr>
      </xdr:nvSpPr>
      <xdr:spPr bwMode="auto">
        <a:xfrm>
          <a:off x="3886200" y="18164175"/>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88</xdr:row>
      <xdr:rowOff>83113</xdr:rowOff>
    </xdr:from>
    <xdr:to>
      <xdr:col>5</xdr:col>
      <xdr:colOff>609600</xdr:colOff>
      <xdr:row>91</xdr:row>
      <xdr:rowOff>45288</xdr:rowOff>
    </xdr:to>
    <xdr:sp macro="" textlink="">
      <xdr:nvSpPr>
        <xdr:cNvPr id="258214" name="Text Box 166" hidden="1">
          <a:extLst>
            <a:ext uri="{FF2B5EF4-FFF2-40B4-BE49-F238E27FC236}">
              <a16:creationId xmlns:a16="http://schemas.microsoft.com/office/drawing/2014/main" id="{87C5FE89-5596-4F3A-B689-29E0C076FC10}"/>
            </a:ext>
          </a:extLst>
        </xdr:cNvPr>
        <xdr:cNvSpPr txBox="1">
          <a:spLocks noChangeArrowheads="1"/>
        </xdr:cNvSpPr>
      </xdr:nvSpPr>
      <xdr:spPr bwMode="auto">
        <a:xfrm>
          <a:off x="3886200" y="18545175"/>
          <a:ext cx="12382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89</xdr:row>
      <xdr:rowOff>206921</xdr:rowOff>
    </xdr:from>
    <xdr:to>
      <xdr:col>5</xdr:col>
      <xdr:colOff>609600</xdr:colOff>
      <xdr:row>93</xdr:row>
      <xdr:rowOff>89350</xdr:rowOff>
    </xdr:to>
    <xdr:sp macro="" textlink="">
      <xdr:nvSpPr>
        <xdr:cNvPr id="258213" name="Text Box 165" hidden="1">
          <a:extLst>
            <a:ext uri="{FF2B5EF4-FFF2-40B4-BE49-F238E27FC236}">
              <a16:creationId xmlns:a16="http://schemas.microsoft.com/office/drawing/2014/main" id="{60BAA05D-9FD6-40A1-9EB1-15079C7820A1}"/>
            </a:ext>
          </a:extLst>
        </xdr:cNvPr>
        <xdr:cNvSpPr txBox="1">
          <a:spLocks noChangeArrowheads="1"/>
        </xdr:cNvSpPr>
      </xdr:nvSpPr>
      <xdr:spPr bwMode="auto">
        <a:xfrm>
          <a:off x="3886200" y="18888075"/>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87</xdr:row>
      <xdr:rowOff>82736</xdr:rowOff>
    </xdr:from>
    <xdr:to>
      <xdr:col>6</xdr:col>
      <xdr:colOff>38100</xdr:colOff>
      <xdr:row>99</xdr:row>
      <xdr:rowOff>75521</xdr:rowOff>
    </xdr:to>
    <xdr:sp macro="" textlink="">
      <xdr:nvSpPr>
        <xdr:cNvPr id="258238" name="Text Box 190" hidden="1">
          <a:extLst>
            <a:ext uri="{FF2B5EF4-FFF2-40B4-BE49-F238E27FC236}">
              <a16:creationId xmlns:a16="http://schemas.microsoft.com/office/drawing/2014/main" id="{6D997D0C-E09D-4E13-92CA-3EDAC931FC97}"/>
            </a:ext>
          </a:extLst>
        </xdr:cNvPr>
        <xdr:cNvSpPr txBox="1">
          <a:spLocks noChangeArrowheads="1"/>
        </xdr:cNvSpPr>
      </xdr:nvSpPr>
      <xdr:spPr bwMode="auto">
        <a:xfrm>
          <a:off x="3924300" y="18373725"/>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57173</xdr:rowOff>
    </xdr:from>
    <xdr:to>
      <xdr:col>5</xdr:col>
      <xdr:colOff>609600</xdr:colOff>
      <xdr:row>54</xdr:row>
      <xdr:rowOff>47799</xdr:rowOff>
    </xdr:to>
    <xdr:sp macro="" textlink="">
      <xdr:nvSpPr>
        <xdr:cNvPr id="258237" name="Text Box 189" hidden="1">
          <a:extLst>
            <a:ext uri="{FF2B5EF4-FFF2-40B4-BE49-F238E27FC236}">
              <a16:creationId xmlns:a16="http://schemas.microsoft.com/office/drawing/2014/main" id="{85E81D92-E05B-4EAB-927C-B5AF1D5F4229}"/>
            </a:ext>
          </a:extLst>
        </xdr:cNvPr>
        <xdr:cNvSpPr txBox="1">
          <a:spLocks noChangeArrowheads="1"/>
        </xdr:cNvSpPr>
      </xdr:nvSpPr>
      <xdr:spPr bwMode="auto">
        <a:xfrm>
          <a:off x="3886200" y="9420225"/>
          <a:ext cx="1238250" cy="1762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172743</xdr:rowOff>
    </xdr:from>
    <xdr:to>
      <xdr:col>5</xdr:col>
      <xdr:colOff>609600</xdr:colOff>
      <xdr:row>54</xdr:row>
      <xdr:rowOff>123999</xdr:rowOff>
    </xdr:to>
    <xdr:sp macro="" textlink="">
      <xdr:nvSpPr>
        <xdr:cNvPr id="258236" name="Text Box 188" hidden="1">
          <a:extLst>
            <a:ext uri="{FF2B5EF4-FFF2-40B4-BE49-F238E27FC236}">
              <a16:creationId xmlns:a16="http://schemas.microsoft.com/office/drawing/2014/main" id="{1828B737-AE75-45D3-800B-315F59D11355}"/>
            </a:ext>
          </a:extLst>
        </xdr:cNvPr>
        <xdr:cNvSpPr txBox="1">
          <a:spLocks noChangeArrowheads="1"/>
        </xdr:cNvSpPr>
      </xdr:nvSpPr>
      <xdr:spPr bwMode="auto">
        <a:xfrm>
          <a:off x="3886200" y="9534525"/>
          <a:ext cx="1238250" cy="17240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131940</xdr:rowOff>
    </xdr:from>
    <xdr:to>
      <xdr:col>5</xdr:col>
      <xdr:colOff>609600</xdr:colOff>
      <xdr:row>51</xdr:row>
      <xdr:rowOff>148435</xdr:rowOff>
    </xdr:to>
    <xdr:sp macro="" textlink="">
      <xdr:nvSpPr>
        <xdr:cNvPr id="258235" name="Text Box 187" hidden="1">
          <a:extLst>
            <a:ext uri="{FF2B5EF4-FFF2-40B4-BE49-F238E27FC236}">
              <a16:creationId xmlns:a16="http://schemas.microsoft.com/office/drawing/2014/main" id="{0C449E70-9050-4528-8745-A72627AA23E4}"/>
            </a:ext>
          </a:extLst>
        </xdr:cNvPr>
        <xdr:cNvSpPr txBox="1">
          <a:spLocks noChangeArrowheads="1"/>
        </xdr:cNvSpPr>
      </xdr:nvSpPr>
      <xdr:spPr bwMode="auto">
        <a:xfrm>
          <a:off x="3886200" y="9867900"/>
          <a:ext cx="1238250" cy="866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102185</xdr:rowOff>
    </xdr:from>
    <xdr:to>
      <xdr:col>5</xdr:col>
      <xdr:colOff>609600</xdr:colOff>
      <xdr:row>52</xdr:row>
      <xdr:rowOff>37874</xdr:rowOff>
    </xdr:to>
    <xdr:sp macro="" textlink="">
      <xdr:nvSpPr>
        <xdr:cNvPr id="258234" name="Text Box 186" hidden="1">
          <a:extLst>
            <a:ext uri="{FF2B5EF4-FFF2-40B4-BE49-F238E27FC236}">
              <a16:creationId xmlns:a16="http://schemas.microsoft.com/office/drawing/2014/main" id="{161ECDA6-7364-4510-8B96-A40FB6D7C89A}"/>
            </a:ext>
          </a:extLst>
        </xdr:cNvPr>
        <xdr:cNvSpPr txBox="1">
          <a:spLocks noChangeArrowheads="1"/>
        </xdr:cNvSpPr>
      </xdr:nvSpPr>
      <xdr:spPr bwMode="auto">
        <a:xfrm>
          <a:off x="3886200" y="10172700"/>
          <a:ext cx="1238250"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99622</xdr:rowOff>
    </xdr:from>
    <xdr:to>
      <xdr:col>5</xdr:col>
      <xdr:colOff>609600</xdr:colOff>
      <xdr:row>53</xdr:row>
      <xdr:rowOff>94597</xdr:rowOff>
    </xdr:to>
    <xdr:sp macro="" textlink="">
      <xdr:nvSpPr>
        <xdr:cNvPr id="258233" name="Text Box 185" hidden="1">
          <a:extLst>
            <a:ext uri="{FF2B5EF4-FFF2-40B4-BE49-F238E27FC236}">
              <a16:creationId xmlns:a16="http://schemas.microsoft.com/office/drawing/2014/main" id="{DAAE195B-1FB3-4083-88FD-25D09917906C}"/>
            </a:ext>
          </a:extLst>
        </xdr:cNvPr>
        <xdr:cNvSpPr txBox="1">
          <a:spLocks noChangeArrowheads="1"/>
        </xdr:cNvSpPr>
      </xdr:nvSpPr>
      <xdr:spPr bwMode="auto">
        <a:xfrm>
          <a:off x="3886200" y="10344150"/>
          <a:ext cx="123825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33257</xdr:rowOff>
    </xdr:from>
    <xdr:to>
      <xdr:col>5</xdr:col>
      <xdr:colOff>609600</xdr:colOff>
      <xdr:row>73</xdr:row>
      <xdr:rowOff>191365</xdr:rowOff>
    </xdr:to>
    <xdr:sp macro="" textlink="">
      <xdr:nvSpPr>
        <xdr:cNvPr id="258232" name="Text Box 184" hidden="1">
          <a:extLst>
            <a:ext uri="{FF2B5EF4-FFF2-40B4-BE49-F238E27FC236}">
              <a16:creationId xmlns:a16="http://schemas.microsoft.com/office/drawing/2014/main" id="{91E328F6-D0FD-427B-A185-36F15B226EB9}"/>
            </a:ext>
          </a:extLst>
        </xdr:cNvPr>
        <xdr:cNvSpPr txBox="1">
          <a:spLocks noChangeArrowheads="1"/>
        </xdr:cNvSpPr>
      </xdr:nvSpPr>
      <xdr:spPr bwMode="auto">
        <a:xfrm>
          <a:off x="3886200" y="141255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70</xdr:row>
      <xdr:rowOff>75545</xdr:rowOff>
    </xdr:from>
    <xdr:to>
      <xdr:col>5</xdr:col>
      <xdr:colOff>609600</xdr:colOff>
      <xdr:row>73</xdr:row>
      <xdr:rowOff>401721</xdr:rowOff>
    </xdr:to>
    <xdr:sp macro="" textlink="">
      <xdr:nvSpPr>
        <xdr:cNvPr id="258231" name="Text Box 183" hidden="1">
          <a:extLst>
            <a:ext uri="{FF2B5EF4-FFF2-40B4-BE49-F238E27FC236}">
              <a16:creationId xmlns:a16="http://schemas.microsoft.com/office/drawing/2014/main" id="{7041457D-B9C3-4341-836D-5AA7FCC58F56}"/>
            </a:ext>
          </a:extLst>
        </xdr:cNvPr>
        <xdr:cNvSpPr txBox="1">
          <a:spLocks noChangeArrowheads="1"/>
        </xdr:cNvSpPr>
      </xdr:nvSpPr>
      <xdr:spPr bwMode="auto">
        <a:xfrm>
          <a:off x="3886200" y="143160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71</xdr:row>
      <xdr:rowOff>117291</xdr:rowOff>
    </xdr:from>
    <xdr:to>
      <xdr:col>5</xdr:col>
      <xdr:colOff>609600</xdr:colOff>
      <xdr:row>74</xdr:row>
      <xdr:rowOff>6519</xdr:rowOff>
    </xdr:to>
    <xdr:sp macro="" textlink="">
      <xdr:nvSpPr>
        <xdr:cNvPr id="258230" name="Text Box 182" hidden="1">
          <a:extLst>
            <a:ext uri="{FF2B5EF4-FFF2-40B4-BE49-F238E27FC236}">
              <a16:creationId xmlns:a16="http://schemas.microsoft.com/office/drawing/2014/main" id="{0B026C8E-638D-47B8-8D89-0345BD52650A}"/>
            </a:ext>
          </a:extLst>
        </xdr:cNvPr>
        <xdr:cNvSpPr txBox="1">
          <a:spLocks noChangeArrowheads="1"/>
        </xdr:cNvSpPr>
      </xdr:nvSpPr>
      <xdr:spPr bwMode="auto">
        <a:xfrm>
          <a:off x="3886200" y="145065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72</xdr:row>
      <xdr:rowOff>134927</xdr:rowOff>
    </xdr:from>
    <xdr:to>
      <xdr:col>5</xdr:col>
      <xdr:colOff>609600</xdr:colOff>
      <xdr:row>74</xdr:row>
      <xdr:rowOff>205200</xdr:rowOff>
    </xdr:to>
    <xdr:sp macro="" textlink="">
      <xdr:nvSpPr>
        <xdr:cNvPr id="258229" name="Text Box 181" hidden="1">
          <a:extLst>
            <a:ext uri="{FF2B5EF4-FFF2-40B4-BE49-F238E27FC236}">
              <a16:creationId xmlns:a16="http://schemas.microsoft.com/office/drawing/2014/main" id="{18BF31F7-59C0-466C-98AF-43EE6C68482F}"/>
            </a:ext>
          </a:extLst>
        </xdr:cNvPr>
        <xdr:cNvSpPr txBox="1">
          <a:spLocks noChangeArrowheads="1"/>
        </xdr:cNvSpPr>
      </xdr:nvSpPr>
      <xdr:spPr bwMode="auto">
        <a:xfrm>
          <a:off x="3886200" y="146970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89</xdr:row>
      <xdr:rowOff>176017</xdr:rowOff>
    </xdr:from>
    <xdr:to>
      <xdr:col>5</xdr:col>
      <xdr:colOff>609600</xdr:colOff>
      <xdr:row>93</xdr:row>
      <xdr:rowOff>110706</xdr:rowOff>
    </xdr:to>
    <xdr:sp macro="" textlink="">
      <xdr:nvSpPr>
        <xdr:cNvPr id="258228" name="Text Box 180" hidden="1">
          <a:extLst>
            <a:ext uri="{FF2B5EF4-FFF2-40B4-BE49-F238E27FC236}">
              <a16:creationId xmlns:a16="http://schemas.microsoft.com/office/drawing/2014/main" id="{869A8211-A88D-485D-BC05-7F0E9144CC65}"/>
            </a:ext>
          </a:extLst>
        </xdr:cNvPr>
        <xdr:cNvSpPr txBox="1">
          <a:spLocks noChangeArrowheads="1"/>
        </xdr:cNvSpPr>
      </xdr:nvSpPr>
      <xdr:spPr bwMode="auto">
        <a:xfrm>
          <a:off x="3886200" y="1889760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110706</xdr:rowOff>
    </xdr:from>
    <xdr:to>
      <xdr:col>5</xdr:col>
      <xdr:colOff>609600</xdr:colOff>
      <xdr:row>101</xdr:row>
      <xdr:rowOff>52270</xdr:rowOff>
    </xdr:to>
    <xdr:sp macro="" textlink="">
      <xdr:nvSpPr>
        <xdr:cNvPr id="258227" name="Text Box 179" hidden="1">
          <a:extLst>
            <a:ext uri="{FF2B5EF4-FFF2-40B4-BE49-F238E27FC236}">
              <a16:creationId xmlns:a16="http://schemas.microsoft.com/office/drawing/2014/main" id="{6F6D7AEF-F90D-4E73-A55B-A85B8DC17DA9}"/>
            </a:ext>
          </a:extLst>
        </xdr:cNvPr>
        <xdr:cNvSpPr txBox="1">
          <a:spLocks noChangeArrowheads="1"/>
        </xdr:cNvSpPr>
      </xdr:nvSpPr>
      <xdr:spPr bwMode="auto">
        <a:xfrm>
          <a:off x="3886200" y="19735800"/>
          <a:ext cx="1238250" cy="1476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110706</xdr:rowOff>
    </xdr:from>
    <xdr:to>
      <xdr:col>5</xdr:col>
      <xdr:colOff>609600</xdr:colOff>
      <xdr:row>100</xdr:row>
      <xdr:rowOff>14714</xdr:rowOff>
    </xdr:to>
    <xdr:sp macro="" textlink="">
      <xdr:nvSpPr>
        <xdr:cNvPr id="258226" name="Text Box 178" hidden="1">
          <a:extLst>
            <a:ext uri="{FF2B5EF4-FFF2-40B4-BE49-F238E27FC236}">
              <a16:creationId xmlns:a16="http://schemas.microsoft.com/office/drawing/2014/main" id="{E0334D5E-255E-4284-BBE9-8FF578A73DA6}"/>
            </a:ext>
          </a:extLst>
        </xdr:cNvPr>
        <xdr:cNvSpPr txBox="1">
          <a:spLocks noChangeArrowheads="1"/>
        </xdr:cNvSpPr>
      </xdr:nvSpPr>
      <xdr:spPr bwMode="auto">
        <a:xfrm>
          <a:off x="3886200" y="19735800"/>
          <a:ext cx="1238250" cy="1209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110</xdr:row>
      <xdr:rowOff>106396</xdr:rowOff>
    </xdr:from>
    <xdr:to>
      <xdr:col>6</xdr:col>
      <xdr:colOff>69215</xdr:colOff>
      <xdr:row>122</xdr:row>
      <xdr:rowOff>169268</xdr:rowOff>
    </xdr:to>
    <xdr:sp macro="" textlink="">
      <xdr:nvSpPr>
        <xdr:cNvPr id="258251" name="Text Box 203" hidden="1">
          <a:extLst>
            <a:ext uri="{FF2B5EF4-FFF2-40B4-BE49-F238E27FC236}">
              <a16:creationId xmlns:a16="http://schemas.microsoft.com/office/drawing/2014/main" id="{F408F5C7-12C2-445E-8798-2101C065765D}"/>
            </a:ext>
          </a:extLst>
        </xdr:cNvPr>
        <xdr:cNvSpPr txBox="1">
          <a:spLocks noChangeArrowheads="1"/>
        </xdr:cNvSpPr>
      </xdr:nvSpPr>
      <xdr:spPr bwMode="auto">
        <a:xfrm>
          <a:off x="3924300" y="23021925"/>
          <a:ext cx="1409700" cy="2638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72</xdr:row>
      <xdr:rowOff>7976</xdr:rowOff>
    </xdr:from>
    <xdr:to>
      <xdr:col>5</xdr:col>
      <xdr:colOff>609600</xdr:colOff>
      <xdr:row>82</xdr:row>
      <xdr:rowOff>65802</xdr:rowOff>
    </xdr:to>
    <xdr:sp macro="" textlink="">
      <xdr:nvSpPr>
        <xdr:cNvPr id="258250" name="Text Box 202" hidden="1">
          <a:extLst>
            <a:ext uri="{FF2B5EF4-FFF2-40B4-BE49-F238E27FC236}">
              <a16:creationId xmlns:a16="http://schemas.microsoft.com/office/drawing/2014/main" id="{528CB3E0-180E-439C-BB2A-AB3D19CB7738}"/>
            </a:ext>
          </a:extLst>
        </xdr:cNvPr>
        <xdr:cNvSpPr txBox="1">
          <a:spLocks noChangeArrowheads="1"/>
        </xdr:cNvSpPr>
      </xdr:nvSpPr>
      <xdr:spPr bwMode="auto">
        <a:xfrm>
          <a:off x="3895725" y="14611350"/>
          <a:ext cx="1228725" cy="28670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69</xdr:row>
      <xdr:rowOff>131058</xdr:rowOff>
    </xdr:from>
    <xdr:to>
      <xdr:col>5</xdr:col>
      <xdr:colOff>640715</xdr:colOff>
      <xdr:row>80</xdr:row>
      <xdr:rowOff>91814</xdr:rowOff>
    </xdr:to>
    <xdr:sp macro="" textlink="">
      <xdr:nvSpPr>
        <xdr:cNvPr id="258249" name="Text Box 201" hidden="1">
          <a:extLst>
            <a:ext uri="{FF2B5EF4-FFF2-40B4-BE49-F238E27FC236}">
              <a16:creationId xmlns:a16="http://schemas.microsoft.com/office/drawing/2014/main" id="{8E1239BC-89AE-4D0E-A53A-F1AE812110A0}"/>
            </a:ext>
          </a:extLst>
        </xdr:cNvPr>
        <xdr:cNvSpPr txBox="1">
          <a:spLocks noChangeArrowheads="1"/>
        </xdr:cNvSpPr>
      </xdr:nvSpPr>
      <xdr:spPr bwMode="auto">
        <a:xfrm>
          <a:off x="3924300" y="14249400"/>
          <a:ext cx="1219200" cy="281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73</xdr:row>
      <xdr:rowOff>286849</xdr:rowOff>
    </xdr:from>
    <xdr:to>
      <xdr:col>5</xdr:col>
      <xdr:colOff>609600</xdr:colOff>
      <xdr:row>75</xdr:row>
      <xdr:rowOff>21656</xdr:rowOff>
    </xdr:to>
    <xdr:sp macro="" textlink="">
      <xdr:nvSpPr>
        <xdr:cNvPr id="258248" name="Text Box 200" hidden="1">
          <a:extLst>
            <a:ext uri="{FF2B5EF4-FFF2-40B4-BE49-F238E27FC236}">
              <a16:creationId xmlns:a16="http://schemas.microsoft.com/office/drawing/2014/main" id="{ED507346-25DF-430B-BC8D-4B8CF48A5846}"/>
            </a:ext>
          </a:extLst>
        </xdr:cNvPr>
        <xdr:cNvSpPr txBox="1">
          <a:spLocks noChangeArrowheads="1"/>
        </xdr:cNvSpPr>
      </xdr:nvSpPr>
      <xdr:spPr bwMode="auto">
        <a:xfrm>
          <a:off x="3895725" y="15087600"/>
          <a:ext cx="1228725"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74</xdr:row>
      <xdr:rowOff>224225</xdr:rowOff>
    </xdr:from>
    <xdr:to>
      <xdr:col>5</xdr:col>
      <xdr:colOff>609600</xdr:colOff>
      <xdr:row>75</xdr:row>
      <xdr:rowOff>142827</xdr:rowOff>
    </xdr:to>
    <xdr:sp macro="" textlink="">
      <xdr:nvSpPr>
        <xdr:cNvPr id="258247" name="Text Box 199" hidden="1">
          <a:extLst>
            <a:ext uri="{FF2B5EF4-FFF2-40B4-BE49-F238E27FC236}">
              <a16:creationId xmlns:a16="http://schemas.microsoft.com/office/drawing/2014/main" id="{5A0997F7-D40F-4DAC-97D7-9E05CEC6F874}"/>
            </a:ext>
          </a:extLst>
        </xdr:cNvPr>
        <xdr:cNvSpPr txBox="1">
          <a:spLocks noChangeArrowheads="1"/>
        </xdr:cNvSpPr>
      </xdr:nvSpPr>
      <xdr:spPr bwMode="auto">
        <a:xfrm>
          <a:off x="3895725" y="15630525"/>
          <a:ext cx="1228725" cy="295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74</xdr:row>
      <xdr:rowOff>381937</xdr:rowOff>
    </xdr:from>
    <xdr:to>
      <xdr:col>5</xdr:col>
      <xdr:colOff>609600</xdr:colOff>
      <xdr:row>75</xdr:row>
      <xdr:rowOff>285866</xdr:rowOff>
    </xdr:to>
    <xdr:sp macro="" textlink="">
      <xdr:nvSpPr>
        <xdr:cNvPr id="258246" name="Text Box 198" hidden="1">
          <a:extLst>
            <a:ext uri="{FF2B5EF4-FFF2-40B4-BE49-F238E27FC236}">
              <a16:creationId xmlns:a16="http://schemas.microsoft.com/office/drawing/2014/main" id="{08A79673-5B25-4496-A2E3-6902C90E132C}"/>
            </a:ext>
          </a:extLst>
        </xdr:cNvPr>
        <xdr:cNvSpPr txBox="1">
          <a:spLocks noChangeArrowheads="1"/>
        </xdr:cNvSpPr>
      </xdr:nvSpPr>
      <xdr:spPr bwMode="auto">
        <a:xfrm>
          <a:off x="3895725" y="15754350"/>
          <a:ext cx="1228725" cy="314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89</xdr:row>
      <xdr:rowOff>159367</xdr:rowOff>
    </xdr:from>
    <xdr:to>
      <xdr:col>5</xdr:col>
      <xdr:colOff>609600</xdr:colOff>
      <xdr:row>93</xdr:row>
      <xdr:rowOff>95605</xdr:rowOff>
    </xdr:to>
    <xdr:sp macro="" textlink="">
      <xdr:nvSpPr>
        <xdr:cNvPr id="258245" name="Text Box 197" hidden="1">
          <a:extLst>
            <a:ext uri="{FF2B5EF4-FFF2-40B4-BE49-F238E27FC236}">
              <a16:creationId xmlns:a16="http://schemas.microsoft.com/office/drawing/2014/main" id="{2C4F1FF0-EB87-4442-8098-99DE061C7E52}"/>
            </a:ext>
          </a:extLst>
        </xdr:cNvPr>
        <xdr:cNvSpPr txBox="1">
          <a:spLocks noChangeArrowheads="1"/>
        </xdr:cNvSpPr>
      </xdr:nvSpPr>
      <xdr:spPr bwMode="auto">
        <a:xfrm>
          <a:off x="3895725" y="188880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89</xdr:row>
      <xdr:rowOff>349152</xdr:rowOff>
    </xdr:from>
    <xdr:to>
      <xdr:col>5</xdr:col>
      <xdr:colOff>609600</xdr:colOff>
      <xdr:row>94</xdr:row>
      <xdr:rowOff>91469</xdr:rowOff>
    </xdr:to>
    <xdr:sp macro="" textlink="">
      <xdr:nvSpPr>
        <xdr:cNvPr id="258244" name="Text Box 196" hidden="1">
          <a:extLst>
            <a:ext uri="{FF2B5EF4-FFF2-40B4-BE49-F238E27FC236}">
              <a16:creationId xmlns:a16="http://schemas.microsoft.com/office/drawing/2014/main" id="{7C8DB0A3-6B58-4DB5-BAC0-C92465D60AB7}"/>
            </a:ext>
          </a:extLst>
        </xdr:cNvPr>
        <xdr:cNvSpPr txBox="1">
          <a:spLocks noChangeArrowheads="1"/>
        </xdr:cNvSpPr>
      </xdr:nvSpPr>
      <xdr:spPr bwMode="auto">
        <a:xfrm>
          <a:off x="3895725" y="190785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90</xdr:row>
      <xdr:rowOff>147593</xdr:rowOff>
    </xdr:from>
    <xdr:to>
      <xdr:col>5</xdr:col>
      <xdr:colOff>609600</xdr:colOff>
      <xdr:row>95</xdr:row>
      <xdr:rowOff>110518</xdr:rowOff>
    </xdr:to>
    <xdr:sp macro="" textlink="">
      <xdr:nvSpPr>
        <xdr:cNvPr id="258243" name="Text Box 195" hidden="1">
          <a:extLst>
            <a:ext uri="{FF2B5EF4-FFF2-40B4-BE49-F238E27FC236}">
              <a16:creationId xmlns:a16="http://schemas.microsoft.com/office/drawing/2014/main" id="{33A626EF-DD21-4A6D-8626-DF746C220FF1}"/>
            </a:ext>
          </a:extLst>
        </xdr:cNvPr>
        <xdr:cNvSpPr txBox="1">
          <a:spLocks noChangeArrowheads="1"/>
        </xdr:cNvSpPr>
      </xdr:nvSpPr>
      <xdr:spPr bwMode="auto">
        <a:xfrm>
          <a:off x="3895725" y="192690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91</xdr:row>
      <xdr:rowOff>168785</xdr:rowOff>
    </xdr:from>
    <xdr:to>
      <xdr:col>5</xdr:col>
      <xdr:colOff>609600</xdr:colOff>
      <xdr:row>96</xdr:row>
      <xdr:rowOff>127450</xdr:rowOff>
    </xdr:to>
    <xdr:sp macro="" textlink="">
      <xdr:nvSpPr>
        <xdr:cNvPr id="258242" name="Text Box 194" hidden="1">
          <a:extLst>
            <a:ext uri="{FF2B5EF4-FFF2-40B4-BE49-F238E27FC236}">
              <a16:creationId xmlns:a16="http://schemas.microsoft.com/office/drawing/2014/main" id="{ACF9B6C0-DA6C-429F-A775-F8A949C501CF}"/>
            </a:ext>
          </a:extLst>
        </xdr:cNvPr>
        <xdr:cNvSpPr txBox="1">
          <a:spLocks noChangeArrowheads="1"/>
        </xdr:cNvSpPr>
      </xdr:nvSpPr>
      <xdr:spPr bwMode="auto">
        <a:xfrm>
          <a:off x="3895725" y="194595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116</xdr:row>
      <xdr:rowOff>37507</xdr:rowOff>
    </xdr:from>
    <xdr:to>
      <xdr:col>5</xdr:col>
      <xdr:colOff>609600</xdr:colOff>
      <xdr:row>116</xdr:row>
      <xdr:rowOff>54260</xdr:rowOff>
    </xdr:to>
    <xdr:sp macro="" textlink="">
      <xdr:nvSpPr>
        <xdr:cNvPr id="258241" name="Text Box 193" hidden="1">
          <a:extLst>
            <a:ext uri="{FF2B5EF4-FFF2-40B4-BE49-F238E27FC236}">
              <a16:creationId xmlns:a16="http://schemas.microsoft.com/office/drawing/2014/main" id="{2448CB33-D312-47EE-AA89-6EEF17AFE723}"/>
            </a:ext>
          </a:extLst>
        </xdr:cNvPr>
        <xdr:cNvSpPr txBox="1">
          <a:spLocks noChangeArrowheads="1"/>
        </xdr:cNvSpPr>
      </xdr:nvSpPr>
      <xdr:spPr bwMode="auto">
        <a:xfrm>
          <a:off x="3895725" y="24307800"/>
          <a:ext cx="1228725"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116</xdr:row>
      <xdr:rowOff>215309</xdr:rowOff>
    </xdr:from>
    <xdr:to>
      <xdr:col>5</xdr:col>
      <xdr:colOff>609600</xdr:colOff>
      <xdr:row>140</xdr:row>
      <xdr:rowOff>35557</xdr:rowOff>
    </xdr:to>
    <xdr:sp macro="" textlink="">
      <xdr:nvSpPr>
        <xdr:cNvPr id="258240" name="Text Box 192" hidden="1">
          <a:extLst>
            <a:ext uri="{FF2B5EF4-FFF2-40B4-BE49-F238E27FC236}">
              <a16:creationId xmlns:a16="http://schemas.microsoft.com/office/drawing/2014/main" id="{27FACA8B-9AC9-492D-B9AE-1DE99877AC9F}"/>
            </a:ext>
          </a:extLst>
        </xdr:cNvPr>
        <xdr:cNvSpPr txBox="1">
          <a:spLocks noChangeArrowheads="1"/>
        </xdr:cNvSpPr>
      </xdr:nvSpPr>
      <xdr:spPr bwMode="auto">
        <a:xfrm>
          <a:off x="3895725" y="24498300"/>
          <a:ext cx="1228725" cy="445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116</xdr:row>
      <xdr:rowOff>215309</xdr:rowOff>
    </xdr:from>
    <xdr:to>
      <xdr:col>5</xdr:col>
      <xdr:colOff>609600</xdr:colOff>
      <xdr:row>138</xdr:row>
      <xdr:rowOff>117259</xdr:rowOff>
    </xdr:to>
    <xdr:sp macro="" textlink="">
      <xdr:nvSpPr>
        <xdr:cNvPr id="258239" name="Text Box 191" hidden="1">
          <a:extLst>
            <a:ext uri="{FF2B5EF4-FFF2-40B4-BE49-F238E27FC236}">
              <a16:creationId xmlns:a16="http://schemas.microsoft.com/office/drawing/2014/main" id="{12A75657-D1FD-48E7-B26A-E23F11EFFD6A}"/>
            </a:ext>
          </a:extLst>
        </xdr:cNvPr>
        <xdr:cNvSpPr txBox="1">
          <a:spLocks noChangeArrowheads="1"/>
        </xdr:cNvSpPr>
      </xdr:nvSpPr>
      <xdr:spPr bwMode="auto">
        <a:xfrm>
          <a:off x="3895725" y="24498300"/>
          <a:ext cx="1228725" cy="4181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114</xdr:row>
      <xdr:rowOff>131035</xdr:rowOff>
    </xdr:from>
    <xdr:to>
      <xdr:col>6</xdr:col>
      <xdr:colOff>57150</xdr:colOff>
      <xdr:row>127</xdr:row>
      <xdr:rowOff>160886</xdr:rowOff>
    </xdr:to>
    <xdr:sp macro="" textlink="">
      <xdr:nvSpPr>
        <xdr:cNvPr id="258264" name="Text Box 216" hidden="1">
          <a:extLst>
            <a:ext uri="{FF2B5EF4-FFF2-40B4-BE49-F238E27FC236}">
              <a16:creationId xmlns:a16="http://schemas.microsoft.com/office/drawing/2014/main" id="{32D3F8EC-30B0-47ED-B68B-D2745D9FE719}"/>
            </a:ext>
          </a:extLst>
        </xdr:cNvPr>
        <xdr:cNvSpPr txBox="1">
          <a:spLocks noChangeArrowheads="1"/>
        </xdr:cNvSpPr>
      </xdr:nvSpPr>
      <xdr:spPr bwMode="auto">
        <a:xfrm>
          <a:off x="4070350" y="23774400"/>
          <a:ext cx="1447800" cy="2660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142875</xdr:colOff>
      <xdr:row>73</xdr:row>
      <xdr:rowOff>229699</xdr:rowOff>
    </xdr:from>
    <xdr:to>
      <xdr:col>5</xdr:col>
      <xdr:colOff>628650</xdr:colOff>
      <xdr:row>86</xdr:row>
      <xdr:rowOff>66548</xdr:rowOff>
    </xdr:to>
    <xdr:sp macro="" textlink="">
      <xdr:nvSpPr>
        <xdr:cNvPr id="258263" name="Text Box 215" hidden="1">
          <a:extLst>
            <a:ext uri="{FF2B5EF4-FFF2-40B4-BE49-F238E27FC236}">
              <a16:creationId xmlns:a16="http://schemas.microsoft.com/office/drawing/2014/main" id="{B8ECEFF4-6ED8-40C8-A527-DADD8F88183E}"/>
            </a:ext>
          </a:extLst>
        </xdr:cNvPr>
        <xdr:cNvSpPr txBox="1">
          <a:spLocks noChangeArrowheads="1"/>
        </xdr:cNvSpPr>
      </xdr:nvSpPr>
      <xdr:spPr bwMode="auto">
        <a:xfrm>
          <a:off x="4057650" y="15093950"/>
          <a:ext cx="1270000" cy="310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142875</xdr:colOff>
      <xdr:row>73</xdr:row>
      <xdr:rowOff>305899</xdr:rowOff>
    </xdr:from>
    <xdr:to>
      <xdr:col>5</xdr:col>
      <xdr:colOff>628650</xdr:colOff>
      <xdr:row>86</xdr:row>
      <xdr:rowOff>46463</xdr:rowOff>
    </xdr:to>
    <xdr:sp macro="" textlink="">
      <xdr:nvSpPr>
        <xdr:cNvPr id="258262" name="Text Box 214" hidden="1">
          <a:extLst>
            <a:ext uri="{FF2B5EF4-FFF2-40B4-BE49-F238E27FC236}">
              <a16:creationId xmlns:a16="http://schemas.microsoft.com/office/drawing/2014/main" id="{1B07724C-74B2-44B2-95B2-591BFB7EDEF9}"/>
            </a:ext>
          </a:extLst>
        </xdr:cNvPr>
        <xdr:cNvSpPr txBox="1">
          <a:spLocks noChangeArrowheads="1"/>
        </xdr:cNvSpPr>
      </xdr:nvSpPr>
      <xdr:spPr bwMode="auto">
        <a:xfrm>
          <a:off x="4057650" y="15170150"/>
          <a:ext cx="1270000" cy="3016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142875</xdr:colOff>
      <xdr:row>74</xdr:row>
      <xdr:rowOff>185403</xdr:rowOff>
    </xdr:from>
    <xdr:to>
      <xdr:col>5</xdr:col>
      <xdr:colOff>628650</xdr:colOff>
      <xdr:row>76</xdr:row>
      <xdr:rowOff>165565</xdr:rowOff>
    </xdr:to>
    <xdr:sp macro="" textlink="">
      <xdr:nvSpPr>
        <xdr:cNvPr id="258261" name="Text Box 213" hidden="1">
          <a:extLst>
            <a:ext uri="{FF2B5EF4-FFF2-40B4-BE49-F238E27FC236}">
              <a16:creationId xmlns:a16="http://schemas.microsoft.com/office/drawing/2014/main" id="{CEE495F5-559D-4646-9C0A-93A0704C41BB}"/>
            </a:ext>
          </a:extLst>
        </xdr:cNvPr>
        <xdr:cNvSpPr txBox="1">
          <a:spLocks noChangeArrowheads="1"/>
        </xdr:cNvSpPr>
      </xdr:nvSpPr>
      <xdr:spPr bwMode="auto">
        <a:xfrm>
          <a:off x="4057650" y="15589250"/>
          <a:ext cx="12700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142875</xdr:colOff>
      <xdr:row>74</xdr:row>
      <xdr:rowOff>363202</xdr:rowOff>
    </xdr:from>
    <xdr:to>
      <xdr:col>5</xdr:col>
      <xdr:colOff>628650</xdr:colOff>
      <xdr:row>76</xdr:row>
      <xdr:rowOff>7170</xdr:rowOff>
    </xdr:to>
    <xdr:sp macro="" textlink="">
      <xdr:nvSpPr>
        <xdr:cNvPr id="258260" name="Text Box 212" hidden="1">
          <a:extLst>
            <a:ext uri="{FF2B5EF4-FFF2-40B4-BE49-F238E27FC236}">
              <a16:creationId xmlns:a16="http://schemas.microsoft.com/office/drawing/2014/main" id="{C1E386C8-3BD4-4BA5-B58A-CC03F761860C}"/>
            </a:ext>
          </a:extLst>
        </xdr:cNvPr>
        <xdr:cNvSpPr txBox="1">
          <a:spLocks noChangeArrowheads="1"/>
        </xdr:cNvSpPr>
      </xdr:nvSpPr>
      <xdr:spPr bwMode="auto">
        <a:xfrm>
          <a:off x="4057650" y="15773400"/>
          <a:ext cx="1270000" cy="438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78</xdr:row>
      <xdr:rowOff>102187</xdr:rowOff>
    </xdr:from>
    <xdr:to>
      <xdr:col>5</xdr:col>
      <xdr:colOff>609600</xdr:colOff>
      <xdr:row>80</xdr:row>
      <xdr:rowOff>76786</xdr:rowOff>
    </xdr:to>
    <xdr:sp macro="" textlink="">
      <xdr:nvSpPr>
        <xdr:cNvPr id="258259" name="Text Box 211" hidden="1">
          <a:extLst>
            <a:ext uri="{FF2B5EF4-FFF2-40B4-BE49-F238E27FC236}">
              <a16:creationId xmlns:a16="http://schemas.microsoft.com/office/drawing/2014/main" id="{FB973932-ED07-4252-8A9C-729FDDD09D07}"/>
            </a:ext>
          </a:extLst>
        </xdr:cNvPr>
        <xdr:cNvSpPr txBox="1">
          <a:spLocks noChangeArrowheads="1"/>
        </xdr:cNvSpPr>
      </xdr:nvSpPr>
      <xdr:spPr bwMode="auto">
        <a:xfrm>
          <a:off x="4038600" y="16681450"/>
          <a:ext cx="1270000" cy="374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94</xdr:row>
      <xdr:rowOff>32538</xdr:rowOff>
    </xdr:from>
    <xdr:to>
      <xdr:col>5</xdr:col>
      <xdr:colOff>609600</xdr:colOff>
      <xdr:row>98</xdr:row>
      <xdr:rowOff>118795</xdr:rowOff>
    </xdr:to>
    <xdr:sp macro="" textlink="">
      <xdr:nvSpPr>
        <xdr:cNvPr id="258258" name="Text Box 210" hidden="1">
          <a:extLst>
            <a:ext uri="{FF2B5EF4-FFF2-40B4-BE49-F238E27FC236}">
              <a16:creationId xmlns:a16="http://schemas.microsoft.com/office/drawing/2014/main" id="{CAB0220F-503E-4F53-B9B1-2AEA7D20AE6D}"/>
            </a:ext>
          </a:extLst>
        </xdr:cNvPr>
        <xdr:cNvSpPr txBox="1">
          <a:spLocks noChangeArrowheads="1"/>
        </xdr:cNvSpPr>
      </xdr:nvSpPr>
      <xdr:spPr bwMode="auto">
        <a:xfrm>
          <a:off x="4038600" y="1979295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95</xdr:row>
      <xdr:rowOff>33285</xdr:rowOff>
    </xdr:from>
    <xdr:to>
      <xdr:col>5</xdr:col>
      <xdr:colOff>609600</xdr:colOff>
      <xdr:row>99</xdr:row>
      <xdr:rowOff>127144</xdr:rowOff>
    </xdr:to>
    <xdr:sp macro="" textlink="">
      <xdr:nvSpPr>
        <xdr:cNvPr id="258257" name="Text Box 209" hidden="1">
          <a:extLst>
            <a:ext uri="{FF2B5EF4-FFF2-40B4-BE49-F238E27FC236}">
              <a16:creationId xmlns:a16="http://schemas.microsoft.com/office/drawing/2014/main" id="{FF6E717C-A290-4A1B-A7C0-DACE87AF71D3}"/>
            </a:ext>
          </a:extLst>
        </xdr:cNvPr>
        <xdr:cNvSpPr txBox="1">
          <a:spLocks noChangeArrowheads="1"/>
        </xdr:cNvSpPr>
      </xdr:nvSpPr>
      <xdr:spPr bwMode="auto">
        <a:xfrm>
          <a:off x="4038600" y="1997710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96</xdr:row>
      <xdr:rowOff>52998</xdr:rowOff>
    </xdr:from>
    <xdr:to>
      <xdr:col>5</xdr:col>
      <xdr:colOff>609600</xdr:colOff>
      <xdr:row>100</xdr:row>
      <xdr:rowOff>90375</xdr:rowOff>
    </xdr:to>
    <xdr:sp macro="" textlink="">
      <xdr:nvSpPr>
        <xdr:cNvPr id="258256" name="Text Box 208" hidden="1">
          <a:extLst>
            <a:ext uri="{FF2B5EF4-FFF2-40B4-BE49-F238E27FC236}">
              <a16:creationId xmlns:a16="http://schemas.microsoft.com/office/drawing/2014/main" id="{1A8BEE06-B210-4135-9CC9-DA455B18F1E1}"/>
            </a:ext>
          </a:extLst>
        </xdr:cNvPr>
        <xdr:cNvSpPr txBox="1">
          <a:spLocks noChangeArrowheads="1"/>
        </xdr:cNvSpPr>
      </xdr:nvSpPr>
      <xdr:spPr bwMode="auto">
        <a:xfrm>
          <a:off x="4038600" y="2016125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97</xdr:row>
      <xdr:rowOff>33878</xdr:rowOff>
    </xdr:from>
    <xdr:to>
      <xdr:col>5</xdr:col>
      <xdr:colOff>609600</xdr:colOff>
      <xdr:row>101</xdr:row>
      <xdr:rowOff>62642</xdr:rowOff>
    </xdr:to>
    <xdr:sp macro="" textlink="">
      <xdr:nvSpPr>
        <xdr:cNvPr id="258255" name="Text Box 207" hidden="1">
          <a:extLst>
            <a:ext uri="{FF2B5EF4-FFF2-40B4-BE49-F238E27FC236}">
              <a16:creationId xmlns:a16="http://schemas.microsoft.com/office/drawing/2014/main" id="{953A1E13-DDAF-44FB-888D-DDF74B951FB1}"/>
            </a:ext>
          </a:extLst>
        </xdr:cNvPr>
        <xdr:cNvSpPr txBox="1">
          <a:spLocks noChangeArrowheads="1"/>
        </xdr:cNvSpPr>
      </xdr:nvSpPr>
      <xdr:spPr bwMode="auto">
        <a:xfrm>
          <a:off x="4038600" y="2034540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121</xdr:row>
      <xdr:rowOff>49976</xdr:rowOff>
    </xdr:from>
    <xdr:to>
      <xdr:col>5</xdr:col>
      <xdr:colOff>609600</xdr:colOff>
      <xdr:row>121</xdr:row>
      <xdr:rowOff>55172</xdr:rowOff>
    </xdr:to>
    <xdr:sp macro="" textlink="">
      <xdr:nvSpPr>
        <xdr:cNvPr id="258254" name="Text Box 206" hidden="1">
          <a:extLst>
            <a:ext uri="{FF2B5EF4-FFF2-40B4-BE49-F238E27FC236}">
              <a16:creationId xmlns:a16="http://schemas.microsoft.com/office/drawing/2014/main" id="{D9DE189E-66BD-4688-ADDB-7CB148EACC8D}"/>
            </a:ext>
          </a:extLst>
        </xdr:cNvPr>
        <xdr:cNvSpPr txBox="1">
          <a:spLocks noChangeArrowheads="1"/>
        </xdr:cNvSpPr>
      </xdr:nvSpPr>
      <xdr:spPr bwMode="auto">
        <a:xfrm>
          <a:off x="4038600" y="25107900"/>
          <a:ext cx="1270000" cy="3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121</xdr:row>
      <xdr:rowOff>169054</xdr:rowOff>
    </xdr:from>
    <xdr:to>
      <xdr:col>5</xdr:col>
      <xdr:colOff>609600</xdr:colOff>
      <xdr:row>185</xdr:row>
      <xdr:rowOff>204254</xdr:rowOff>
    </xdr:to>
    <xdr:sp macro="" textlink="">
      <xdr:nvSpPr>
        <xdr:cNvPr id="258253" name="Text Box 205" hidden="1">
          <a:extLst>
            <a:ext uri="{FF2B5EF4-FFF2-40B4-BE49-F238E27FC236}">
              <a16:creationId xmlns:a16="http://schemas.microsoft.com/office/drawing/2014/main" id="{0D6A1F8B-E12A-4E13-9D60-38E8A4055AE0}"/>
            </a:ext>
          </a:extLst>
        </xdr:cNvPr>
        <xdr:cNvSpPr txBox="1">
          <a:spLocks noChangeArrowheads="1"/>
        </xdr:cNvSpPr>
      </xdr:nvSpPr>
      <xdr:spPr bwMode="auto">
        <a:xfrm>
          <a:off x="4038600" y="25292050"/>
          <a:ext cx="1270000" cy="431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121</xdr:row>
      <xdr:rowOff>169054</xdr:rowOff>
    </xdr:from>
    <xdr:to>
      <xdr:col>5</xdr:col>
      <xdr:colOff>609600</xdr:colOff>
      <xdr:row>184</xdr:row>
      <xdr:rowOff>275829</xdr:rowOff>
    </xdr:to>
    <xdr:sp macro="" textlink="">
      <xdr:nvSpPr>
        <xdr:cNvPr id="258252" name="Text Box 204" hidden="1">
          <a:extLst>
            <a:ext uri="{FF2B5EF4-FFF2-40B4-BE49-F238E27FC236}">
              <a16:creationId xmlns:a16="http://schemas.microsoft.com/office/drawing/2014/main" id="{47895715-5CDB-4AB6-B154-137AD3D1B846}"/>
            </a:ext>
          </a:extLst>
        </xdr:cNvPr>
        <xdr:cNvSpPr txBox="1">
          <a:spLocks noChangeArrowheads="1"/>
        </xdr:cNvSpPr>
      </xdr:nvSpPr>
      <xdr:spPr bwMode="auto">
        <a:xfrm>
          <a:off x="4038600" y="25292050"/>
          <a:ext cx="1270000" cy="4051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91</xdr:row>
      <xdr:rowOff>102906</xdr:rowOff>
    </xdr:from>
    <xdr:to>
      <xdr:col>6</xdr:col>
      <xdr:colOff>57150</xdr:colOff>
      <xdr:row>105</xdr:row>
      <xdr:rowOff>154516</xdr:rowOff>
    </xdr:to>
    <xdr:sp macro="" textlink="">
      <xdr:nvSpPr>
        <xdr:cNvPr id="258277" name="Text Box 229" hidden="1">
          <a:extLst>
            <a:ext uri="{FF2B5EF4-FFF2-40B4-BE49-F238E27FC236}">
              <a16:creationId xmlns:a16="http://schemas.microsoft.com/office/drawing/2014/main" id="{95CC9B08-4CA0-4E0E-B9E6-6DFE2B2DB9FD}"/>
            </a:ext>
          </a:extLst>
        </xdr:cNvPr>
        <xdr:cNvSpPr txBox="1">
          <a:spLocks noChangeArrowheads="1"/>
        </xdr:cNvSpPr>
      </xdr:nvSpPr>
      <xdr:spPr bwMode="auto">
        <a:xfrm>
          <a:off x="4070350" y="19392900"/>
          <a:ext cx="1447800" cy="2654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48</xdr:row>
      <xdr:rowOff>17730</xdr:rowOff>
    </xdr:from>
    <xdr:to>
      <xdr:col>5</xdr:col>
      <xdr:colOff>628650</xdr:colOff>
      <xdr:row>64</xdr:row>
      <xdr:rowOff>35027</xdr:rowOff>
    </xdr:to>
    <xdr:sp macro="" textlink="">
      <xdr:nvSpPr>
        <xdr:cNvPr id="258276" name="Text Box 228" hidden="1">
          <a:extLst>
            <a:ext uri="{FF2B5EF4-FFF2-40B4-BE49-F238E27FC236}">
              <a16:creationId xmlns:a16="http://schemas.microsoft.com/office/drawing/2014/main" id="{2CC8BC3A-3946-4F48-B15C-DA927D74508B}"/>
            </a:ext>
          </a:extLst>
        </xdr:cNvPr>
        <xdr:cNvSpPr txBox="1">
          <a:spLocks noChangeArrowheads="1"/>
        </xdr:cNvSpPr>
      </xdr:nvSpPr>
      <xdr:spPr bwMode="auto">
        <a:xfrm>
          <a:off x="4051300" y="10109200"/>
          <a:ext cx="1276350" cy="309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48</xdr:row>
      <xdr:rowOff>93930</xdr:rowOff>
    </xdr:from>
    <xdr:to>
      <xdr:col>5</xdr:col>
      <xdr:colOff>628650</xdr:colOff>
      <xdr:row>64</xdr:row>
      <xdr:rowOff>34675</xdr:rowOff>
    </xdr:to>
    <xdr:sp macro="" textlink="">
      <xdr:nvSpPr>
        <xdr:cNvPr id="258275" name="Text Box 227" hidden="1">
          <a:extLst>
            <a:ext uri="{FF2B5EF4-FFF2-40B4-BE49-F238E27FC236}">
              <a16:creationId xmlns:a16="http://schemas.microsoft.com/office/drawing/2014/main" id="{5DA4C422-0C43-4D25-97F6-DAE615713B9A}"/>
            </a:ext>
          </a:extLst>
        </xdr:cNvPr>
        <xdr:cNvSpPr txBox="1">
          <a:spLocks noChangeArrowheads="1"/>
        </xdr:cNvSpPr>
      </xdr:nvSpPr>
      <xdr:spPr bwMode="auto">
        <a:xfrm>
          <a:off x="4051300" y="10185400"/>
          <a:ext cx="1276350" cy="299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54</xdr:row>
      <xdr:rowOff>11886</xdr:rowOff>
    </xdr:from>
    <xdr:to>
      <xdr:col>5</xdr:col>
      <xdr:colOff>628650</xdr:colOff>
      <xdr:row>57</xdr:row>
      <xdr:rowOff>84095</xdr:rowOff>
    </xdr:to>
    <xdr:sp macro="" textlink="">
      <xdr:nvSpPr>
        <xdr:cNvPr id="258274" name="Text Box 226" hidden="1">
          <a:extLst>
            <a:ext uri="{FF2B5EF4-FFF2-40B4-BE49-F238E27FC236}">
              <a16:creationId xmlns:a16="http://schemas.microsoft.com/office/drawing/2014/main" id="{3A31F99C-A06C-43EB-AFB4-C282301D81A7}"/>
            </a:ext>
          </a:extLst>
        </xdr:cNvPr>
        <xdr:cNvSpPr txBox="1">
          <a:spLocks noChangeArrowheads="1"/>
        </xdr:cNvSpPr>
      </xdr:nvSpPr>
      <xdr:spPr bwMode="auto">
        <a:xfrm>
          <a:off x="4051300" y="11156950"/>
          <a:ext cx="12763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55</xdr:row>
      <xdr:rowOff>41781</xdr:rowOff>
    </xdr:from>
    <xdr:to>
      <xdr:col>5</xdr:col>
      <xdr:colOff>628650</xdr:colOff>
      <xdr:row>56</xdr:row>
      <xdr:rowOff>139577</xdr:rowOff>
    </xdr:to>
    <xdr:sp macro="" textlink="">
      <xdr:nvSpPr>
        <xdr:cNvPr id="258273" name="Text Box 225" hidden="1">
          <a:extLst>
            <a:ext uri="{FF2B5EF4-FFF2-40B4-BE49-F238E27FC236}">
              <a16:creationId xmlns:a16="http://schemas.microsoft.com/office/drawing/2014/main" id="{381C53F8-AFF3-45DB-8997-9B396D226184}"/>
            </a:ext>
          </a:extLst>
        </xdr:cNvPr>
        <xdr:cNvSpPr txBox="1">
          <a:spLocks noChangeArrowheads="1"/>
        </xdr:cNvSpPr>
      </xdr:nvSpPr>
      <xdr:spPr bwMode="auto">
        <a:xfrm>
          <a:off x="4051300" y="11366500"/>
          <a:ext cx="1276350" cy="431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59</xdr:row>
      <xdr:rowOff>126071</xdr:rowOff>
    </xdr:from>
    <xdr:to>
      <xdr:col>5</xdr:col>
      <xdr:colOff>609600</xdr:colOff>
      <xdr:row>61</xdr:row>
      <xdr:rowOff>166871</xdr:rowOff>
    </xdr:to>
    <xdr:sp macro="" textlink="">
      <xdr:nvSpPr>
        <xdr:cNvPr id="258272" name="Text Box 224" hidden="1">
          <a:extLst>
            <a:ext uri="{FF2B5EF4-FFF2-40B4-BE49-F238E27FC236}">
              <a16:creationId xmlns:a16="http://schemas.microsoft.com/office/drawing/2014/main" id="{32988064-F72C-4D53-839B-755EB0FA4F96}"/>
            </a:ext>
          </a:extLst>
        </xdr:cNvPr>
        <xdr:cNvSpPr txBox="1">
          <a:spLocks noChangeArrowheads="1"/>
        </xdr:cNvSpPr>
      </xdr:nvSpPr>
      <xdr:spPr bwMode="auto">
        <a:xfrm>
          <a:off x="4032250" y="12369800"/>
          <a:ext cx="1276350" cy="374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74</xdr:row>
      <xdr:rowOff>109828</xdr:rowOff>
    </xdr:from>
    <xdr:to>
      <xdr:col>5</xdr:col>
      <xdr:colOff>609600</xdr:colOff>
      <xdr:row>76</xdr:row>
      <xdr:rowOff>165332</xdr:rowOff>
    </xdr:to>
    <xdr:sp macro="" textlink="">
      <xdr:nvSpPr>
        <xdr:cNvPr id="258271" name="Text Box 223" hidden="1">
          <a:extLst>
            <a:ext uri="{FF2B5EF4-FFF2-40B4-BE49-F238E27FC236}">
              <a16:creationId xmlns:a16="http://schemas.microsoft.com/office/drawing/2014/main" id="{347C8171-92B9-4E95-8014-074746C475D5}"/>
            </a:ext>
          </a:extLst>
        </xdr:cNvPr>
        <xdr:cNvSpPr txBox="1">
          <a:spLocks noChangeArrowheads="1"/>
        </xdr:cNvSpPr>
      </xdr:nvSpPr>
      <xdr:spPr bwMode="auto">
        <a:xfrm>
          <a:off x="4032250" y="1549400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74</xdr:row>
      <xdr:rowOff>281280</xdr:rowOff>
    </xdr:from>
    <xdr:to>
      <xdr:col>5</xdr:col>
      <xdr:colOff>609600</xdr:colOff>
      <xdr:row>77</xdr:row>
      <xdr:rowOff>139935</xdr:rowOff>
    </xdr:to>
    <xdr:sp macro="" textlink="">
      <xdr:nvSpPr>
        <xdr:cNvPr id="258270" name="Text Box 222" hidden="1">
          <a:extLst>
            <a:ext uri="{FF2B5EF4-FFF2-40B4-BE49-F238E27FC236}">
              <a16:creationId xmlns:a16="http://schemas.microsoft.com/office/drawing/2014/main" id="{AD6A47B9-BC84-4B1C-9739-D29295C0ECBB}"/>
            </a:ext>
          </a:extLst>
        </xdr:cNvPr>
        <xdr:cNvSpPr txBox="1">
          <a:spLocks noChangeArrowheads="1"/>
        </xdr:cNvSpPr>
      </xdr:nvSpPr>
      <xdr:spPr bwMode="auto">
        <a:xfrm>
          <a:off x="4032250" y="1567815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75</xdr:row>
      <xdr:rowOff>65378</xdr:rowOff>
    </xdr:from>
    <xdr:to>
      <xdr:col>5</xdr:col>
      <xdr:colOff>609600</xdr:colOff>
      <xdr:row>78</xdr:row>
      <xdr:rowOff>139933</xdr:rowOff>
    </xdr:to>
    <xdr:sp macro="" textlink="">
      <xdr:nvSpPr>
        <xdr:cNvPr id="258269" name="Text Box 221" hidden="1">
          <a:extLst>
            <a:ext uri="{FF2B5EF4-FFF2-40B4-BE49-F238E27FC236}">
              <a16:creationId xmlns:a16="http://schemas.microsoft.com/office/drawing/2014/main" id="{D02085ED-1FBB-41D5-B678-7EB79F720B80}"/>
            </a:ext>
          </a:extLst>
        </xdr:cNvPr>
        <xdr:cNvSpPr txBox="1">
          <a:spLocks noChangeArrowheads="1"/>
        </xdr:cNvSpPr>
      </xdr:nvSpPr>
      <xdr:spPr bwMode="auto">
        <a:xfrm>
          <a:off x="4032250" y="1586230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75</xdr:row>
      <xdr:rowOff>243180</xdr:rowOff>
    </xdr:from>
    <xdr:to>
      <xdr:col>5</xdr:col>
      <xdr:colOff>609600</xdr:colOff>
      <xdr:row>79</xdr:row>
      <xdr:rowOff>139934</xdr:rowOff>
    </xdr:to>
    <xdr:sp macro="" textlink="">
      <xdr:nvSpPr>
        <xdr:cNvPr id="258268" name="Text Box 220" hidden="1">
          <a:extLst>
            <a:ext uri="{FF2B5EF4-FFF2-40B4-BE49-F238E27FC236}">
              <a16:creationId xmlns:a16="http://schemas.microsoft.com/office/drawing/2014/main" id="{30FEB94E-615E-4F21-AD75-CEC1B7A11FAA}"/>
            </a:ext>
          </a:extLst>
        </xdr:cNvPr>
        <xdr:cNvSpPr txBox="1">
          <a:spLocks noChangeArrowheads="1"/>
        </xdr:cNvSpPr>
      </xdr:nvSpPr>
      <xdr:spPr bwMode="auto">
        <a:xfrm>
          <a:off x="4032250" y="1604645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100</xdr:row>
      <xdr:rowOff>147310</xdr:rowOff>
    </xdr:from>
    <xdr:to>
      <xdr:col>5</xdr:col>
      <xdr:colOff>609600</xdr:colOff>
      <xdr:row>101</xdr:row>
      <xdr:rowOff>23212</xdr:rowOff>
    </xdr:to>
    <xdr:sp macro="" textlink="">
      <xdr:nvSpPr>
        <xdr:cNvPr id="258267" name="Text Box 219" hidden="1">
          <a:extLst>
            <a:ext uri="{FF2B5EF4-FFF2-40B4-BE49-F238E27FC236}">
              <a16:creationId xmlns:a16="http://schemas.microsoft.com/office/drawing/2014/main" id="{55D99C49-01EF-4BCD-AA72-045FA10CBAF5}"/>
            </a:ext>
          </a:extLst>
        </xdr:cNvPr>
        <xdr:cNvSpPr txBox="1">
          <a:spLocks noChangeArrowheads="1"/>
        </xdr:cNvSpPr>
      </xdr:nvSpPr>
      <xdr:spPr bwMode="auto">
        <a:xfrm>
          <a:off x="4032250" y="210502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101</xdr:row>
      <xdr:rowOff>119769</xdr:rowOff>
    </xdr:from>
    <xdr:to>
      <xdr:col>5</xdr:col>
      <xdr:colOff>609600</xdr:colOff>
      <xdr:row>123</xdr:row>
      <xdr:rowOff>63991</xdr:rowOff>
    </xdr:to>
    <xdr:sp macro="" textlink="">
      <xdr:nvSpPr>
        <xdr:cNvPr id="258266" name="Text Box 218" hidden="1">
          <a:extLst>
            <a:ext uri="{FF2B5EF4-FFF2-40B4-BE49-F238E27FC236}">
              <a16:creationId xmlns:a16="http://schemas.microsoft.com/office/drawing/2014/main" id="{7FE7C95E-9F89-47B6-BA2C-B7A3EA64D893}"/>
            </a:ext>
          </a:extLst>
        </xdr:cNvPr>
        <xdr:cNvSpPr txBox="1">
          <a:spLocks noChangeArrowheads="1"/>
        </xdr:cNvSpPr>
      </xdr:nvSpPr>
      <xdr:spPr bwMode="auto">
        <a:xfrm>
          <a:off x="4032250" y="21234400"/>
          <a:ext cx="1276350" cy="432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101</xdr:row>
      <xdr:rowOff>119769</xdr:rowOff>
    </xdr:from>
    <xdr:to>
      <xdr:col>5</xdr:col>
      <xdr:colOff>609600</xdr:colOff>
      <xdr:row>121</xdr:row>
      <xdr:rowOff>175797</xdr:rowOff>
    </xdr:to>
    <xdr:sp macro="" textlink="">
      <xdr:nvSpPr>
        <xdr:cNvPr id="258265" name="Text Box 217" hidden="1">
          <a:extLst>
            <a:ext uri="{FF2B5EF4-FFF2-40B4-BE49-F238E27FC236}">
              <a16:creationId xmlns:a16="http://schemas.microsoft.com/office/drawing/2014/main" id="{5EF53326-2A30-46EC-9F7B-B44361B63BE2}"/>
            </a:ext>
          </a:extLst>
        </xdr:cNvPr>
        <xdr:cNvSpPr txBox="1">
          <a:spLocks noChangeArrowheads="1"/>
        </xdr:cNvSpPr>
      </xdr:nvSpPr>
      <xdr:spPr bwMode="auto">
        <a:xfrm>
          <a:off x="4032250" y="21234400"/>
          <a:ext cx="1276350" cy="4051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89</xdr:row>
      <xdr:rowOff>7885</xdr:rowOff>
    </xdr:from>
    <xdr:to>
      <xdr:col>6</xdr:col>
      <xdr:colOff>38100</xdr:colOff>
      <xdr:row>97</xdr:row>
      <xdr:rowOff>127380</xdr:rowOff>
    </xdr:to>
    <xdr:sp macro="" textlink="">
      <xdr:nvSpPr>
        <xdr:cNvPr id="258290" name="Text Box 242" hidden="1">
          <a:extLst>
            <a:ext uri="{FF2B5EF4-FFF2-40B4-BE49-F238E27FC236}">
              <a16:creationId xmlns:a16="http://schemas.microsoft.com/office/drawing/2014/main" id="{181F0DB9-F518-4F2B-930B-022E067A88A8}"/>
            </a:ext>
          </a:extLst>
        </xdr:cNvPr>
        <xdr:cNvSpPr txBox="1">
          <a:spLocks noChangeArrowheads="1"/>
        </xdr:cNvSpPr>
      </xdr:nvSpPr>
      <xdr:spPr bwMode="auto">
        <a:xfrm>
          <a:off x="4046220" y="18615660"/>
          <a:ext cx="144780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62</xdr:row>
      <xdr:rowOff>148642</xdr:rowOff>
    </xdr:to>
    <xdr:sp macro="" textlink="">
      <xdr:nvSpPr>
        <xdr:cNvPr id="258289" name="Text Box 241" hidden="1">
          <a:extLst>
            <a:ext uri="{FF2B5EF4-FFF2-40B4-BE49-F238E27FC236}">
              <a16:creationId xmlns:a16="http://schemas.microsoft.com/office/drawing/2014/main" id="{67079520-CC4E-4838-B7D6-08EF82026BED}"/>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62</xdr:row>
      <xdr:rowOff>148642</xdr:rowOff>
    </xdr:to>
    <xdr:sp macro="" textlink="">
      <xdr:nvSpPr>
        <xdr:cNvPr id="258288" name="Text Box 240" hidden="1">
          <a:extLst>
            <a:ext uri="{FF2B5EF4-FFF2-40B4-BE49-F238E27FC236}">
              <a16:creationId xmlns:a16="http://schemas.microsoft.com/office/drawing/2014/main" id="{43FDC40D-2D6F-4CB9-A386-16419CF73DD3}"/>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111921</xdr:rowOff>
    </xdr:from>
    <xdr:to>
      <xdr:col>5</xdr:col>
      <xdr:colOff>609600</xdr:colOff>
      <xdr:row>54</xdr:row>
      <xdr:rowOff>66567</xdr:rowOff>
    </xdr:to>
    <xdr:sp macro="" textlink="">
      <xdr:nvSpPr>
        <xdr:cNvPr id="258287" name="Text Box 239" hidden="1">
          <a:extLst>
            <a:ext uri="{FF2B5EF4-FFF2-40B4-BE49-F238E27FC236}">
              <a16:creationId xmlns:a16="http://schemas.microsoft.com/office/drawing/2014/main" id="{007FB241-44BD-48F3-A96E-4FD65754782D}"/>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80430</xdr:rowOff>
    </xdr:from>
    <xdr:to>
      <xdr:col>5</xdr:col>
      <xdr:colOff>609600</xdr:colOff>
      <xdr:row>54</xdr:row>
      <xdr:rowOff>27832</xdr:rowOff>
    </xdr:to>
    <xdr:sp macro="" textlink="">
      <xdr:nvSpPr>
        <xdr:cNvPr id="258286" name="Text Box 238" hidden="1">
          <a:extLst>
            <a:ext uri="{FF2B5EF4-FFF2-40B4-BE49-F238E27FC236}">
              <a16:creationId xmlns:a16="http://schemas.microsoft.com/office/drawing/2014/main" id="{7F328CD4-240B-48E8-8F9A-BD377D6CE763}"/>
            </a:ext>
          </a:extLst>
        </xdr:cNvPr>
        <xdr:cNvSpPr txBox="1">
          <a:spLocks noChangeArrowheads="1"/>
        </xdr:cNvSpPr>
      </xdr:nvSpPr>
      <xdr:spPr bwMode="auto">
        <a:xfrm>
          <a:off x="4008120" y="10279380"/>
          <a:ext cx="126492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89007</xdr:rowOff>
    </xdr:from>
    <xdr:to>
      <xdr:col>5</xdr:col>
      <xdr:colOff>609600</xdr:colOff>
      <xdr:row>58</xdr:row>
      <xdr:rowOff>36444</xdr:rowOff>
    </xdr:to>
    <xdr:sp macro="" textlink="">
      <xdr:nvSpPr>
        <xdr:cNvPr id="258285" name="Text Box 237" hidden="1">
          <a:extLst>
            <a:ext uri="{FF2B5EF4-FFF2-40B4-BE49-F238E27FC236}">
              <a16:creationId xmlns:a16="http://schemas.microsoft.com/office/drawing/2014/main" id="{5DFCAA6C-AD22-439E-9E84-3C9ED313574D}"/>
            </a:ext>
          </a:extLst>
        </xdr:cNvPr>
        <xdr:cNvSpPr txBox="1">
          <a:spLocks noChangeArrowheads="1"/>
        </xdr:cNvSpPr>
      </xdr:nvSpPr>
      <xdr:spPr bwMode="auto">
        <a:xfrm>
          <a:off x="4008120" y="11353800"/>
          <a:ext cx="126492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72561</xdr:rowOff>
    </xdr:from>
    <xdr:to>
      <xdr:col>5</xdr:col>
      <xdr:colOff>609600</xdr:colOff>
      <xdr:row>73</xdr:row>
      <xdr:rowOff>442595</xdr:rowOff>
    </xdr:to>
    <xdr:sp macro="" textlink="">
      <xdr:nvSpPr>
        <xdr:cNvPr id="258284" name="Text Box 236" hidden="1">
          <a:extLst>
            <a:ext uri="{FF2B5EF4-FFF2-40B4-BE49-F238E27FC236}">
              <a16:creationId xmlns:a16="http://schemas.microsoft.com/office/drawing/2014/main" id="{7A3924CB-4217-443E-A6EB-B94863B8803A}"/>
            </a:ext>
          </a:extLst>
        </xdr:cNvPr>
        <xdr:cNvSpPr txBox="1">
          <a:spLocks noChangeArrowheads="1"/>
        </xdr:cNvSpPr>
      </xdr:nvSpPr>
      <xdr:spPr bwMode="auto">
        <a:xfrm>
          <a:off x="4008120" y="13906500"/>
          <a:ext cx="1264920" cy="12877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94430</xdr:rowOff>
    </xdr:from>
    <xdr:to>
      <xdr:col>5</xdr:col>
      <xdr:colOff>609600</xdr:colOff>
      <xdr:row>75</xdr:row>
      <xdr:rowOff>65590</xdr:rowOff>
    </xdr:to>
    <xdr:sp macro="" textlink="">
      <xdr:nvSpPr>
        <xdr:cNvPr id="258283" name="Text Box 235" hidden="1">
          <a:extLst>
            <a:ext uri="{FF2B5EF4-FFF2-40B4-BE49-F238E27FC236}">
              <a16:creationId xmlns:a16="http://schemas.microsoft.com/office/drawing/2014/main" id="{00BD35A4-AC98-4DD0-897B-1EB83262B45F}"/>
            </a:ext>
          </a:extLst>
        </xdr:cNvPr>
        <xdr:cNvSpPr txBox="1">
          <a:spLocks noChangeArrowheads="1"/>
        </xdr:cNvSpPr>
      </xdr:nvSpPr>
      <xdr:spPr bwMode="auto">
        <a:xfrm>
          <a:off x="4008120" y="14089380"/>
          <a:ext cx="1264920" cy="1691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70</xdr:row>
      <xdr:rowOff>102921</xdr:rowOff>
    </xdr:from>
    <xdr:to>
      <xdr:col>5</xdr:col>
      <xdr:colOff>609600</xdr:colOff>
      <xdr:row>75</xdr:row>
      <xdr:rowOff>296097</xdr:rowOff>
    </xdr:to>
    <xdr:sp macro="" textlink="">
      <xdr:nvSpPr>
        <xdr:cNvPr id="258282" name="Text Box 234" hidden="1">
          <a:extLst>
            <a:ext uri="{FF2B5EF4-FFF2-40B4-BE49-F238E27FC236}">
              <a16:creationId xmlns:a16="http://schemas.microsoft.com/office/drawing/2014/main" id="{87507C18-A2E7-41FB-ABA6-AF7247725E06}"/>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71</xdr:row>
      <xdr:rowOff>116656</xdr:rowOff>
    </xdr:from>
    <xdr:to>
      <xdr:col>5</xdr:col>
      <xdr:colOff>609600</xdr:colOff>
      <xdr:row>75</xdr:row>
      <xdr:rowOff>296097</xdr:rowOff>
    </xdr:to>
    <xdr:sp macro="" textlink="">
      <xdr:nvSpPr>
        <xdr:cNvPr id="258281" name="Text Box 233" hidden="1">
          <a:extLst>
            <a:ext uri="{FF2B5EF4-FFF2-40B4-BE49-F238E27FC236}">
              <a16:creationId xmlns:a16="http://schemas.microsoft.com/office/drawing/2014/main" id="{705D0224-AAEA-4627-ADE8-8BAC07CCDD58}"/>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89564</xdr:rowOff>
    </xdr:from>
    <xdr:to>
      <xdr:col>5</xdr:col>
      <xdr:colOff>609600</xdr:colOff>
      <xdr:row>95</xdr:row>
      <xdr:rowOff>165668</xdr:rowOff>
    </xdr:to>
    <xdr:sp macro="" textlink="">
      <xdr:nvSpPr>
        <xdr:cNvPr id="258280" name="Text Box 232" hidden="1">
          <a:extLst>
            <a:ext uri="{FF2B5EF4-FFF2-40B4-BE49-F238E27FC236}">
              <a16:creationId xmlns:a16="http://schemas.microsoft.com/office/drawing/2014/main" id="{8035AB5B-D755-4F9B-992C-CCFA8107C08D}"/>
            </a:ext>
          </a:extLst>
        </xdr:cNvPr>
        <xdr:cNvSpPr txBox="1">
          <a:spLocks noChangeArrowheads="1"/>
        </xdr:cNvSpPr>
      </xdr:nvSpPr>
      <xdr:spPr bwMode="auto">
        <a:xfrm>
          <a:off x="4008120" y="1994154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96</xdr:row>
      <xdr:rowOff>128721</xdr:rowOff>
    </xdr:from>
    <xdr:to>
      <xdr:col>5</xdr:col>
      <xdr:colOff>609600</xdr:colOff>
      <xdr:row>122</xdr:row>
      <xdr:rowOff>142638</xdr:rowOff>
    </xdr:to>
    <xdr:sp macro="" textlink="">
      <xdr:nvSpPr>
        <xdr:cNvPr id="258279" name="Text Box 231" hidden="1">
          <a:extLst>
            <a:ext uri="{FF2B5EF4-FFF2-40B4-BE49-F238E27FC236}">
              <a16:creationId xmlns:a16="http://schemas.microsoft.com/office/drawing/2014/main" id="{0852D8D1-94A3-4624-921F-8E6550264C1E}"/>
            </a:ext>
          </a:extLst>
        </xdr:cNvPr>
        <xdr:cNvSpPr txBox="1">
          <a:spLocks noChangeArrowheads="1"/>
        </xdr:cNvSpPr>
      </xdr:nvSpPr>
      <xdr:spPr bwMode="auto">
        <a:xfrm>
          <a:off x="4008120" y="20124420"/>
          <a:ext cx="1264920" cy="5135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96</xdr:row>
      <xdr:rowOff>128721</xdr:rowOff>
    </xdr:from>
    <xdr:to>
      <xdr:col>5</xdr:col>
      <xdr:colOff>609600</xdr:colOff>
      <xdr:row>122</xdr:row>
      <xdr:rowOff>142638</xdr:rowOff>
    </xdr:to>
    <xdr:sp macro="" textlink="">
      <xdr:nvSpPr>
        <xdr:cNvPr id="258278" name="Text Box 230" hidden="1">
          <a:extLst>
            <a:ext uri="{FF2B5EF4-FFF2-40B4-BE49-F238E27FC236}">
              <a16:creationId xmlns:a16="http://schemas.microsoft.com/office/drawing/2014/main" id="{570898CE-6FCF-4E1D-B85E-661268993C1F}"/>
            </a:ext>
          </a:extLst>
        </xdr:cNvPr>
        <xdr:cNvSpPr txBox="1">
          <a:spLocks noChangeArrowheads="1"/>
        </xdr:cNvSpPr>
      </xdr:nvSpPr>
      <xdr:spPr bwMode="auto">
        <a:xfrm>
          <a:off x="4008120" y="20124420"/>
          <a:ext cx="1264920" cy="5135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295" name="Text Box 247" hidden="1">
          <a:extLst>
            <a:ext uri="{FF2B5EF4-FFF2-40B4-BE49-F238E27FC236}">
              <a16:creationId xmlns:a16="http://schemas.microsoft.com/office/drawing/2014/main" id="{5EC1E6D8-AC98-4F11-AC1D-87A73FFC9979}"/>
            </a:ext>
          </a:extLst>
        </xdr:cNvPr>
        <xdr:cNvSpPr txBox="1">
          <a:spLocks noChangeArrowheads="1"/>
        </xdr:cNvSpPr>
      </xdr:nvSpPr>
      <xdr:spPr bwMode="auto">
        <a:xfrm>
          <a:off x="15339060" y="2095500"/>
          <a:ext cx="1318260" cy="7696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89</xdr:row>
      <xdr:rowOff>7885</xdr:rowOff>
    </xdr:from>
    <xdr:to>
      <xdr:col>6</xdr:col>
      <xdr:colOff>38100</xdr:colOff>
      <xdr:row>97</xdr:row>
      <xdr:rowOff>127380</xdr:rowOff>
    </xdr:to>
    <xdr:sp macro="" textlink="">
      <xdr:nvSpPr>
        <xdr:cNvPr id="258309" name="Text Box 261" hidden="1">
          <a:extLst>
            <a:ext uri="{FF2B5EF4-FFF2-40B4-BE49-F238E27FC236}">
              <a16:creationId xmlns:a16="http://schemas.microsoft.com/office/drawing/2014/main" id="{80071E85-31BB-4362-A482-9DD8DB44131A}"/>
            </a:ext>
          </a:extLst>
        </xdr:cNvPr>
        <xdr:cNvSpPr txBox="1">
          <a:spLocks noChangeArrowheads="1"/>
        </xdr:cNvSpPr>
      </xdr:nvSpPr>
      <xdr:spPr bwMode="auto">
        <a:xfrm>
          <a:off x="4070350" y="18726150"/>
          <a:ext cx="1428750" cy="172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62</xdr:row>
      <xdr:rowOff>148642</xdr:rowOff>
    </xdr:to>
    <xdr:sp macro="" textlink="">
      <xdr:nvSpPr>
        <xdr:cNvPr id="258308" name="Text Box 260" hidden="1">
          <a:extLst>
            <a:ext uri="{FF2B5EF4-FFF2-40B4-BE49-F238E27FC236}">
              <a16:creationId xmlns:a16="http://schemas.microsoft.com/office/drawing/2014/main" id="{60E42B37-1680-4E29-A5FA-4D7ADF31C626}"/>
            </a:ext>
          </a:extLst>
        </xdr:cNvPr>
        <xdr:cNvSpPr txBox="1">
          <a:spLocks noChangeArrowheads="1"/>
        </xdr:cNvSpPr>
      </xdr:nvSpPr>
      <xdr:spPr bwMode="auto">
        <a:xfrm>
          <a:off x="4032250" y="9804400"/>
          <a:ext cx="1276350" cy="311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62</xdr:row>
      <xdr:rowOff>148642</xdr:rowOff>
    </xdr:to>
    <xdr:sp macro="" textlink="">
      <xdr:nvSpPr>
        <xdr:cNvPr id="258307" name="Text Box 259" hidden="1">
          <a:extLst>
            <a:ext uri="{FF2B5EF4-FFF2-40B4-BE49-F238E27FC236}">
              <a16:creationId xmlns:a16="http://schemas.microsoft.com/office/drawing/2014/main" id="{3A3452A1-4108-40A3-A5DA-AB3902CB68DD}"/>
            </a:ext>
          </a:extLst>
        </xdr:cNvPr>
        <xdr:cNvSpPr txBox="1">
          <a:spLocks noChangeArrowheads="1"/>
        </xdr:cNvSpPr>
      </xdr:nvSpPr>
      <xdr:spPr bwMode="auto">
        <a:xfrm>
          <a:off x="4032250" y="9804400"/>
          <a:ext cx="1276350" cy="311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111921</xdr:rowOff>
    </xdr:from>
    <xdr:to>
      <xdr:col>5</xdr:col>
      <xdr:colOff>609600</xdr:colOff>
      <xdr:row>54</xdr:row>
      <xdr:rowOff>66567</xdr:rowOff>
    </xdr:to>
    <xdr:sp macro="" textlink="">
      <xdr:nvSpPr>
        <xdr:cNvPr id="258306" name="Text Box 258" hidden="1">
          <a:extLst>
            <a:ext uri="{FF2B5EF4-FFF2-40B4-BE49-F238E27FC236}">
              <a16:creationId xmlns:a16="http://schemas.microsoft.com/office/drawing/2014/main" id="{A0B29146-A435-4123-ACF0-F7876446757F}"/>
            </a:ext>
          </a:extLst>
        </xdr:cNvPr>
        <xdr:cNvSpPr txBox="1">
          <a:spLocks noChangeArrowheads="1"/>
        </xdr:cNvSpPr>
      </xdr:nvSpPr>
      <xdr:spPr bwMode="auto">
        <a:xfrm>
          <a:off x="4032250" y="10191750"/>
          <a:ext cx="1276350" cy="1022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63285</xdr:rowOff>
    </xdr:from>
    <xdr:to>
      <xdr:col>5</xdr:col>
      <xdr:colOff>609600</xdr:colOff>
      <xdr:row>53</xdr:row>
      <xdr:rowOff>168167</xdr:rowOff>
    </xdr:to>
    <xdr:sp macro="" textlink="">
      <xdr:nvSpPr>
        <xdr:cNvPr id="258305" name="Text Box 257" hidden="1">
          <a:extLst>
            <a:ext uri="{FF2B5EF4-FFF2-40B4-BE49-F238E27FC236}">
              <a16:creationId xmlns:a16="http://schemas.microsoft.com/office/drawing/2014/main" id="{CA6C935D-630E-4AE4-9EE8-6A15C814E8EA}"/>
            </a:ext>
          </a:extLst>
        </xdr:cNvPr>
        <xdr:cNvSpPr txBox="1">
          <a:spLocks noChangeArrowheads="1"/>
        </xdr:cNvSpPr>
      </xdr:nvSpPr>
      <xdr:spPr bwMode="auto">
        <a:xfrm>
          <a:off x="4032250" y="10325100"/>
          <a:ext cx="12763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89007</xdr:rowOff>
    </xdr:from>
    <xdr:to>
      <xdr:col>5</xdr:col>
      <xdr:colOff>609600</xdr:colOff>
      <xdr:row>58</xdr:row>
      <xdr:rowOff>35174</xdr:rowOff>
    </xdr:to>
    <xdr:sp macro="" textlink="">
      <xdr:nvSpPr>
        <xdr:cNvPr id="258304" name="Text Box 256" hidden="1">
          <a:extLst>
            <a:ext uri="{FF2B5EF4-FFF2-40B4-BE49-F238E27FC236}">
              <a16:creationId xmlns:a16="http://schemas.microsoft.com/office/drawing/2014/main" id="{96670D16-1893-44E1-A242-D0AAAF70882E}"/>
            </a:ext>
          </a:extLst>
        </xdr:cNvPr>
        <xdr:cNvSpPr txBox="1">
          <a:spLocks noChangeArrowheads="1"/>
        </xdr:cNvSpPr>
      </xdr:nvSpPr>
      <xdr:spPr bwMode="auto">
        <a:xfrm>
          <a:off x="4032250" y="11423650"/>
          <a:ext cx="127635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72561</xdr:rowOff>
    </xdr:from>
    <xdr:to>
      <xdr:col>5</xdr:col>
      <xdr:colOff>609600</xdr:colOff>
      <xdr:row>73</xdr:row>
      <xdr:rowOff>444500</xdr:rowOff>
    </xdr:to>
    <xdr:sp macro="" textlink="">
      <xdr:nvSpPr>
        <xdr:cNvPr id="258303" name="Text Box 255" hidden="1">
          <a:extLst>
            <a:ext uri="{FF2B5EF4-FFF2-40B4-BE49-F238E27FC236}">
              <a16:creationId xmlns:a16="http://schemas.microsoft.com/office/drawing/2014/main" id="{D3517B08-808E-4F52-951B-4BD8469409FD}"/>
            </a:ext>
          </a:extLst>
        </xdr:cNvPr>
        <xdr:cNvSpPr txBox="1">
          <a:spLocks noChangeArrowheads="1"/>
        </xdr:cNvSpPr>
      </xdr:nvSpPr>
      <xdr:spPr bwMode="auto">
        <a:xfrm>
          <a:off x="4032250" y="13995400"/>
          <a:ext cx="1276350" cy="128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94430</xdr:rowOff>
    </xdr:from>
    <xdr:to>
      <xdr:col>5</xdr:col>
      <xdr:colOff>609600</xdr:colOff>
      <xdr:row>75</xdr:row>
      <xdr:rowOff>83370</xdr:rowOff>
    </xdr:to>
    <xdr:sp macro="" textlink="">
      <xdr:nvSpPr>
        <xdr:cNvPr id="258302" name="Text Box 254" hidden="1">
          <a:extLst>
            <a:ext uri="{FF2B5EF4-FFF2-40B4-BE49-F238E27FC236}">
              <a16:creationId xmlns:a16="http://schemas.microsoft.com/office/drawing/2014/main" id="{81A626F8-52C5-436F-BC99-8A0EFE87E056}"/>
            </a:ext>
          </a:extLst>
        </xdr:cNvPr>
        <xdr:cNvSpPr txBox="1">
          <a:spLocks noChangeArrowheads="1"/>
        </xdr:cNvSpPr>
      </xdr:nvSpPr>
      <xdr:spPr bwMode="auto">
        <a:xfrm>
          <a:off x="4032250" y="14179550"/>
          <a:ext cx="1276350" cy="169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70</xdr:row>
      <xdr:rowOff>102921</xdr:rowOff>
    </xdr:from>
    <xdr:to>
      <xdr:col>5</xdr:col>
      <xdr:colOff>609600</xdr:colOff>
      <xdr:row>75</xdr:row>
      <xdr:rowOff>296097</xdr:rowOff>
    </xdr:to>
    <xdr:sp macro="" textlink="">
      <xdr:nvSpPr>
        <xdr:cNvPr id="258301" name="Text Box 253" hidden="1">
          <a:extLst>
            <a:ext uri="{FF2B5EF4-FFF2-40B4-BE49-F238E27FC236}">
              <a16:creationId xmlns:a16="http://schemas.microsoft.com/office/drawing/2014/main" id="{507FEEB7-3BB2-4230-AC0E-67D2CA4B51F4}"/>
            </a:ext>
          </a:extLst>
        </xdr:cNvPr>
        <xdr:cNvSpPr txBox="1">
          <a:spLocks noChangeArrowheads="1"/>
        </xdr:cNvSpPr>
      </xdr:nvSpPr>
      <xdr:spPr bwMode="auto">
        <a:xfrm>
          <a:off x="4032250" y="14363700"/>
          <a:ext cx="1276350" cy="173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71</xdr:row>
      <xdr:rowOff>116656</xdr:rowOff>
    </xdr:from>
    <xdr:to>
      <xdr:col>5</xdr:col>
      <xdr:colOff>609600</xdr:colOff>
      <xdr:row>75</xdr:row>
      <xdr:rowOff>296097</xdr:rowOff>
    </xdr:to>
    <xdr:sp macro="" textlink="">
      <xdr:nvSpPr>
        <xdr:cNvPr id="258300" name="Text Box 252" hidden="1">
          <a:extLst>
            <a:ext uri="{FF2B5EF4-FFF2-40B4-BE49-F238E27FC236}">
              <a16:creationId xmlns:a16="http://schemas.microsoft.com/office/drawing/2014/main" id="{9BED1156-F97F-42C9-BDF7-B6B097A3379E}"/>
            </a:ext>
          </a:extLst>
        </xdr:cNvPr>
        <xdr:cNvSpPr txBox="1">
          <a:spLocks noChangeArrowheads="1"/>
        </xdr:cNvSpPr>
      </xdr:nvSpPr>
      <xdr:spPr bwMode="auto">
        <a:xfrm>
          <a:off x="4032250" y="14547850"/>
          <a:ext cx="1276350" cy="154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91469</xdr:rowOff>
    </xdr:from>
    <xdr:to>
      <xdr:col>5</xdr:col>
      <xdr:colOff>609600</xdr:colOff>
      <xdr:row>95</xdr:row>
      <xdr:rowOff>158048</xdr:rowOff>
    </xdr:to>
    <xdr:sp macro="" textlink="">
      <xdr:nvSpPr>
        <xdr:cNvPr id="258299" name="Text Box 251" hidden="1">
          <a:extLst>
            <a:ext uri="{FF2B5EF4-FFF2-40B4-BE49-F238E27FC236}">
              <a16:creationId xmlns:a16="http://schemas.microsoft.com/office/drawing/2014/main" id="{D8E95805-65E9-4C5E-A4DA-205163748792}"/>
            </a:ext>
          </a:extLst>
        </xdr:cNvPr>
        <xdr:cNvSpPr txBox="1">
          <a:spLocks noChangeArrowheads="1"/>
        </xdr:cNvSpPr>
      </xdr:nvSpPr>
      <xdr:spPr bwMode="auto">
        <a:xfrm>
          <a:off x="4032250" y="200469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96</xdr:row>
      <xdr:rowOff>108401</xdr:rowOff>
    </xdr:from>
    <xdr:to>
      <xdr:col>5</xdr:col>
      <xdr:colOff>609600</xdr:colOff>
      <xdr:row>122</xdr:row>
      <xdr:rowOff>142638</xdr:rowOff>
    </xdr:to>
    <xdr:sp macro="" textlink="">
      <xdr:nvSpPr>
        <xdr:cNvPr id="258298" name="Text Box 250" hidden="1">
          <a:extLst>
            <a:ext uri="{FF2B5EF4-FFF2-40B4-BE49-F238E27FC236}">
              <a16:creationId xmlns:a16="http://schemas.microsoft.com/office/drawing/2014/main" id="{6CF1C3A7-0A3B-4612-AEF7-263E47ECA99B}"/>
            </a:ext>
          </a:extLst>
        </xdr:cNvPr>
        <xdr:cNvSpPr txBox="1">
          <a:spLocks noChangeArrowheads="1"/>
        </xdr:cNvSpPr>
      </xdr:nvSpPr>
      <xdr:spPr bwMode="auto">
        <a:xfrm>
          <a:off x="4032250" y="20231100"/>
          <a:ext cx="1276350" cy="517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96</xdr:row>
      <xdr:rowOff>108401</xdr:rowOff>
    </xdr:from>
    <xdr:to>
      <xdr:col>5</xdr:col>
      <xdr:colOff>609600</xdr:colOff>
      <xdr:row>122</xdr:row>
      <xdr:rowOff>142638</xdr:rowOff>
    </xdr:to>
    <xdr:sp macro="" textlink="">
      <xdr:nvSpPr>
        <xdr:cNvPr id="258297" name="Text Box 249" hidden="1">
          <a:extLst>
            <a:ext uri="{FF2B5EF4-FFF2-40B4-BE49-F238E27FC236}">
              <a16:creationId xmlns:a16="http://schemas.microsoft.com/office/drawing/2014/main" id="{ED324ABC-E3EE-44BA-B769-D51D8C178B89}"/>
            </a:ext>
          </a:extLst>
        </xdr:cNvPr>
        <xdr:cNvSpPr txBox="1">
          <a:spLocks noChangeArrowheads="1"/>
        </xdr:cNvSpPr>
      </xdr:nvSpPr>
      <xdr:spPr bwMode="auto">
        <a:xfrm>
          <a:off x="4032250" y="20231100"/>
          <a:ext cx="1276350" cy="517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296" name="Text Box 248" hidden="1">
          <a:extLst>
            <a:ext uri="{FF2B5EF4-FFF2-40B4-BE49-F238E27FC236}">
              <a16:creationId xmlns:a16="http://schemas.microsoft.com/office/drawing/2014/main" id="{3170862E-3A11-4380-BFC6-375182A40D84}"/>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89</xdr:row>
      <xdr:rowOff>7885</xdr:rowOff>
    </xdr:from>
    <xdr:to>
      <xdr:col>6</xdr:col>
      <xdr:colOff>38100</xdr:colOff>
      <xdr:row>97</xdr:row>
      <xdr:rowOff>127380</xdr:rowOff>
    </xdr:to>
    <xdr:sp macro="" textlink="">
      <xdr:nvSpPr>
        <xdr:cNvPr id="258323" name="Text Box 275" hidden="1">
          <a:extLst>
            <a:ext uri="{FF2B5EF4-FFF2-40B4-BE49-F238E27FC236}">
              <a16:creationId xmlns:a16="http://schemas.microsoft.com/office/drawing/2014/main" id="{8FD9681C-6FB9-44A7-A826-49C722705737}"/>
            </a:ext>
          </a:extLst>
        </xdr:cNvPr>
        <xdr:cNvSpPr txBox="1">
          <a:spLocks noChangeArrowheads="1"/>
        </xdr:cNvSpPr>
      </xdr:nvSpPr>
      <xdr:spPr bwMode="auto">
        <a:xfrm>
          <a:off x="4046220" y="18615660"/>
          <a:ext cx="144780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62</xdr:row>
      <xdr:rowOff>148642</xdr:rowOff>
    </xdr:to>
    <xdr:sp macro="" textlink="">
      <xdr:nvSpPr>
        <xdr:cNvPr id="258322" name="Text Box 274" hidden="1">
          <a:extLst>
            <a:ext uri="{FF2B5EF4-FFF2-40B4-BE49-F238E27FC236}">
              <a16:creationId xmlns:a16="http://schemas.microsoft.com/office/drawing/2014/main" id="{14175EEF-CC3E-45E7-BF8F-32CA048A6372}"/>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62</xdr:row>
      <xdr:rowOff>148642</xdr:rowOff>
    </xdr:to>
    <xdr:sp macro="" textlink="">
      <xdr:nvSpPr>
        <xdr:cNvPr id="258321" name="Text Box 273" hidden="1">
          <a:extLst>
            <a:ext uri="{FF2B5EF4-FFF2-40B4-BE49-F238E27FC236}">
              <a16:creationId xmlns:a16="http://schemas.microsoft.com/office/drawing/2014/main" id="{37BB5DEF-8617-4385-BCC1-DF5DD9008EDB}"/>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111921</xdr:rowOff>
    </xdr:from>
    <xdr:to>
      <xdr:col>5</xdr:col>
      <xdr:colOff>609600</xdr:colOff>
      <xdr:row>54</xdr:row>
      <xdr:rowOff>66567</xdr:rowOff>
    </xdr:to>
    <xdr:sp macro="" textlink="">
      <xdr:nvSpPr>
        <xdr:cNvPr id="258320" name="Text Box 272" hidden="1">
          <a:extLst>
            <a:ext uri="{FF2B5EF4-FFF2-40B4-BE49-F238E27FC236}">
              <a16:creationId xmlns:a16="http://schemas.microsoft.com/office/drawing/2014/main" id="{41BA2B56-6314-47C0-8B58-4B6F5CCCF456}"/>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63285</xdr:rowOff>
    </xdr:from>
    <xdr:to>
      <xdr:col>5</xdr:col>
      <xdr:colOff>609600</xdr:colOff>
      <xdr:row>53</xdr:row>
      <xdr:rowOff>168167</xdr:rowOff>
    </xdr:to>
    <xdr:sp macro="" textlink="">
      <xdr:nvSpPr>
        <xdr:cNvPr id="258319" name="Text Box 271" hidden="1">
          <a:extLst>
            <a:ext uri="{FF2B5EF4-FFF2-40B4-BE49-F238E27FC236}">
              <a16:creationId xmlns:a16="http://schemas.microsoft.com/office/drawing/2014/main" id="{738EE3C1-4E2F-4894-BA2C-CA7E8FCADAD0}"/>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89007</xdr:rowOff>
    </xdr:from>
    <xdr:to>
      <xdr:col>5</xdr:col>
      <xdr:colOff>609600</xdr:colOff>
      <xdr:row>58</xdr:row>
      <xdr:rowOff>35174</xdr:rowOff>
    </xdr:to>
    <xdr:sp macro="" textlink="">
      <xdr:nvSpPr>
        <xdr:cNvPr id="258318" name="Text Box 270" hidden="1">
          <a:extLst>
            <a:ext uri="{FF2B5EF4-FFF2-40B4-BE49-F238E27FC236}">
              <a16:creationId xmlns:a16="http://schemas.microsoft.com/office/drawing/2014/main" id="{FB8D9BAB-2754-4F2C-B659-82A7061EDA86}"/>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72561</xdr:rowOff>
    </xdr:from>
    <xdr:to>
      <xdr:col>5</xdr:col>
      <xdr:colOff>609600</xdr:colOff>
      <xdr:row>73</xdr:row>
      <xdr:rowOff>444500</xdr:rowOff>
    </xdr:to>
    <xdr:sp macro="" textlink="">
      <xdr:nvSpPr>
        <xdr:cNvPr id="258317" name="Text Box 269" hidden="1">
          <a:extLst>
            <a:ext uri="{FF2B5EF4-FFF2-40B4-BE49-F238E27FC236}">
              <a16:creationId xmlns:a16="http://schemas.microsoft.com/office/drawing/2014/main" id="{EB4FBD19-C445-49B5-B90E-D8A7BBB62E0B}"/>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94430</xdr:rowOff>
    </xdr:from>
    <xdr:to>
      <xdr:col>5</xdr:col>
      <xdr:colOff>609600</xdr:colOff>
      <xdr:row>75</xdr:row>
      <xdr:rowOff>83370</xdr:rowOff>
    </xdr:to>
    <xdr:sp macro="" textlink="">
      <xdr:nvSpPr>
        <xdr:cNvPr id="258316" name="Text Box 268" hidden="1">
          <a:extLst>
            <a:ext uri="{FF2B5EF4-FFF2-40B4-BE49-F238E27FC236}">
              <a16:creationId xmlns:a16="http://schemas.microsoft.com/office/drawing/2014/main" id="{45828737-3065-41E9-B891-87F162E0D5FD}"/>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70</xdr:row>
      <xdr:rowOff>102921</xdr:rowOff>
    </xdr:from>
    <xdr:to>
      <xdr:col>5</xdr:col>
      <xdr:colOff>609600</xdr:colOff>
      <xdr:row>75</xdr:row>
      <xdr:rowOff>296097</xdr:rowOff>
    </xdr:to>
    <xdr:sp macro="" textlink="">
      <xdr:nvSpPr>
        <xdr:cNvPr id="258315" name="Text Box 267" hidden="1">
          <a:extLst>
            <a:ext uri="{FF2B5EF4-FFF2-40B4-BE49-F238E27FC236}">
              <a16:creationId xmlns:a16="http://schemas.microsoft.com/office/drawing/2014/main" id="{B3CB54EA-2A59-40D5-8C99-7E5DF135E293}"/>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71</xdr:row>
      <xdr:rowOff>116656</xdr:rowOff>
    </xdr:from>
    <xdr:to>
      <xdr:col>5</xdr:col>
      <xdr:colOff>609600</xdr:colOff>
      <xdr:row>75</xdr:row>
      <xdr:rowOff>296097</xdr:rowOff>
    </xdr:to>
    <xdr:sp macro="" textlink="">
      <xdr:nvSpPr>
        <xdr:cNvPr id="258314" name="Text Box 266" hidden="1">
          <a:extLst>
            <a:ext uri="{FF2B5EF4-FFF2-40B4-BE49-F238E27FC236}">
              <a16:creationId xmlns:a16="http://schemas.microsoft.com/office/drawing/2014/main" id="{D3B3C904-EF4E-44AC-A16C-A0A8D02A4934}"/>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91469</xdr:rowOff>
    </xdr:from>
    <xdr:to>
      <xdr:col>5</xdr:col>
      <xdr:colOff>609600</xdr:colOff>
      <xdr:row>95</xdr:row>
      <xdr:rowOff>158048</xdr:rowOff>
    </xdr:to>
    <xdr:sp macro="" textlink="">
      <xdr:nvSpPr>
        <xdr:cNvPr id="258313" name="Text Box 265" hidden="1">
          <a:extLst>
            <a:ext uri="{FF2B5EF4-FFF2-40B4-BE49-F238E27FC236}">
              <a16:creationId xmlns:a16="http://schemas.microsoft.com/office/drawing/2014/main" id="{BAE4ACE5-DA18-49DF-83C5-ACFE37E5C0DC}"/>
            </a:ext>
          </a:extLst>
        </xdr:cNvPr>
        <xdr:cNvSpPr txBox="1">
          <a:spLocks noChangeArrowheads="1"/>
        </xdr:cNvSpPr>
      </xdr:nvSpPr>
      <xdr:spPr bwMode="auto">
        <a:xfrm>
          <a:off x="4008120" y="1993392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96</xdr:row>
      <xdr:rowOff>108401</xdr:rowOff>
    </xdr:from>
    <xdr:to>
      <xdr:col>5</xdr:col>
      <xdr:colOff>609600</xdr:colOff>
      <xdr:row>122</xdr:row>
      <xdr:rowOff>142638</xdr:rowOff>
    </xdr:to>
    <xdr:sp macro="" textlink="">
      <xdr:nvSpPr>
        <xdr:cNvPr id="258312" name="Text Box 264" hidden="1">
          <a:extLst>
            <a:ext uri="{FF2B5EF4-FFF2-40B4-BE49-F238E27FC236}">
              <a16:creationId xmlns:a16="http://schemas.microsoft.com/office/drawing/2014/main" id="{459988BC-128D-439E-B568-36FDFE266D1A}"/>
            </a:ext>
          </a:extLst>
        </xdr:cNvPr>
        <xdr:cNvSpPr txBox="1">
          <a:spLocks noChangeArrowheads="1"/>
        </xdr:cNvSpPr>
      </xdr:nvSpPr>
      <xdr:spPr bwMode="auto">
        <a:xfrm>
          <a:off x="4008120" y="20116800"/>
          <a:ext cx="1264920" cy="514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96</xdr:row>
      <xdr:rowOff>108401</xdr:rowOff>
    </xdr:from>
    <xdr:to>
      <xdr:col>5</xdr:col>
      <xdr:colOff>609600</xdr:colOff>
      <xdr:row>122</xdr:row>
      <xdr:rowOff>142638</xdr:rowOff>
    </xdr:to>
    <xdr:sp macro="" textlink="">
      <xdr:nvSpPr>
        <xdr:cNvPr id="258311" name="Text Box 263" hidden="1">
          <a:extLst>
            <a:ext uri="{FF2B5EF4-FFF2-40B4-BE49-F238E27FC236}">
              <a16:creationId xmlns:a16="http://schemas.microsoft.com/office/drawing/2014/main" id="{2C8698CA-D1B9-46F6-A441-EE6B56F7EAD6}"/>
            </a:ext>
          </a:extLst>
        </xdr:cNvPr>
        <xdr:cNvSpPr txBox="1">
          <a:spLocks noChangeArrowheads="1"/>
        </xdr:cNvSpPr>
      </xdr:nvSpPr>
      <xdr:spPr bwMode="auto">
        <a:xfrm>
          <a:off x="4008120" y="20116800"/>
          <a:ext cx="1264920" cy="514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310" name="Text Box 262" hidden="1">
          <a:extLst>
            <a:ext uri="{FF2B5EF4-FFF2-40B4-BE49-F238E27FC236}">
              <a16:creationId xmlns:a16="http://schemas.microsoft.com/office/drawing/2014/main" id="{83E6D148-DF3D-41C0-A36F-51C8E8F7B89F}"/>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185</xdr:row>
      <xdr:rowOff>204325</xdr:rowOff>
    </xdr:from>
    <xdr:to>
      <xdr:col>6</xdr:col>
      <xdr:colOff>38100</xdr:colOff>
      <xdr:row>193</xdr:row>
      <xdr:rowOff>125253</xdr:rowOff>
    </xdr:to>
    <xdr:sp macro="" textlink="">
      <xdr:nvSpPr>
        <xdr:cNvPr id="258392" name="Text Box 344" hidden="1">
          <a:extLst>
            <a:ext uri="{FF2B5EF4-FFF2-40B4-BE49-F238E27FC236}">
              <a16:creationId xmlns:a16="http://schemas.microsoft.com/office/drawing/2014/main" id="{F9D91C0E-FA1C-463F-9760-3BAA835C7A51}"/>
            </a:ext>
          </a:extLst>
        </xdr:cNvPr>
        <xdr:cNvSpPr txBox="1">
          <a:spLocks noChangeArrowheads="1"/>
        </xdr:cNvSpPr>
      </xdr:nvSpPr>
      <xdr:spPr bwMode="auto">
        <a:xfrm>
          <a:off x="4046220" y="29458920"/>
          <a:ext cx="1447800" cy="150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62</xdr:row>
      <xdr:rowOff>148642</xdr:rowOff>
    </xdr:to>
    <xdr:sp macro="" textlink="">
      <xdr:nvSpPr>
        <xdr:cNvPr id="258391" name="Text Box 343" hidden="1">
          <a:extLst>
            <a:ext uri="{FF2B5EF4-FFF2-40B4-BE49-F238E27FC236}">
              <a16:creationId xmlns:a16="http://schemas.microsoft.com/office/drawing/2014/main" id="{8D99B8FD-C40D-43DC-A466-55EE74D02661}"/>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62</xdr:row>
      <xdr:rowOff>148642</xdr:rowOff>
    </xdr:to>
    <xdr:sp macro="" textlink="">
      <xdr:nvSpPr>
        <xdr:cNvPr id="258390" name="Text Box 342" hidden="1">
          <a:extLst>
            <a:ext uri="{FF2B5EF4-FFF2-40B4-BE49-F238E27FC236}">
              <a16:creationId xmlns:a16="http://schemas.microsoft.com/office/drawing/2014/main" id="{9445F5C6-BD76-4C06-AE57-482F47100649}"/>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111921</xdr:rowOff>
    </xdr:from>
    <xdr:to>
      <xdr:col>5</xdr:col>
      <xdr:colOff>609600</xdr:colOff>
      <xdr:row>54</xdr:row>
      <xdr:rowOff>66567</xdr:rowOff>
    </xdr:to>
    <xdr:sp macro="" textlink="">
      <xdr:nvSpPr>
        <xdr:cNvPr id="258389" name="Text Box 341" hidden="1">
          <a:extLst>
            <a:ext uri="{FF2B5EF4-FFF2-40B4-BE49-F238E27FC236}">
              <a16:creationId xmlns:a16="http://schemas.microsoft.com/office/drawing/2014/main" id="{474D2EC0-3688-42F6-9D26-BC0605DA0103}"/>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63285</xdr:rowOff>
    </xdr:from>
    <xdr:to>
      <xdr:col>5</xdr:col>
      <xdr:colOff>609600</xdr:colOff>
      <xdr:row>53</xdr:row>
      <xdr:rowOff>168167</xdr:rowOff>
    </xdr:to>
    <xdr:sp macro="" textlink="">
      <xdr:nvSpPr>
        <xdr:cNvPr id="258388" name="Text Box 340" hidden="1">
          <a:extLst>
            <a:ext uri="{FF2B5EF4-FFF2-40B4-BE49-F238E27FC236}">
              <a16:creationId xmlns:a16="http://schemas.microsoft.com/office/drawing/2014/main" id="{48AA3492-E43B-4074-9FCB-C05EB637F9CD}"/>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89007</xdr:rowOff>
    </xdr:from>
    <xdr:to>
      <xdr:col>5</xdr:col>
      <xdr:colOff>609600</xdr:colOff>
      <xdr:row>58</xdr:row>
      <xdr:rowOff>35174</xdr:rowOff>
    </xdr:to>
    <xdr:sp macro="" textlink="">
      <xdr:nvSpPr>
        <xdr:cNvPr id="258387" name="Text Box 339" hidden="1">
          <a:extLst>
            <a:ext uri="{FF2B5EF4-FFF2-40B4-BE49-F238E27FC236}">
              <a16:creationId xmlns:a16="http://schemas.microsoft.com/office/drawing/2014/main" id="{6F023A5C-3207-41D8-A6A0-BBBEEDFFA4F4}"/>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72561</xdr:rowOff>
    </xdr:from>
    <xdr:to>
      <xdr:col>5</xdr:col>
      <xdr:colOff>609600</xdr:colOff>
      <xdr:row>73</xdr:row>
      <xdr:rowOff>444500</xdr:rowOff>
    </xdr:to>
    <xdr:sp macro="" textlink="">
      <xdr:nvSpPr>
        <xdr:cNvPr id="258386" name="Text Box 338" hidden="1">
          <a:extLst>
            <a:ext uri="{FF2B5EF4-FFF2-40B4-BE49-F238E27FC236}">
              <a16:creationId xmlns:a16="http://schemas.microsoft.com/office/drawing/2014/main" id="{1781E0D6-F3A7-4861-8132-C29DC2D22C2C}"/>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94430</xdr:rowOff>
    </xdr:from>
    <xdr:to>
      <xdr:col>5</xdr:col>
      <xdr:colOff>609600</xdr:colOff>
      <xdr:row>75</xdr:row>
      <xdr:rowOff>83370</xdr:rowOff>
    </xdr:to>
    <xdr:sp macro="" textlink="">
      <xdr:nvSpPr>
        <xdr:cNvPr id="258385" name="Text Box 337" hidden="1">
          <a:extLst>
            <a:ext uri="{FF2B5EF4-FFF2-40B4-BE49-F238E27FC236}">
              <a16:creationId xmlns:a16="http://schemas.microsoft.com/office/drawing/2014/main" id="{D3E0A834-614B-445E-AD19-9893272DF7AA}"/>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70</xdr:row>
      <xdr:rowOff>102921</xdr:rowOff>
    </xdr:from>
    <xdr:to>
      <xdr:col>5</xdr:col>
      <xdr:colOff>609600</xdr:colOff>
      <xdr:row>75</xdr:row>
      <xdr:rowOff>296097</xdr:rowOff>
    </xdr:to>
    <xdr:sp macro="" textlink="">
      <xdr:nvSpPr>
        <xdr:cNvPr id="258384" name="Text Box 336" hidden="1">
          <a:extLst>
            <a:ext uri="{FF2B5EF4-FFF2-40B4-BE49-F238E27FC236}">
              <a16:creationId xmlns:a16="http://schemas.microsoft.com/office/drawing/2014/main" id="{B5C86514-3011-4B18-8648-060B9029C1AE}"/>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71</xdr:row>
      <xdr:rowOff>116656</xdr:rowOff>
    </xdr:from>
    <xdr:to>
      <xdr:col>5</xdr:col>
      <xdr:colOff>609600</xdr:colOff>
      <xdr:row>75</xdr:row>
      <xdr:rowOff>296097</xdr:rowOff>
    </xdr:to>
    <xdr:sp macro="" textlink="">
      <xdr:nvSpPr>
        <xdr:cNvPr id="258383" name="Text Box 335" hidden="1">
          <a:extLst>
            <a:ext uri="{FF2B5EF4-FFF2-40B4-BE49-F238E27FC236}">
              <a16:creationId xmlns:a16="http://schemas.microsoft.com/office/drawing/2014/main" id="{FDC0DC96-5065-49C7-891B-A85D19BC6E09}"/>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190</xdr:row>
      <xdr:rowOff>160507</xdr:rowOff>
    </xdr:from>
    <xdr:to>
      <xdr:col>5</xdr:col>
      <xdr:colOff>609600</xdr:colOff>
      <xdr:row>191</xdr:row>
      <xdr:rowOff>2791</xdr:rowOff>
    </xdr:to>
    <xdr:sp macro="" textlink="">
      <xdr:nvSpPr>
        <xdr:cNvPr id="258382" name="Text Box 334" hidden="1">
          <a:extLst>
            <a:ext uri="{FF2B5EF4-FFF2-40B4-BE49-F238E27FC236}">
              <a16:creationId xmlns:a16="http://schemas.microsoft.com/office/drawing/2014/main" id="{64FA9965-80AF-4746-BD4F-6F8823742716}"/>
            </a:ext>
          </a:extLst>
        </xdr:cNvPr>
        <xdr:cNvSpPr txBox="1">
          <a:spLocks noChangeArrowheads="1"/>
        </xdr:cNvSpPr>
      </xdr:nvSpPr>
      <xdr:spPr bwMode="auto">
        <a:xfrm>
          <a:off x="4008120" y="3044190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84071</xdr:rowOff>
    </xdr:from>
    <xdr:to>
      <xdr:col>5</xdr:col>
      <xdr:colOff>609600</xdr:colOff>
      <xdr:row>219</xdr:row>
      <xdr:rowOff>1286</xdr:rowOff>
    </xdr:to>
    <xdr:sp macro="" textlink="">
      <xdr:nvSpPr>
        <xdr:cNvPr id="258381" name="Text Box 333" hidden="1">
          <a:extLst>
            <a:ext uri="{FF2B5EF4-FFF2-40B4-BE49-F238E27FC236}">
              <a16:creationId xmlns:a16="http://schemas.microsoft.com/office/drawing/2014/main" id="{EA997BC3-63DB-4612-93EF-BEC5201EBE4C}"/>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84071</xdr:rowOff>
    </xdr:from>
    <xdr:to>
      <xdr:col>5</xdr:col>
      <xdr:colOff>609600</xdr:colOff>
      <xdr:row>219</xdr:row>
      <xdr:rowOff>1286</xdr:rowOff>
    </xdr:to>
    <xdr:sp macro="" textlink="">
      <xdr:nvSpPr>
        <xdr:cNvPr id="258380" name="Text Box 332" hidden="1">
          <a:extLst>
            <a:ext uri="{FF2B5EF4-FFF2-40B4-BE49-F238E27FC236}">
              <a16:creationId xmlns:a16="http://schemas.microsoft.com/office/drawing/2014/main" id="{9E87E258-D3AB-4908-AB19-41C54D3BCA39}"/>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379" name="Text Box 331" hidden="1">
          <a:extLst>
            <a:ext uri="{FF2B5EF4-FFF2-40B4-BE49-F238E27FC236}">
              <a16:creationId xmlns:a16="http://schemas.microsoft.com/office/drawing/2014/main" id="{2829A2AE-BA6F-400A-8761-4BD58E0E00FF}"/>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86995</xdr:rowOff>
    </xdr:from>
    <xdr:to>
      <xdr:col>19</xdr:col>
      <xdr:colOff>571500</xdr:colOff>
      <xdr:row>30</xdr:row>
      <xdr:rowOff>114393</xdr:rowOff>
    </xdr:to>
    <xdr:sp macro="" textlink="">
      <xdr:nvSpPr>
        <xdr:cNvPr id="258378" name="Text Box 330" hidden="1">
          <a:extLst>
            <a:ext uri="{FF2B5EF4-FFF2-40B4-BE49-F238E27FC236}">
              <a16:creationId xmlns:a16="http://schemas.microsoft.com/office/drawing/2014/main" id="{E6AD59E2-CB61-4AB9-BA8E-0F291CFDB759}"/>
            </a:ext>
          </a:extLst>
        </xdr:cNvPr>
        <xdr:cNvSpPr txBox="1">
          <a:spLocks noChangeArrowheads="1"/>
        </xdr:cNvSpPr>
      </xdr:nvSpPr>
      <xdr:spPr bwMode="auto">
        <a:xfrm>
          <a:off x="15377160" y="608838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101</xdr:row>
      <xdr:rowOff>133739</xdr:rowOff>
    </xdr:from>
    <xdr:to>
      <xdr:col>5</xdr:col>
      <xdr:colOff>621665</xdr:colOff>
      <xdr:row>103</xdr:row>
      <xdr:rowOff>15292</xdr:rowOff>
    </xdr:to>
    <xdr:sp macro="" textlink="">
      <xdr:nvSpPr>
        <xdr:cNvPr id="258377" name="Text Box 329" hidden="1">
          <a:extLst>
            <a:ext uri="{FF2B5EF4-FFF2-40B4-BE49-F238E27FC236}">
              <a16:creationId xmlns:a16="http://schemas.microsoft.com/office/drawing/2014/main" id="{A5073BB7-4AFF-442B-B408-04E61E811D7C}"/>
            </a:ext>
          </a:extLst>
        </xdr:cNvPr>
        <xdr:cNvSpPr txBox="1">
          <a:spLocks noChangeArrowheads="1"/>
        </xdr:cNvSpPr>
      </xdr:nvSpPr>
      <xdr:spPr bwMode="auto">
        <a:xfrm>
          <a:off x="3977640" y="21130260"/>
          <a:ext cx="1310640" cy="266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102</xdr:row>
      <xdr:rowOff>89378</xdr:rowOff>
    </xdr:from>
    <xdr:to>
      <xdr:col>5</xdr:col>
      <xdr:colOff>621665</xdr:colOff>
      <xdr:row>105</xdr:row>
      <xdr:rowOff>1151</xdr:rowOff>
    </xdr:to>
    <xdr:sp macro="" textlink="">
      <xdr:nvSpPr>
        <xdr:cNvPr id="258376" name="Text Box 328" hidden="1">
          <a:extLst>
            <a:ext uri="{FF2B5EF4-FFF2-40B4-BE49-F238E27FC236}">
              <a16:creationId xmlns:a16="http://schemas.microsoft.com/office/drawing/2014/main" id="{15551FA0-B281-4B8A-9B10-00E8C8EF5CDA}"/>
            </a:ext>
          </a:extLst>
        </xdr:cNvPr>
        <xdr:cNvSpPr txBox="1">
          <a:spLocks noChangeArrowheads="1"/>
        </xdr:cNvSpPr>
      </xdr:nvSpPr>
      <xdr:spPr bwMode="auto">
        <a:xfrm>
          <a:off x="3977640" y="21313140"/>
          <a:ext cx="131064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103</xdr:row>
      <xdr:rowOff>123240</xdr:rowOff>
    </xdr:from>
    <xdr:to>
      <xdr:col>5</xdr:col>
      <xdr:colOff>621665</xdr:colOff>
      <xdr:row>108</xdr:row>
      <xdr:rowOff>3057</xdr:rowOff>
    </xdr:to>
    <xdr:sp macro="" textlink="">
      <xdr:nvSpPr>
        <xdr:cNvPr id="258375" name="Text Box 327" hidden="1">
          <a:extLst>
            <a:ext uri="{FF2B5EF4-FFF2-40B4-BE49-F238E27FC236}">
              <a16:creationId xmlns:a16="http://schemas.microsoft.com/office/drawing/2014/main" id="{BDBB6CDE-9E86-474E-8A4A-7282FD671C3A}"/>
            </a:ext>
          </a:extLst>
        </xdr:cNvPr>
        <xdr:cNvSpPr txBox="1">
          <a:spLocks noChangeArrowheads="1"/>
        </xdr:cNvSpPr>
      </xdr:nvSpPr>
      <xdr:spPr bwMode="auto">
        <a:xfrm>
          <a:off x="397764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104</xdr:row>
      <xdr:rowOff>143934</xdr:rowOff>
    </xdr:from>
    <xdr:to>
      <xdr:col>5</xdr:col>
      <xdr:colOff>621665</xdr:colOff>
      <xdr:row>109</xdr:row>
      <xdr:rowOff>3055</xdr:rowOff>
    </xdr:to>
    <xdr:sp macro="" textlink="">
      <xdr:nvSpPr>
        <xdr:cNvPr id="258374" name="Text Box 326" hidden="1">
          <a:extLst>
            <a:ext uri="{FF2B5EF4-FFF2-40B4-BE49-F238E27FC236}">
              <a16:creationId xmlns:a16="http://schemas.microsoft.com/office/drawing/2014/main" id="{BEFA97BE-E4FE-4A6E-A3D1-0CF97C3691EA}"/>
            </a:ext>
          </a:extLst>
        </xdr:cNvPr>
        <xdr:cNvSpPr txBox="1">
          <a:spLocks noChangeArrowheads="1"/>
        </xdr:cNvSpPr>
      </xdr:nvSpPr>
      <xdr:spPr bwMode="auto">
        <a:xfrm>
          <a:off x="397764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92</xdr:row>
      <xdr:rowOff>10952</xdr:rowOff>
    </xdr:from>
    <xdr:to>
      <xdr:col>5</xdr:col>
      <xdr:colOff>621665</xdr:colOff>
      <xdr:row>96</xdr:row>
      <xdr:rowOff>127451</xdr:rowOff>
    </xdr:to>
    <xdr:sp macro="" textlink="">
      <xdr:nvSpPr>
        <xdr:cNvPr id="258373" name="Text Box 325" hidden="1">
          <a:extLst>
            <a:ext uri="{FF2B5EF4-FFF2-40B4-BE49-F238E27FC236}">
              <a16:creationId xmlns:a16="http://schemas.microsoft.com/office/drawing/2014/main" id="{25712CCA-A158-49CB-90A5-81A51961E797}"/>
            </a:ext>
          </a:extLst>
        </xdr:cNvPr>
        <xdr:cNvSpPr txBox="1">
          <a:spLocks noChangeArrowheads="1"/>
        </xdr:cNvSpPr>
      </xdr:nvSpPr>
      <xdr:spPr bwMode="auto">
        <a:xfrm>
          <a:off x="397764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93</xdr:row>
      <xdr:rowOff>31644</xdr:rowOff>
    </xdr:from>
    <xdr:to>
      <xdr:col>5</xdr:col>
      <xdr:colOff>621665</xdr:colOff>
      <xdr:row>97</xdr:row>
      <xdr:rowOff>116797</xdr:rowOff>
    </xdr:to>
    <xdr:sp macro="" textlink="">
      <xdr:nvSpPr>
        <xdr:cNvPr id="258372" name="Text Box 324" hidden="1">
          <a:extLst>
            <a:ext uri="{FF2B5EF4-FFF2-40B4-BE49-F238E27FC236}">
              <a16:creationId xmlns:a16="http://schemas.microsoft.com/office/drawing/2014/main" id="{88CF8391-6588-423B-BC41-825C81231375}"/>
            </a:ext>
          </a:extLst>
        </xdr:cNvPr>
        <xdr:cNvSpPr txBox="1">
          <a:spLocks noChangeArrowheads="1"/>
        </xdr:cNvSpPr>
      </xdr:nvSpPr>
      <xdr:spPr bwMode="auto">
        <a:xfrm>
          <a:off x="397764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94</xdr:row>
      <xdr:rowOff>45983</xdr:rowOff>
    </xdr:from>
    <xdr:to>
      <xdr:col>5</xdr:col>
      <xdr:colOff>621665</xdr:colOff>
      <xdr:row>98</xdr:row>
      <xdr:rowOff>137845</xdr:rowOff>
    </xdr:to>
    <xdr:sp macro="" textlink="">
      <xdr:nvSpPr>
        <xdr:cNvPr id="258371" name="Text Box 323" hidden="1">
          <a:extLst>
            <a:ext uri="{FF2B5EF4-FFF2-40B4-BE49-F238E27FC236}">
              <a16:creationId xmlns:a16="http://schemas.microsoft.com/office/drawing/2014/main" id="{059F1E44-AA2C-4792-B8C9-7444CB7ADFD5}"/>
            </a:ext>
          </a:extLst>
        </xdr:cNvPr>
        <xdr:cNvSpPr txBox="1">
          <a:spLocks noChangeArrowheads="1"/>
        </xdr:cNvSpPr>
      </xdr:nvSpPr>
      <xdr:spPr bwMode="auto">
        <a:xfrm>
          <a:off x="397764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95</xdr:row>
      <xdr:rowOff>52335</xdr:rowOff>
    </xdr:from>
    <xdr:to>
      <xdr:col>5</xdr:col>
      <xdr:colOff>621665</xdr:colOff>
      <xdr:row>99</xdr:row>
      <xdr:rowOff>117619</xdr:rowOff>
    </xdr:to>
    <xdr:sp macro="" textlink="">
      <xdr:nvSpPr>
        <xdr:cNvPr id="258370" name="Text Box 322" hidden="1">
          <a:extLst>
            <a:ext uri="{FF2B5EF4-FFF2-40B4-BE49-F238E27FC236}">
              <a16:creationId xmlns:a16="http://schemas.microsoft.com/office/drawing/2014/main" id="{BD04BDA4-B5E8-4F8D-88A9-78987995F233}"/>
            </a:ext>
          </a:extLst>
        </xdr:cNvPr>
        <xdr:cNvSpPr txBox="1">
          <a:spLocks noChangeArrowheads="1"/>
        </xdr:cNvSpPr>
      </xdr:nvSpPr>
      <xdr:spPr bwMode="auto">
        <a:xfrm>
          <a:off x="397764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185</xdr:row>
      <xdr:rowOff>204325</xdr:rowOff>
    </xdr:from>
    <xdr:to>
      <xdr:col>6</xdr:col>
      <xdr:colOff>38100</xdr:colOff>
      <xdr:row>193</xdr:row>
      <xdr:rowOff>125253</xdr:rowOff>
    </xdr:to>
    <xdr:sp macro="" textlink="">
      <xdr:nvSpPr>
        <xdr:cNvPr id="258369" name="Text Box 321" hidden="1">
          <a:extLst>
            <a:ext uri="{FF2B5EF4-FFF2-40B4-BE49-F238E27FC236}">
              <a16:creationId xmlns:a16="http://schemas.microsoft.com/office/drawing/2014/main" id="{67F15A34-BCD8-4AB3-AC34-6E9F55767695}"/>
            </a:ext>
          </a:extLst>
        </xdr:cNvPr>
        <xdr:cNvSpPr txBox="1">
          <a:spLocks noChangeArrowheads="1"/>
        </xdr:cNvSpPr>
      </xdr:nvSpPr>
      <xdr:spPr bwMode="auto">
        <a:xfrm>
          <a:off x="4046220" y="29458920"/>
          <a:ext cx="1447800" cy="150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62</xdr:row>
      <xdr:rowOff>148642</xdr:rowOff>
    </xdr:to>
    <xdr:sp macro="" textlink="">
      <xdr:nvSpPr>
        <xdr:cNvPr id="258368" name="Text Box 320" hidden="1">
          <a:extLst>
            <a:ext uri="{FF2B5EF4-FFF2-40B4-BE49-F238E27FC236}">
              <a16:creationId xmlns:a16="http://schemas.microsoft.com/office/drawing/2014/main" id="{92CF7599-8095-45A7-8515-B88FA5BCB785}"/>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62</xdr:row>
      <xdr:rowOff>148642</xdr:rowOff>
    </xdr:to>
    <xdr:sp macro="" textlink="">
      <xdr:nvSpPr>
        <xdr:cNvPr id="258367" name="Text Box 319" hidden="1">
          <a:extLst>
            <a:ext uri="{FF2B5EF4-FFF2-40B4-BE49-F238E27FC236}">
              <a16:creationId xmlns:a16="http://schemas.microsoft.com/office/drawing/2014/main" id="{633F0370-FFD8-465C-A900-8F128120F86D}"/>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111921</xdr:rowOff>
    </xdr:from>
    <xdr:to>
      <xdr:col>5</xdr:col>
      <xdr:colOff>609600</xdr:colOff>
      <xdr:row>54</xdr:row>
      <xdr:rowOff>66567</xdr:rowOff>
    </xdr:to>
    <xdr:sp macro="" textlink="">
      <xdr:nvSpPr>
        <xdr:cNvPr id="258366" name="Text Box 318" hidden="1">
          <a:extLst>
            <a:ext uri="{FF2B5EF4-FFF2-40B4-BE49-F238E27FC236}">
              <a16:creationId xmlns:a16="http://schemas.microsoft.com/office/drawing/2014/main" id="{F988E25E-CC29-478C-B77F-0C10E80CC840}"/>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63285</xdr:rowOff>
    </xdr:from>
    <xdr:to>
      <xdr:col>5</xdr:col>
      <xdr:colOff>609600</xdr:colOff>
      <xdr:row>53</xdr:row>
      <xdr:rowOff>168167</xdr:rowOff>
    </xdr:to>
    <xdr:sp macro="" textlink="">
      <xdr:nvSpPr>
        <xdr:cNvPr id="258365" name="Text Box 317" hidden="1">
          <a:extLst>
            <a:ext uri="{FF2B5EF4-FFF2-40B4-BE49-F238E27FC236}">
              <a16:creationId xmlns:a16="http://schemas.microsoft.com/office/drawing/2014/main" id="{BDE439F8-1CF0-46B0-A293-1E068CD760B1}"/>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89007</xdr:rowOff>
    </xdr:from>
    <xdr:to>
      <xdr:col>5</xdr:col>
      <xdr:colOff>609600</xdr:colOff>
      <xdr:row>58</xdr:row>
      <xdr:rowOff>35174</xdr:rowOff>
    </xdr:to>
    <xdr:sp macro="" textlink="">
      <xdr:nvSpPr>
        <xdr:cNvPr id="258364" name="Text Box 316" hidden="1">
          <a:extLst>
            <a:ext uri="{FF2B5EF4-FFF2-40B4-BE49-F238E27FC236}">
              <a16:creationId xmlns:a16="http://schemas.microsoft.com/office/drawing/2014/main" id="{A7D6315B-E7CC-4850-BAA0-7490BBCC8041}"/>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72561</xdr:rowOff>
    </xdr:from>
    <xdr:to>
      <xdr:col>5</xdr:col>
      <xdr:colOff>609600</xdr:colOff>
      <xdr:row>73</xdr:row>
      <xdr:rowOff>444500</xdr:rowOff>
    </xdr:to>
    <xdr:sp macro="" textlink="">
      <xdr:nvSpPr>
        <xdr:cNvPr id="258363" name="Text Box 315" hidden="1">
          <a:extLst>
            <a:ext uri="{FF2B5EF4-FFF2-40B4-BE49-F238E27FC236}">
              <a16:creationId xmlns:a16="http://schemas.microsoft.com/office/drawing/2014/main" id="{CF8B3440-74F0-4C5B-8F61-5FC3B15D4B3E}"/>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94430</xdr:rowOff>
    </xdr:from>
    <xdr:to>
      <xdr:col>5</xdr:col>
      <xdr:colOff>609600</xdr:colOff>
      <xdr:row>75</xdr:row>
      <xdr:rowOff>83370</xdr:rowOff>
    </xdr:to>
    <xdr:sp macro="" textlink="">
      <xdr:nvSpPr>
        <xdr:cNvPr id="258362" name="Text Box 314" hidden="1">
          <a:extLst>
            <a:ext uri="{FF2B5EF4-FFF2-40B4-BE49-F238E27FC236}">
              <a16:creationId xmlns:a16="http://schemas.microsoft.com/office/drawing/2014/main" id="{203C464C-9BF5-448A-961E-2B17E95AE482}"/>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70</xdr:row>
      <xdr:rowOff>102921</xdr:rowOff>
    </xdr:from>
    <xdr:to>
      <xdr:col>5</xdr:col>
      <xdr:colOff>609600</xdr:colOff>
      <xdr:row>75</xdr:row>
      <xdr:rowOff>296097</xdr:rowOff>
    </xdr:to>
    <xdr:sp macro="" textlink="">
      <xdr:nvSpPr>
        <xdr:cNvPr id="258361" name="Text Box 313" hidden="1">
          <a:extLst>
            <a:ext uri="{FF2B5EF4-FFF2-40B4-BE49-F238E27FC236}">
              <a16:creationId xmlns:a16="http://schemas.microsoft.com/office/drawing/2014/main" id="{F026A163-DDF7-44DC-A147-755DD18FA49F}"/>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71</xdr:row>
      <xdr:rowOff>116656</xdr:rowOff>
    </xdr:from>
    <xdr:to>
      <xdr:col>5</xdr:col>
      <xdr:colOff>609600</xdr:colOff>
      <xdr:row>75</xdr:row>
      <xdr:rowOff>296097</xdr:rowOff>
    </xdr:to>
    <xdr:sp macro="" textlink="">
      <xdr:nvSpPr>
        <xdr:cNvPr id="258360" name="Text Box 312" hidden="1">
          <a:extLst>
            <a:ext uri="{FF2B5EF4-FFF2-40B4-BE49-F238E27FC236}">
              <a16:creationId xmlns:a16="http://schemas.microsoft.com/office/drawing/2014/main" id="{D5F12C2E-C06A-4C09-9E83-EEE556EAD26C}"/>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190</xdr:row>
      <xdr:rowOff>160507</xdr:rowOff>
    </xdr:from>
    <xdr:to>
      <xdr:col>5</xdr:col>
      <xdr:colOff>609600</xdr:colOff>
      <xdr:row>191</xdr:row>
      <xdr:rowOff>2791</xdr:rowOff>
    </xdr:to>
    <xdr:sp macro="" textlink="">
      <xdr:nvSpPr>
        <xdr:cNvPr id="258359" name="Text Box 311" hidden="1">
          <a:extLst>
            <a:ext uri="{FF2B5EF4-FFF2-40B4-BE49-F238E27FC236}">
              <a16:creationId xmlns:a16="http://schemas.microsoft.com/office/drawing/2014/main" id="{9E232606-1C3A-43FA-8BE9-0A82D6532280}"/>
            </a:ext>
          </a:extLst>
        </xdr:cNvPr>
        <xdr:cNvSpPr txBox="1">
          <a:spLocks noChangeArrowheads="1"/>
        </xdr:cNvSpPr>
      </xdr:nvSpPr>
      <xdr:spPr bwMode="auto">
        <a:xfrm>
          <a:off x="4008120" y="3044190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84071</xdr:rowOff>
    </xdr:from>
    <xdr:to>
      <xdr:col>5</xdr:col>
      <xdr:colOff>609600</xdr:colOff>
      <xdr:row>219</xdr:row>
      <xdr:rowOff>1286</xdr:rowOff>
    </xdr:to>
    <xdr:sp macro="" textlink="">
      <xdr:nvSpPr>
        <xdr:cNvPr id="258358" name="Text Box 310" hidden="1">
          <a:extLst>
            <a:ext uri="{FF2B5EF4-FFF2-40B4-BE49-F238E27FC236}">
              <a16:creationId xmlns:a16="http://schemas.microsoft.com/office/drawing/2014/main" id="{2DC15A36-7ECD-4B4E-8181-02A3915D69AE}"/>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84071</xdr:rowOff>
    </xdr:from>
    <xdr:to>
      <xdr:col>5</xdr:col>
      <xdr:colOff>609600</xdr:colOff>
      <xdr:row>219</xdr:row>
      <xdr:rowOff>1286</xdr:rowOff>
    </xdr:to>
    <xdr:sp macro="" textlink="">
      <xdr:nvSpPr>
        <xdr:cNvPr id="258357" name="Text Box 309" hidden="1">
          <a:extLst>
            <a:ext uri="{FF2B5EF4-FFF2-40B4-BE49-F238E27FC236}">
              <a16:creationId xmlns:a16="http://schemas.microsoft.com/office/drawing/2014/main" id="{12451A23-8065-47C5-9AB3-90A3D17855B0}"/>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356" name="Text Box 308" hidden="1">
          <a:extLst>
            <a:ext uri="{FF2B5EF4-FFF2-40B4-BE49-F238E27FC236}">
              <a16:creationId xmlns:a16="http://schemas.microsoft.com/office/drawing/2014/main" id="{45BF7731-56C5-4A9B-9549-ACA07095F0E1}"/>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86995</xdr:rowOff>
    </xdr:from>
    <xdr:to>
      <xdr:col>19</xdr:col>
      <xdr:colOff>571500</xdr:colOff>
      <xdr:row>30</xdr:row>
      <xdr:rowOff>114393</xdr:rowOff>
    </xdr:to>
    <xdr:sp macro="" textlink="">
      <xdr:nvSpPr>
        <xdr:cNvPr id="258355" name="Text Box 307" hidden="1">
          <a:extLst>
            <a:ext uri="{FF2B5EF4-FFF2-40B4-BE49-F238E27FC236}">
              <a16:creationId xmlns:a16="http://schemas.microsoft.com/office/drawing/2014/main" id="{B86ACBC0-131D-4ABF-BBC0-F3695A121558}"/>
            </a:ext>
          </a:extLst>
        </xdr:cNvPr>
        <xdr:cNvSpPr txBox="1">
          <a:spLocks noChangeArrowheads="1"/>
        </xdr:cNvSpPr>
      </xdr:nvSpPr>
      <xdr:spPr bwMode="auto">
        <a:xfrm>
          <a:off x="15377160" y="608838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101</xdr:row>
      <xdr:rowOff>133739</xdr:rowOff>
    </xdr:from>
    <xdr:to>
      <xdr:col>5</xdr:col>
      <xdr:colOff>621665</xdr:colOff>
      <xdr:row>103</xdr:row>
      <xdr:rowOff>15292</xdr:rowOff>
    </xdr:to>
    <xdr:sp macro="" textlink="">
      <xdr:nvSpPr>
        <xdr:cNvPr id="258354" name="Text Box 306" hidden="1">
          <a:extLst>
            <a:ext uri="{FF2B5EF4-FFF2-40B4-BE49-F238E27FC236}">
              <a16:creationId xmlns:a16="http://schemas.microsoft.com/office/drawing/2014/main" id="{EF8D2591-1797-4250-9DCF-6EE4DF650F48}"/>
            </a:ext>
          </a:extLst>
        </xdr:cNvPr>
        <xdr:cNvSpPr txBox="1">
          <a:spLocks noChangeArrowheads="1"/>
        </xdr:cNvSpPr>
      </xdr:nvSpPr>
      <xdr:spPr bwMode="auto">
        <a:xfrm>
          <a:off x="3977640" y="21130260"/>
          <a:ext cx="1310640" cy="266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102</xdr:row>
      <xdr:rowOff>89378</xdr:rowOff>
    </xdr:from>
    <xdr:to>
      <xdr:col>5</xdr:col>
      <xdr:colOff>621665</xdr:colOff>
      <xdr:row>105</xdr:row>
      <xdr:rowOff>1151</xdr:rowOff>
    </xdr:to>
    <xdr:sp macro="" textlink="">
      <xdr:nvSpPr>
        <xdr:cNvPr id="258353" name="Text Box 305" hidden="1">
          <a:extLst>
            <a:ext uri="{FF2B5EF4-FFF2-40B4-BE49-F238E27FC236}">
              <a16:creationId xmlns:a16="http://schemas.microsoft.com/office/drawing/2014/main" id="{C792FC1B-4B44-4AA4-9DC5-4C639F77A9C8}"/>
            </a:ext>
          </a:extLst>
        </xdr:cNvPr>
        <xdr:cNvSpPr txBox="1">
          <a:spLocks noChangeArrowheads="1"/>
        </xdr:cNvSpPr>
      </xdr:nvSpPr>
      <xdr:spPr bwMode="auto">
        <a:xfrm>
          <a:off x="3977640" y="21313140"/>
          <a:ext cx="131064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103</xdr:row>
      <xdr:rowOff>123240</xdr:rowOff>
    </xdr:from>
    <xdr:to>
      <xdr:col>5</xdr:col>
      <xdr:colOff>621665</xdr:colOff>
      <xdr:row>108</xdr:row>
      <xdr:rowOff>3057</xdr:rowOff>
    </xdr:to>
    <xdr:sp macro="" textlink="">
      <xdr:nvSpPr>
        <xdr:cNvPr id="258352" name="Text Box 304" hidden="1">
          <a:extLst>
            <a:ext uri="{FF2B5EF4-FFF2-40B4-BE49-F238E27FC236}">
              <a16:creationId xmlns:a16="http://schemas.microsoft.com/office/drawing/2014/main" id="{24B11DB6-3016-4050-B70F-DD8EA2BD24E9}"/>
            </a:ext>
          </a:extLst>
        </xdr:cNvPr>
        <xdr:cNvSpPr txBox="1">
          <a:spLocks noChangeArrowheads="1"/>
        </xdr:cNvSpPr>
      </xdr:nvSpPr>
      <xdr:spPr bwMode="auto">
        <a:xfrm>
          <a:off x="397764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104</xdr:row>
      <xdr:rowOff>143934</xdr:rowOff>
    </xdr:from>
    <xdr:to>
      <xdr:col>5</xdr:col>
      <xdr:colOff>621665</xdr:colOff>
      <xdr:row>109</xdr:row>
      <xdr:rowOff>3055</xdr:rowOff>
    </xdr:to>
    <xdr:sp macro="" textlink="">
      <xdr:nvSpPr>
        <xdr:cNvPr id="258351" name="Text Box 303" hidden="1">
          <a:extLst>
            <a:ext uri="{FF2B5EF4-FFF2-40B4-BE49-F238E27FC236}">
              <a16:creationId xmlns:a16="http://schemas.microsoft.com/office/drawing/2014/main" id="{E4476597-BF3F-48E7-91F2-CD38D90D49D1}"/>
            </a:ext>
          </a:extLst>
        </xdr:cNvPr>
        <xdr:cNvSpPr txBox="1">
          <a:spLocks noChangeArrowheads="1"/>
        </xdr:cNvSpPr>
      </xdr:nvSpPr>
      <xdr:spPr bwMode="auto">
        <a:xfrm>
          <a:off x="397764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92</xdr:row>
      <xdr:rowOff>10952</xdr:rowOff>
    </xdr:from>
    <xdr:to>
      <xdr:col>5</xdr:col>
      <xdr:colOff>621665</xdr:colOff>
      <xdr:row>96</xdr:row>
      <xdr:rowOff>127451</xdr:rowOff>
    </xdr:to>
    <xdr:sp macro="" textlink="">
      <xdr:nvSpPr>
        <xdr:cNvPr id="258350" name="Text Box 302" hidden="1">
          <a:extLst>
            <a:ext uri="{FF2B5EF4-FFF2-40B4-BE49-F238E27FC236}">
              <a16:creationId xmlns:a16="http://schemas.microsoft.com/office/drawing/2014/main" id="{4E48A858-4A68-4447-8227-ABF43682C5E0}"/>
            </a:ext>
          </a:extLst>
        </xdr:cNvPr>
        <xdr:cNvSpPr txBox="1">
          <a:spLocks noChangeArrowheads="1"/>
        </xdr:cNvSpPr>
      </xdr:nvSpPr>
      <xdr:spPr bwMode="auto">
        <a:xfrm>
          <a:off x="397764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93</xdr:row>
      <xdr:rowOff>31644</xdr:rowOff>
    </xdr:from>
    <xdr:to>
      <xdr:col>5</xdr:col>
      <xdr:colOff>621665</xdr:colOff>
      <xdr:row>97</xdr:row>
      <xdr:rowOff>116797</xdr:rowOff>
    </xdr:to>
    <xdr:sp macro="" textlink="">
      <xdr:nvSpPr>
        <xdr:cNvPr id="258349" name="Text Box 301" hidden="1">
          <a:extLst>
            <a:ext uri="{FF2B5EF4-FFF2-40B4-BE49-F238E27FC236}">
              <a16:creationId xmlns:a16="http://schemas.microsoft.com/office/drawing/2014/main" id="{77F76480-31A8-4C85-855A-E487970BC13C}"/>
            </a:ext>
          </a:extLst>
        </xdr:cNvPr>
        <xdr:cNvSpPr txBox="1">
          <a:spLocks noChangeArrowheads="1"/>
        </xdr:cNvSpPr>
      </xdr:nvSpPr>
      <xdr:spPr bwMode="auto">
        <a:xfrm>
          <a:off x="397764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94</xdr:row>
      <xdr:rowOff>45983</xdr:rowOff>
    </xdr:from>
    <xdr:to>
      <xdr:col>5</xdr:col>
      <xdr:colOff>621665</xdr:colOff>
      <xdr:row>98</xdr:row>
      <xdr:rowOff>137845</xdr:rowOff>
    </xdr:to>
    <xdr:sp macro="" textlink="">
      <xdr:nvSpPr>
        <xdr:cNvPr id="258348" name="Text Box 300" hidden="1">
          <a:extLst>
            <a:ext uri="{FF2B5EF4-FFF2-40B4-BE49-F238E27FC236}">
              <a16:creationId xmlns:a16="http://schemas.microsoft.com/office/drawing/2014/main" id="{EA3D5DF6-30E4-4F88-8DDD-D464096E7975}"/>
            </a:ext>
          </a:extLst>
        </xdr:cNvPr>
        <xdr:cNvSpPr txBox="1">
          <a:spLocks noChangeArrowheads="1"/>
        </xdr:cNvSpPr>
      </xdr:nvSpPr>
      <xdr:spPr bwMode="auto">
        <a:xfrm>
          <a:off x="397764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95</xdr:row>
      <xdr:rowOff>52335</xdr:rowOff>
    </xdr:from>
    <xdr:to>
      <xdr:col>5</xdr:col>
      <xdr:colOff>621665</xdr:colOff>
      <xdr:row>99</xdr:row>
      <xdr:rowOff>117619</xdr:rowOff>
    </xdr:to>
    <xdr:sp macro="" textlink="">
      <xdr:nvSpPr>
        <xdr:cNvPr id="258347" name="Text Box 299" hidden="1">
          <a:extLst>
            <a:ext uri="{FF2B5EF4-FFF2-40B4-BE49-F238E27FC236}">
              <a16:creationId xmlns:a16="http://schemas.microsoft.com/office/drawing/2014/main" id="{0882AE3B-FB21-42BD-B40E-3E06C3809332}"/>
            </a:ext>
          </a:extLst>
        </xdr:cNvPr>
        <xdr:cNvSpPr txBox="1">
          <a:spLocks noChangeArrowheads="1"/>
        </xdr:cNvSpPr>
      </xdr:nvSpPr>
      <xdr:spPr bwMode="auto">
        <a:xfrm>
          <a:off x="397764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185</xdr:row>
      <xdr:rowOff>204325</xdr:rowOff>
    </xdr:from>
    <xdr:to>
      <xdr:col>6</xdr:col>
      <xdr:colOff>38100</xdr:colOff>
      <xdr:row>193</xdr:row>
      <xdr:rowOff>125253</xdr:rowOff>
    </xdr:to>
    <xdr:sp macro="" textlink="">
      <xdr:nvSpPr>
        <xdr:cNvPr id="258337" name="Text Box 289" hidden="1">
          <a:extLst>
            <a:ext uri="{FF2B5EF4-FFF2-40B4-BE49-F238E27FC236}">
              <a16:creationId xmlns:a16="http://schemas.microsoft.com/office/drawing/2014/main" id="{4AC14EC7-D192-49E4-A146-0ED7F50B8F58}"/>
            </a:ext>
          </a:extLst>
        </xdr:cNvPr>
        <xdr:cNvSpPr txBox="1">
          <a:spLocks noChangeArrowheads="1"/>
        </xdr:cNvSpPr>
      </xdr:nvSpPr>
      <xdr:spPr bwMode="auto">
        <a:xfrm>
          <a:off x="4046220" y="29458920"/>
          <a:ext cx="1447800" cy="150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62</xdr:row>
      <xdr:rowOff>148642</xdr:rowOff>
    </xdr:to>
    <xdr:sp macro="" textlink="">
      <xdr:nvSpPr>
        <xdr:cNvPr id="258336" name="Text Box 288" hidden="1">
          <a:extLst>
            <a:ext uri="{FF2B5EF4-FFF2-40B4-BE49-F238E27FC236}">
              <a16:creationId xmlns:a16="http://schemas.microsoft.com/office/drawing/2014/main" id="{3D704F4B-35BC-4AE2-B9FF-BBEEEEAB5BFA}"/>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62</xdr:row>
      <xdr:rowOff>148642</xdr:rowOff>
    </xdr:to>
    <xdr:sp macro="" textlink="">
      <xdr:nvSpPr>
        <xdr:cNvPr id="258335" name="Text Box 287" hidden="1">
          <a:extLst>
            <a:ext uri="{FF2B5EF4-FFF2-40B4-BE49-F238E27FC236}">
              <a16:creationId xmlns:a16="http://schemas.microsoft.com/office/drawing/2014/main" id="{DA6FA2FF-A644-441E-A3F6-994568EB1006}"/>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111921</xdr:rowOff>
    </xdr:from>
    <xdr:to>
      <xdr:col>5</xdr:col>
      <xdr:colOff>609600</xdr:colOff>
      <xdr:row>54</xdr:row>
      <xdr:rowOff>66567</xdr:rowOff>
    </xdr:to>
    <xdr:sp macro="" textlink="">
      <xdr:nvSpPr>
        <xdr:cNvPr id="258334" name="Text Box 286" hidden="1">
          <a:extLst>
            <a:ext uri="{FF2B5EF4-FFF2-40B4-BE49-F238E27FC236}">
              <a16:creationId xmlns:a16="http://schemas.microsoft.com/office/drawing/2014/main" id="{BB1105A4-7653-43AC-81C9-56F32DE1BD81}"/>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63285</xdr:rowOff>
    </xdr:from>
    <xdr:to>
      <xdr:col>5</xdr:col>
      <xdr:colOff>609600</xdr:colOff>
      <xdr:row>53</xdr:row>
      <xdr:rowOff>168167</xdr:rowOff>
    </xdr:to>
    <xdr:sp macro="" textlink="">
      <xdr:nvSpPr>
        <xdr:cNvPr id="258333" name="Text Box 285" hidden="1">
          <a:extLst>
            <a:ext uri="{FF2B5EF4-FFF2-40B4-BE49-F238E27FC236}">
              <a16:creationId xmlns:a16="http://schemas.microsoft.com/office/drawing/2014/main" id="{95E17EE9-8C61-4CE7-8473-548A18E44FAF}"/>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89007</xdr:rowOff>
    </xdr:from>
    <xdr:to>
      <xdr:col>5</xdr:col>
      <xdr:colOff>609600</xdr:colOff>
      <xdr:row>58</xdr:row>
      <xdr:rowOff>35174</xdr:rowOff>
    </xdr:to>
    <xdr:sp macro="" textlink="">
      <xdr:nvSpPr>
        <xdr:cNvPr id="258332" name="Text Box 284" hidden="1">
          <a:extLst>
            <a:ext uri="{FF2B5EF4-FFF2-40B4-BE49-F238E27FC236}">
              <a16:creationId xmlns:a16="http://schemas.microsoft.com/office/drawing/2014/main" id="{D957B52A-4F3B-4281-A92D-005C3DE050EF}"/>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72561</xdr:rowOff>
    </xdr:from>
    <xdr:to>
      <xdr:col>5</xdr:col>
      <xdr:colOff>609600</xdr:colOff>
      <xdr:row>73</xdr:row>
      <xdr:rowOff>444500</xdr:rowOff>
    </xdr:to>
    <xdr:sp macro="" textlink="">
      <xdr:nvSpPr>
        <xdr:cNvPr id="258331" name="Text Box 283" hidden="1">
          <a:extLst>
            <a:ext uri="{FF2B5EF4-FFF2-40B4-BE49-F238E27FC236}">
              <a16:creationId xmlns:a16="http://schemas.microsoft.com/office/drawing/2014/main" id="{EB149AC4-363D-418C-9D73-048084F9E378}"/>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94430</xdr:rowOff>
    </xdr:from>
    <xdr:to>
      <xdr:col>5</xdr:col>
      <xdr:colOff>609600</xdr:colOff>
      <xdr:row>75</xdr:row>
      <xdr:rowOff>83370</xdr:rowOff>
    </xdr:to>
    <xdr:sp macro="" textlink="">
      <xdr:nvSpPr>
        <xdr:cNvPr id="258330" name="Text Box 282" hidden="1">
          <a:extLst>
            <a:ext uri="{FF2B5EF4-FFF2-40B4-BE49-F238E27FC236}">
              <a16:creationId xmlns:a16="http://schemas.microsoft.com/office/drawing/2014/main" id="{EA38855F-DE63-4E72-821C-BC033AC3AA3C}"/>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70</xdr:row>
      <xdr:rowOff>102921</xdr:rowOff>
    </xdr:from>
    <xdr:to>
      <xdr:col>5</xdr:col>
      <xdr:colOff>609600</xdr:colOff>
      <xdr:row>75</xdr:row>
      <xdr:rowOff>296097</xdr:rowOff>
    </xdr:to>
    <xdr:sp macro="" textlink="">
      <xdr:nvSpPr>
        <xdr:cNvPr id="258329" name="Text Box 281" hidden="1">
          <a:extLst>
            <a:ext uri="{FF2B5EF4-FFF2-40B4-BE49-F238E27FC236}">
              <a16:creationId xmlns:a16="http://schemas.microsoft.com/office/drawing/2014/main" id="{F9613853-5704-41FB-9F7D-DA8946C6A485}"/>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71</xdr:row>
      <xdr:rowOff>116656</xdr:rowOff>
    </xdr:from>
    <xdr:to>
      <xdr:col>5</xdr:col>
      <xdr:colOff>609600</xdr:colOff>
      <xdr:row>75</xdr:row>
      <xdr:rowOff>296097</xdr:rowOff>
    </xdr:to>
    <xdr:sp macro="" textlink="">
      <xdr:nvSpPr>
        <xdr:cNvPr id="258328" name="Text Box 280" hidden="1">
          <a:extLst>
            <a:ext uri="{FF2B5EF4-FFF2-40B4-BE49-F238E27FC236}">
              <a16:creationId xmlns:a16="http://schemas.microsoft.com/office/drawing/2014/main" id="{61433F9B-0BEF-44C0-9DBE-3CBBEF790E37}"/>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190</xdr:row>
      <xdr:rowOff>160507</xdr:rowOff>
    </xdr:from>
    <xdr:to>
      <xdr:col>5</xdr:col>
      <xdr:colOff>609600</xdr:colOff>
      <xdr:row>191</xdr:row>
      <xdr:rowOff>2791</xdr:rowOff>
    </xdr:to>
    <xdr:sp macro="" textlink="">
      <xdr:nvSpPr>
        <xdr:cNvPr id="258327" name="Text Box 279" hidden="1">
          <a:extLst>
            <a:ext uri="{FF2B5EF4-FFF2-40B4-BE49-F238E27FC236}">
              <a16:creationId xmlns:a16="http://schemas.microsoft.com/office/drawing/2014/main" id="{CD13DF43-0913-4B12-95B3-58D117B79F87}"/>
            </a:ext>
          </a:extLst>
        </xdr:cNvPr>
        <xdr:cNvSpPr txBox="1">
          <a:spLocks noChangeArrowheads="1"/>
        </xdr:cNvSpPr>
      </xdr:nvSpPr>
      <xdr:spPr bwMode="auto">
        <a:xfrm>
          <a:off x="4008120" y="3044190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84071</xdr:rowOff>
    </xdr:from>
    <xdr:to>
      <xdr:col>5</xdr:col>
      <xdr:colOff>609600</xdr:colOff>
      <xdr:row>219</xdr:row>
      <xdr:rowOff>1286</xdr:rowOff>
    </xdr:to>
    <xdr:sp macro="" textlink="">
      <xdr:nvSpPr>
        <xdr:cNvPr id="258326" name="Text Box 278" hidden="1">
          <a:extLst>
            <a:ext uri="{FF2B5EF4-FFF2-40B4-BE49-F238E27FC236}">
              <a16:creationId xmlns:a16="http://schemas.microsoft.com/office/drawing/2014/main" id="{179597A6-0439-433F-A05B-522AC10FA330}"/>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84071</xdr:rowOff>
    </xdr:from>
    <xdr:to>
      <xdr:col>5</xdr:col>
      <xdr:colOff>609600</xdr:colOff>
      <xdr:row>219</xdr:row>
      <xdr:rowOff>1286</xdr:rowOff>
    </xdr:to>
    <xdr:sp macro="" textlink="">
      <xdr:nvSpPr>
        <xdr:cNvPr id="258325" name="Text Box 277" hidden="1">
          <a:extLst>
            <a:ext uri="{FF2B5EF4-FFF2-40B4-BE49-F238E27FC236}">
              <a16:creationId xmlns:a16="http://schemas.microsoft.com/office/drawing/2014/main" id="{348FDA4C-A76C-41B0-A994-41210319C35B}"/>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324" name="Text Box 276" hidden="1">
          <a:extLst>
            <a:ext uri="{FF2B5EF4-FFF2-40B4-BE49-F238E27FC236}">
              <a16:creationId xmlns:a16="http://schemas.microsoft.com/office/drawing/2014/main" id="{4257807F-6444-4F52-8636-06783DDF69DB}"/>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86995</xdr:rowOff>
    </xdr:from>
    <xdr:to>
      <xdr:col>19</xdr:col>
      <xdr:colOff>571500</xdr:colOff>
      <xdr:row>30</xdr:row>
      <xdr:rowOff>114393</xdr:rowOff>
    </xdr:to>
    <xdr:sp macro="" textlink="">
      <xdr:nvSpPr>
        <xdr:cNvPr id="258338" name="Text Box 290" hidden="1">
          <a:extLst>
            <a:ext uri="{FF2B5EF4-FFF2-40B4-BE49-F238E27FC236}">
              <a16:creationId xmlns:a16="http://schemas.microsoft.com/office/drawing/2014/main" id="{BB8FA034-C1D5-418A-9CAD-7312C9C66EBB}"/>
            </a:ext>
          </a:extLst>
        </xdr:cNvPr>
        <xdr:cNvSpPr txBox="1">
          <a:spLocks noChangeArrowheads="1"/>
        </xdr:cNvSpPr>
      </xdr:nvSpPr>
      <xdr:spPr bwMode="auto">
        <a:xfrm>
          <a:off x="15377160" y="6088380"/>
          <a:ext cx="1280160" cy="7696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101</xdr:row>
      <xdr:rowOff>133739</xdr:rowOff>
    </xdr:from>
    <xdr:to>
      <xdr:col>5</xdr:col>
      <xdr:colOff>621665</xdr:colOff>
      <xdr:row>103</xdr:row>
      <xdr:rowOff>15292</xdr:rowOff>
    </xdr:to>
    <xdr:sp macro="" textlink="">
      <xdr:nvSpPr>
        <xdr:cNvPr id="258339" name="Text Box 291" hidden="1">
          <a:extLst>
            <a:ext uri="{FF2B5EF4-FFF2-40B4-BE49-F238E27FC236}">
              <a16:creationId xmlns:a16="http://schemas.microsoft.com/office/drawing/2014/main" id="{755B1C05-CF81-467A-934A-272D424CC761}"/>
            </a:ext>
          </a:extLst>
        </xdr:cNvPr>
        <xdr:cNvSpPr txBox="1">
          <a:spLocks noChangeArrowheads="1"/>
        </xdr:cNvSpPr>
      </xdr:nvSpPr>
      <xdr:spPr bwMode="auto">
        <a:xfrm>
          <a:off x="3977640" y="21130260"/>
          <a:ext cx="1310640" cy="266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102</xdr:row>
      <xdr:rowOff>89378</xdr:rowOff>
    </xdr:from>
    <xdr:to>
      <xdr:col>5</xdr:col>
      <xdr:colOff>621665</xdr:colOff>
      <xdr:row>105</xdr:row>
      <xdr:rowOff>1151</xdr:rowOff>
    </xdr:to>
    <xdr:sp macro="" textlink="">
      <xdr:nvSpPr>
        <xdr:cNvPr id="258340" name="Text Box 292" hidden="1">
          <a:extLst>
            <a:ext uri="{FF2B5EF4-FFF2-40B4-BE49-F238E27FC236}">
              <a16:creationId xmlns:a16="http://schemas.microsoft.com/office/drawing/2014/main" id="{4DC7C797-B0AD-4D8D-A853-2BF5EA49EF8C}"/>
            </a:ext>
          </a:extLst>
        </xdr:cNvPr>
        <xdr:cNvSpPr txBox="1">
          <a:spLocks noChangeArrowheads="1"/>
        </xdr:cNvSpPr>
      </xdr:nvSpPr>
      <xdr:spPr bwMode="auto">
        <a:xfrm>
          <a:off x="3977640" y="21313140"/>
          <a:ext cx="1310640" cy="457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103</xdr:row>
      <xdr:rowOff>123240</xdr:rowOff>
    </xdr:from>
    <xdr:to>
      <xdr:col>5</xdr:col>
      <xdr:colOff>621665</xdr:colOff>
      <xdr:row>108</xdr:row>
      <xdr:rowOff>3057</xdr:rowOff>
    </xdr:to>
    <xdr:sp macro="" textlink="">
      <xdr:nvSpPr>
        <xdr:cNvPr id="258341" name="Text Box 293" hidden="1">
          <a:extLst>
            <a:ext uri="{FF2B5EF4-FFF2-40B4-BE49-F238E27FC236}">
              <a16:creationId xmlns:a16="http://schemas.microsoft.com/office/drawing/2014/main" id="{5727F1EE-CAEB-4385-9AE9-44B7128C6D1C}"/>
            </a:ext>
          </a:extLst>
        </xdr:cNvPr>
        <xdr:cNvSpPr txBox="1">
          <a:spLocks noChangeArrowheads="1"/>
        </xdr:cNvSpPr>
      </xdr:nvSpPr>
      <xdr:spPr bwMode="auto">
        <a:xfrm>
          <a:off x="3977640" y="2151126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104</xdr:row>
      <xdr:rowOff>143934</xdr:rowOff>
    </xdr:from>
    <xdr:to>
      <xdr:col>5</xdr:col>
      <xdr:colOff>621665</xdr:colOff>
      <xdr:row>109</xdr:row>
      <xdr:rowOff>3055</xdr:rowOff>
    </xdr:to>
    <xdr:sp macro="" textlink="">
      <xdr:nvSpPr>
        <xdr:cNvPr id="258342" name="Text Box 294" hidden="1">
          <a:extLst>
            <a:ext uri="{FF2B5EF4-FFF2-40B4-BE49-F238E27FC236}">
              <a16:creationId xmlns:a16="http://schemas.microsoft.com/office/drawing/2014/main" id="{16557773-ACA3-4437-81FD-9EEDC223C10A}"/>
            </a:ext>
          </a:extLst>
        </xdr:cNvPr>
        <xdr:cNvSpPr txBox="1">
          <a:spLocks noChangeArrowheads="1"/>
        </xdr:cNvSpPr>
      </xdr:nvSpPr>
      <xdr:spPr bwMode="auto">
        <a:xfrm>
          <a:off x="3977640" y="2169414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92</xdr:row>
      <xdr:rowOff>10952</xdr:rowOff>
    </xdr:from>
    <xdr:to>
      <xdr:col>5</xdr:col>
      <xdr:colOff>621665</xdr:colOff>
      <xdr:row>96</xdr:row>
      <xdr:rowOff>127451</xdr:rowOff>
    </xdr:to>
    <xdr:sp macro="" textlink="">
      <xdr:nvSpPr>
        <xdr:cNvPr id="258343" name="Text Box 295" hidden="1">
          <a:extLst>
            <a:ext uri="{FF2B5EF4-FFF2-40B4-BE49-F238E27FC236}">
              <a16:creationId xmlns:a16="http://schemas.microsoft.com/office/drawing/2014/main" id="{C9315DFF-B83D-46EB-915E-7033FF470DD0}"/>
            </a:ext>
          </a:extLst>
        </xdr:cNvPr>
        <xdr:cNvSpPr txBox="1">
          <a:spLocks noChangeArrowheads="1"/>
        </xdr:cNvSpPr>
      </xdr:nvSpPr>
      <xdr:spPr bwMode="auto">
        <a:xfrm>
          <a:off x="3977640" y="1934718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93</xdr:row>
      <xdr:rowOff>31644</xdr:rowOff>
    </xdr:from>
    <xdr:to>
      <xdr:col>5</xdr:col>
      <xdr:colOff>621665</xdr:colOff>
      <xdr:row>97</xdr:row>
      <xdr:rowOff>116797</xdr:rowOff>
    </xdr:to>
    <xdr:sp macro="" textlink="">
      <xdr:nvSpPr>
        <xdr:cNvPr id="258344" name="Text Box 296" hidden="1">
          <a:extLst>
            <a:ext uri="{FF2B5EF4-FFF2-40B4-BE49-F238E27FC236}">
              <a16:creationId xmlns:a16="http://schemas.microsoft.com/office/drawing/2014/main" id="{C82E576E-C94C-4EDA-9A83-8E385C777798}"/>
            </a:ext>
          </a:extLst>
        </xdr:cNvPr>
        <xdr:cNvSpPr txBox="1">
          <a:spLocks noChangeArrowheads="1"/>
        </xdr:cNvSpPr>
      </xdr:nvSpPr>
      <xdr:spPr bwMode="auto">
        <a:xfrm>
          <a:off x="3977640" y="1953006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94</xdr:row>
      <xdr:rowOff>45983</xdr:rowOff>
    </xdr:from>
    <xdr:to>
      <xdr:col>5</xdr:col>
      <xdr:colOff>621665</xdr:colOff>
      <xdr:row>98</xdr:row>
      <xdr:rowOff>137845</xdr:rowOff>
    </xdr:to>
    <xdr:sp macro="" textlink="">
      <xdr:nvSpPr>
        <xdr:cNvPr id="258345" name="Text Box 297" hidden="1">
          <a:extLst>
            <a:ext uri="{FF2B5EF4-FFF2-40B4-BE49-F238E27FC236}">
              <a16:creationId xmlns:a16="http://schemas.microsoft.com/office/drawing/2014/main" id="{C522A294-B0BD-44FC-A02F-6218FD75AC53}"/>
            </a:ext>
          </a:extLst>
        </xdr:cNvPr>
        <xdr:cNvSpPr txBox="1">
          <a:spLocks noChangeArrowheads="1"/>
        </xdr:cNvSpPr>
      </xdr:nvSpPr>
      <xdr:spPr bwMode="auto">
        <a:xfrm>
          <a:off x="3977640" y="1971294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95</xdr:row>
      <xdr:rowOff>52335</xdr:rowOff>
    </xdr:from>
    <xdr:to>
      <xdr:col>5</xdr:col>
      <xdr:colOff>621665</xdr:colOff>
      <xdr:row>99</xdr:row>
      <xdr:rowOff>117619</xdr:rowOff>
    </xdr:to>
    <xdr:sp macro="" textlink="">
      <xdr:nvSpPr>
        <xdr:cNvPr id="258346" name="Text Box 298" hidden="1">
          <a:extLst>
            <a:ext uri="{FF2B5EF4-FFF2-40B4-BE49-F238E27FC236}">
              <a16:creationId xmlns:a16="http://schemas.microsoft.com/office/drawing/2014/main" id="{AF1E89D6-3179-4E74-B92C-F9E49528429E}"/>
            </a:ext>
          </a:extLst>
        </xdr:cNvPr>
        <xdr:cNvSpPr txBox="1">
          <a:spLocks noChangeArrowheads="1"/>
        </xdr:cNvSpPr>
      </xdr:nvSpPr>
      <xdr:spPr bwMode="auto">
        <a:xfrm>
          <a:off x="3977640" y="1989582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185</xdr:row>
      <xdr:rowOff>199880</xdr:rowOff>
    </xdr:from>
    <xdr:to>
      <xdr:col>6</xdr:col>
      <xdr:colOff>38100</xdr:colOff>
      <xdr:row>193</xdr:row>
      <xdr:rowOff>125253</xdr:rowOff>
    </xdr:to>
    <xdr:sp macro="" textlink="">
      <xdr:nvSpPr>
        <xdr:cNvPr id="258461" name="Text Box 413" hidden="1">
          <a:extLst>
            <a:ext uri="{FF2B5EF4-FFF2-40B4-BE49-F238E27FC236}">
              <a16:creationId xmlns:a16="http://schemas.microsoft.com/office/drawing/2014/main" id="{837A0564-CA11-46FD-8697-BB72CBF2492F}"/>
            </a:ext>
          </a:extLst>
        </xdr:cNvPr>
        <xdr:cNvSpPr txBox="1">
          <a:spLocks noChangeArrowheads="1"/>
        </xdr:cNvSpPr>
      </xdr:nvSpPr>
      <xdr:spPr bwMode="auto">
        <a:xfrm>
          <a:off x="4046220" y="29451300"/>
          <a:ext cx="1447800" cy="1508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62</xdr:row>
      <xdr:rowOff>148642</xdr:rowOff>
    </xdr:to>
    <xdr:sp macro="" textlink="">
      <xdr:nvSpPr>
        <xdr:cNvPr id="258460" name="Text Box 412" hidden="1">
          <a:extLst>
            <a:ext uri="{FF2B5EF4-FFF2-40B4-BE49-F238E27FC236}">
              <a16:creationId xmlns:a16="http://schemas.microsoft.com/office/drawing/2014/main" id="{EB5F1527-5B00-4D6E-B06A-DF8093465016}"/>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62</xdr:row>
      <xdr:rowOff>148642</xdr:rowOff>
    </xdr:to>
    <xdr:sp macro="" textlink="">
      <xdr:nvSpPr>
        <xdr:cNvPr id="258459" name="Text Box 411" hidden="1">
          <a:extLst>
            <a:ext uri="{FF2B5EF4-FFF2-40B4-BE49-F238E27FC236}">
              <a16:creationId xmlns:a16="http://schemas.microsoft.com/office/drawing/2014/main" id="{7621EF48-19F7-4B88-8AB0-C5840E54F581}"/>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111921</xdr:rowOff>
    </xdr:from>
    <xdr:to>
      <xdr:col>5</xdr:col>
      <xdr:colOff>609600</xdr:colOff>
      <xdr:row>54</xdr:row>
      <xdr:rowOff>66567</xdr:rowOff>
    </xdr:to>
    <xdr:sp macro="" textlink="">
      <xdr:nvSpPr>
        <xdr:cNvPr id="258458" name="Text Box 410" hidden="1">
          <a:extLst>
            <a:ext uri="{FF2B5EF4-FFF2-40B4-BE49-F238E27FC236}">
              <a16:creationId xmlns:a16="http://schemas.microsoft.com/office/drawing/2014/main" id="{E0536428-661A-4EFB-A387-7C4567713FF5}"/>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63285</xdr:rowOff>
    </xdr:from>
    <xdr:to>
      <xdr:col>5</xdr:col>
      <xdr:colOff>609600</xdr:colOff>
      <xdr:row>53</xdr:row>
      <xdr:rowOff>168167</xdr:rowOff>
    </xdr:to>
    <xdr:sp macro="" textlink="">
      <xdr:nvSpPr>
        <xdr:cNvPr id="258457" name="Text Box 409" hidden="1">
          <a:extLst>
            <a:ext uri="{FF2B5EF4-FFF2-40B4-BE49-F238E27FC236}">
              <a16:creationId xmlns:a16="http://schemas.microsoft.com/office/drawing/2014/main" id="{34D36746-1601-415A-B37A-A618DCEBB658}"/>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89007</xdr:rowOff>
    </xdr:from>
    <xdr:to>
      <xdr:col>5</xdr:col>
      <xdr:colOff>609600</xdr:colOff>
      <xdr:row>58</xdr:row>
      <xdr:rowOff>35174</xdr:rowOff>
    </xdr:to>
    <xdr:sp macro="" textlink="">
      <xdr:nvSpPr>
        <xdr:cNvPr id="258456" name="Text Box 408" hidden="1">
          <a:extLst>
            <a:ext uri="{FF2B5EF4-FFF2-40B4-BE49-F238E27FC236}">
              <a16:creationId xmlns:a16="http://schemas.microsoft.com/office/drawing/2014/main" id="{6CA005A5-2B05-4D48-A988-A627E6C47B35}"/>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72561</xdr:rowOff>
    </xdr:from>
    <xdr:to>
      <xdr:col>5</xdr:col>
      <xdr:colOff>609600</xdr:colOff>
      <xdr:row>73</xdr:row>
      <xdr:rowOff>444500</xdr:rowOff>
    </xdr:to>
    <xdr:sp macro="" textlink="">
      <xdr:nvSpPr>
        <xdr:cNvPr id="258455" name="Text Box 407" hidden="1">
          <a:extLst>
            <a:ext uri="{FF2B5EF4-FFF2-40B4-BE49-F238E27FC236}">
              <a16:creationId xmlns:a16="http://schemas.microsoft.com/office/drawing/2014/main" id="{2765D102-A9F9-47B0-B3E1-43C3FDB21F88}"/>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94430</xdr:rowOff>
    </xdr:from>
    <xdr:to>
      <xdr:col>5</xdr:col>
      <xdr:colOff>609600</xdr:colOff>
      <xdr:row>75</xdr:row>
      <xdr:rowOff>83370</xdr:rowOff>
    </xdr:to>
    <xdr:sp macro="" textlink="">
      <xdr:nvSpPr>
        <xdr:cNvPr id="258454" name="Text Box 406" hidden="1">
          <a:extLst>
            <a:ext uri="{FF2B5EF4-FFF2-40B4-BE49-F238E27FC236}">
              <a16:creationId xmlns:a16="http://schemas.microsoft.com/office/drawing/2014/main" id="{C648D693-0F91-45A8-93DA-DDBD2404F6E6}"/>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70</xdr:row>
      <xdr:rowOff>102921</xdr:rowOff>
    </xdr:from>
    <xdr:to>
      <xdr:col>5</xdr:col>
      <xdr:colOff>609600</xdr:colOff>
      <xdr:row>75</xdr:row>
      <xdr:rowOff>296097</xdr:rowOff>
    </xdr:to>
    <xdr:sp macro="" textlink="">
      <xdr:nvSpPr>
        <xdr:cNvPr id="258453" name="Text Box 405" hidden="1">
          <a:extLst>
            <a:ext uri="{FF2B5EF4-FFF2-40B4-BE49-F238E27FC236}">
              <a16:creationId xmlns:a16="http://schemas.microsoft.com/office/drawing/2014/main" id="{760B4CED-B450-4D4C-84DF-EC03939FFC55}"/>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71</xdr:row>
      <xdr:rowOff>116656</xdr:rowOff>
    </xdr:from>
    <xdr:to>
      <xdr:col>5</xdr:col>
      <xdr:colOff>609600</xdr:colOff>
      <xdr:row>75</xdr:row>
      <xdr:rowOff>296097</xdr:rowOff>
    </xdr:to>
    <xdr:sp macro="" textlink="">
      <xdr:nvSpPr>
        <xdr:cNvPr id="258452" name="Text Box 404" hidden="1">
          <a:extLst>
            <a:ext uri="{FF2B5EF4-FFF2-40B4-BE49-F238E27FC236}">
              <a16:creationId xmlns:a16="http://schemas.microsoft.com/office/drawing/2014/main" id="{85CB8814-6B91-4829-BCE6-EE083A8E7862}"/>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190</xdr:row>
      <xdr:rowOff>162412</xdr:rowOff>
    </xdr:from>
    <xdr:to>
      <xdr:col>5</xdr:col>
      <xdr:colOff>609600</xdr:colOff>
      <xdr:row>191</xdr:row>
      <xdr:rowOff>1664</xdr:rowOff>
    </xdr:to>
    <xdr:sp macro="" textlink="">
      <xdr:nvSpPr>
        <xdr:cNvPr id="258451" name="Text Box 403" hidden="1">
          <a:extLst>
            <a:ext uri="{FF2B5EF4-FFF2-40B4-BE49-F238E27FC236}">
              <a16:creationId xmlns:a16="http://schemas.microsoft.com/office/drawing/2014/main" id="{1CF0D463-453A-4C69-8989-B9CDBDCA5C3E}"/>
            </a:ext>
          </a:extLst>
        </xdr:cNvPr>
        <xdr:cNvSpPr txBox="1">
          <a:spLocks noChangeArrowheads="1"/>
        </xdr:cNvSpPr>
      </xdr:nvSpPr>
      <xdr:spPr bwMode="auto">
        <a:xfrm>
          <a:off x="4008120" y="3043428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84071</xdr:rowOff>
    </xdr:from>
    <xdr:to>
      <xdr:col>5</xdr:col>
      <xdr:colOff>609600</xdr:colOff>
      <xdr:row>219</xdr:row>
      <xdr:rowOff>1286</xdr:rowOff>
    </xdr:to>
    <xdr:sp macro="" textlink="">
      <xdr:nvSpPr>
        <xdr:cNvPr id="258450" name="Text Box 402" hidden="1">
          <a:extLst>
            <a:ext uri="{FF2B5EF4-FFF2-40B4-BE49-F238E27FC236}">
              <a16:creationId xmlns:a16="http://schemas.microsoft.com/office/drawing/2014/main" id="{7A6BE255-1BF4-4687-972A-9E6F8806E8A6}"/>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84071</xdr:rowOff>
    </xdr:from>
    <xdr:to>
      <xdr:col>5</xdr:col>
      <xdr:colOff>609600</xdr:colOff>
      <xdr:row>219</xdr:row>
      <xdr:rowOff>1286</xdr:rowOff>
    </xdr:to>
    <xdr:sp macro="" textlink="">
      <xdr:nvSpPr>
        <xdr:cNvPr id="258449" name="Text Box 401" hidden="1">
          <a:extLst>
            <a:ext uri="{FF2B5EF4-FFF2-40B4-BE49-F238E27FC236}">
              <a16:creationId xmlns:a16="http://schemas.microsoft.com/office/drawing/2014/main" id="{5C2E7BC7-A36A-4574-8D19-2D84124EAF0B}"/>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448" name="Text Box 400" hidden="1">
          <a:extLst>
            <a:ext uri="{FF2B5EF4-FFF2-40B4-BE49-F238E27FC236}">
              <a16:creationId xmlns:a16="http://schemas.microsoft.com/office/drawing/2014/main" id="{A4837FF4-4E39-4C63-B682-387BAD286E82}"/>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76200</xdr:rowOff>
    </xdr:from>
    <xdr:to>
      <xdr:col>19</xdr:col>
      <xdr:colOff>571500</xdr:colOff>
      <xdr:row>30</xdr:row>
      <xdr:rowOff>103598</xdr:rowOff>
    </xdr:to>
    <xdr:sp macro="" textlink="">
      <xdr:nvSpPr>
        <xdr:cNvPr id="258447" name="Text Box 399" hidden="1">
          <a:extLst>
            <a:ext uri="{FF2B5EF4-FFF2-40B4-BE49-F238E27FC236}">
              <a16:creationId xmlns:a16="http://schemas.microsoft.com/office/drawing/2014/main" id="{0A1F7EA4-5134-46F3-BB41-F599CE67A4A0}"/>
            </a:ext>
          </a:extLst>
        </xdr:cNvPr>
        <xdr:cNvSpPr txBox="1">
          <a:spLocks noChangeArrowheads="1"/>
        </xdr:cNvSpPr>
      </xdr:nvSpPr>
      <xdr:spPr bwMode="auto">
        <a:xfrm>
          <a:off x="15377160" y="608076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100719</xdr:rowOff>
    </xdr:from>
    <xdr:to>
      <xdr:col>5</xdr:col>
      <xdr:colOff>620395</xdr:colOff>
      <xdr:row>103</xdr:row>
      <xdr:rowOff>15292</xdr:rowOff>
    </xdr:to>
    <xdr:sp macro="" textlink="">
      <xdr:nvSpPr>
        <xdr:cNvPr id="258446" name="Text Box 398" hidden="1">
          <a:extLst>
            <a:ext uri="{FF2B5EF4-FFF2-40B4-BE49-F238E27FC236}">
              <a16:creationId xmlns:a16="http://schemas.microsoft.com/office/drawing/2014/main" id="{578A73FB-DE29-4E38-B849-7A0E0E94E083}"/>
            </a:ext>
          </a:extLst>
        </xdr:cNvPr>
        <xdr:cNvSpPr txBox="1">
          <a:spLocks noChangeArrowheads="1"/>
        </xdr:cNvSpPr>
      </xdr:nvSpPr>
      <xdr:spPr bwMode="auto">
        <a:xfrm>
          <a:off x="3970020" y="21122640"/>
          <a:ext cx="1310640" cy="274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89378</xdr:rowOff>
    </xdr:from>
    <xdr:to>
      <xdr:col>5</xdr:col>
      <xdr:colOff>620395</xdr:colOff>
      <xdr:row>104</xdr:row>
      <xdr:rowOff>174506</xdr:rowOff>
    </xdr:to>
    <xdr:sp macro="" textlink="">
      <xdr:nvSpPr>
        <xdr:cNvPr id="258445" name="Text Box 397" hidden="1">
          <a:extLst>
            <a:ext uri="{FF2B5EF4-FFF2-40B4-BE49-F238E27FC236}">
              <a16:creationId xmlns:a16="http://schemas.microsoft.com/office/drawing/2014/main" id="{45E85962-25A0-41F2-B0E0-5265DB84478A}"/>
            </a:ext>
          </a:extLst>
        </xdr:cNvPr>
        <xdr:cNvSpPr txBox="1">
          <a:spLocks noChangeArrowheads="1"/>
        </xdr:cNvSpPr>
      </xdr:nvSpPr>
      <xdr:spPr bwMode="auto">
        <a:xfrm>
          <a:off x="3970020" y="21313140"/>
          <a:ext cx="131064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103</xdr:row>
      <xdr:rowOff>123240</xdr:rowOff>
    </xdr:from>
    <xdr:to>
      <xdr:col>5</xdr:col>
      <xdr:colOff>620395</xdr:colOff>
      <xdr:row>108</xdr:row>
      <xdr:rowOff>3057</xdr:rowOff>
    </xdr:to>
    <xdr:sp macro="" textlink="">
      <xdr:nvSpPr>
        <xdr:cNvPr id="258444" name="Text Box 396" hidden="1">
          <a:extLst>
            <a:ext uri="{FF2B5EF4-FFF2-40B4-BE49-F238E27FC236}">
              <a16:creationId xmlns:a16="http://schemas.microsoft.com/office/drawing/2014/main" id="{61CDDD2B-D957-4564-A76B-4FF5031722C4}"/>
            </a:ext>
          </a:extLst>
        </xdr:cNvPr>
        <xdr:cNvSpPr txBox="1">
          <a:spLocks noChangeArrowheads="1"/>
        </xdr:cNvSpPr>
      </xdr:nvSpPr>
      <xdr:spPr bwMode="auto">
        <a:xfrm>
          <a:off x="397002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104</xdr:row>
      <xdr:rowOff>143934</xdr:rowOff>
    </xdr:from>
    <xdr:to>
      <xdr:col>5</xdr:col>
      <xdr:colOff>620395</xdr:colOff>
      <xdr:row>109</xdr:row>
      <xdr:rowOff>3055</xdr:rowOff>
    </xdr:to>
    <xdr:sp macro="" textlink="">
      <xdr:nvSpPr>
        <xdr:cNvPr id="258443" name="Text Box 395" hidden="1">
          <a:extLst>
            <a:ext uri="{FF2B5EF4-FFF2-40B4-BE49-F238E27FC236}">
              <a16:creationId xmlns:a16="http://schemas.microsoft.com/office/drawing/2014/main" id="{06C03AC7-37B8-4482-A228-B3D04A54666F}"/>
            </a:ext>
          </a:extLst>
        </xdr:cNvPr>
        <xdr:cNvSpPr txBox="1">
          <a:spLocks noChangeArrowheads="1"/>
        </xdr:cNvSpPr>
      </xdr:nvSpPr>
      <xdr:spPr bwMode="auto">
        <a:xfrm>
          <a:off x="397002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10952</xdr:rowOff>
    </xdr:from>
    <xdr:to>
      <xdr:col>5</xdr:col>
      <xdr:colOff>620395</xdr:colOff>
      <xdr:row>96</xdr:row>
      <xdr:rowOff>127451</xdr:rowOff>
    </xdr:to>
    <xdr:sp macro="" textlink="">
      <xdr:nvSpPr>
        <xdr:cNvPr id="258442" name="Text Box 394" hidden="1">
          <a:extLst>
            <a:ext uri="{FF2B5EF4-FFF2-40B4-BE49-F238E27FC236}">
              <a16:creationId xmlns:a16="http://schemas.microsoft.com/office/drawing/2014/main" id="{540444C8-DE33-4CA5-A026-C49858C742A4}"/>
            </a:ext>
          </a:extLst>
        </xdr:cNvPr>
        <xdr:cNvSpPr txBox="1">
          <a:spLocks noChangeArrowheads="1"/>
        </xdr:cNvSpPr>
      </xdr:nvSpPr>
      <xdr:spPr bwMode="auto">
        <a:xfrm>
          <a:off x="397002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31644</xdr:rowOff>
    </xdr:from>
    <xdr:to>
      <xdr:col>5</xdr:col>
      <xdr:colOff>620395</xdr:colOff>
      <xdr:row>97</xdr:row>
      <xdr:rowOff>116797</xdr:rowOff>
    </xdr:to>
    <xdr:sp macro="" textlink="">
      <xdr:nvSpPr>
        <xdr:cNvPr id="258441" name="Text Box 393" hidden="1">
          <a:extLst>
            <a:ext uri="{FF2B5EF4-FFF2-40B4-BE49-F238E27FC236}">
              <a16:creationId xmlns:a16="http://schemas.microsoft.com/office/drawing/2014/main" id="{85A73F4F-8E5B-48C7-8641-8ABE8BCCB684}"/>
            </a:ext>
          </a:extLst>
        </xdr:cNvPr>
        <xdr:cNvSpPr txBox="1">
          <a:spLocks noChangeArrowheads="1"/>
        </xdr:cNvSpPr>
      </xdr:nvSpPr>
      <xdr:spPr bwMode="auto">
        <a:xfrm>
          <a:off x="397002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94</xdr:row>
      <xdr:rowOff>45983</xdr:rowOff>
    </xdr:from>
    <xdr:to>
      <xdr:col>5</xdr:col>
      <xdr:colOff>620395</xdr:colOff>
      <xdr:row>98</xdr:row>
      <xdr:rowOff>137845</xdr:rowOff>
    </xdr:to>
    <xdr:sp macro="" textlink="">
      <xdr:nvSpPr>
        <xdr:cNvPr id="258440" name="Text Box 392" hidden="1">
          <a:extLst>
            <a:ext uri="{FF2B5EF4-FFF2-40B4-BE49-F238E27FC236}">
              <a16:creationId xmlns:a16="http://schemas.microsoft.com/office/drawing/2014/main" id="{42584DC4-16EA-4DB5-89D3-BB29C41A272A}"/>
            </a:ext>
          </a:extLst>
        </xdr:cNvPr>
        <xdr:cNvSpPr txBox="1">
          <a:spLocks noChangeArrowheads="1"/>
        </xdr:cNvSpPr>
      </xdr:nvSpPr>
      <xdr:spPr bwMode="auto">
        <a:xfrm>
          <a:off x="397002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52335</xdr:rowOff>
    </xdr:from>
    <xdr:to>
      <xdr:col>5</xdr:col>
      <xdr:colOff>620395</xdr:colOff>
      <xdr:row>99</xdr:row>
      <xdr:rowOff>117619</xdr:rowOff>
    </xdr:to>
    <xdr:sp macro="" textlink="">
      <xdr:nvSpPr>
        <xdr:cNvPr id="258439" name="Text Box 391" hidden="1">
          <a:extLst>
            <a:ext uri="{FF2B5EF4-FFF2-40B4-BE49-F238E27FC236}">
              <a16:creationId xmlns:a16="http://schemas.microsoft.com/office/drawing/2014/main" id="{56C12DE3-76C8-443B-BBA7-8456C5CC5CF4}"/>
            </a:ext>
          </a:extLst>
        </xdr:cNvPr>
        <xdr:cNvSpPr txBox="1">
          <a:spLocks noChangeArrowheads="1"/>
        </xdr:cNvSpPr>
      </xdr:nvSpPr>
      <xdr:spPr bwMode="auto">
        <a:xfrm>
          <a:off x="397002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185</xdr:row>
      <xdr:rowOff>199880</xdr:rowOff>
    </xdr:from>
    <xdr:to>
      <xdr:col>6</xdr:col>
      <xdr:colOff>38100</xdr:colOff>
      <xdr:row>193</xdr:row>
      <xdr:rowOff>125253</xdr:rowOff>
    </xdr:to>
    <xdr:sp macro="" textlink="">
      <xdr:nvSpPr>
        <xdr:cNvPr id="258438" name="Text Box 390" hidden="1">
          <a:extLst>
            <a:ext uri="{FF2B5EF4-FFF2-40B4-BE49-F238E27FC236}">
              <a16:creationId xmlns:a16="http://schemas.microsoft.com/office/drawing/2014/main" id="{200A9B2C-3B6E-4AF8-9C7E-AA0696C64075}"/>
            </a:ext>
          </a:extLst>
        </xdr:cNvPr>
        <xdr:cNvSpPr txBox="1">
          <a:spLocks noChangeArrowheads="1"/>
        </xdr:cNvSpPr>
      </xdr:nvSpPr>
      <xdr:spPr bwMode="auto">
        <a:xfrm>
          <a:off x="4046220" y="29451300"/>
          <a:ext cx="1447800" cy="1508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62</xdr:row>
      <xdr:rowOff>148642</xdr:rowOff>
    </xdr:to>
    <xdr:sp macro="" textlink="">
      <xdr:nvSpPr>
        <xdr:cNvPr id="258437" name="Text Box 389" hidden="1">
          <a:extLst>
            <a:ext uri="{FF2B5EF4-FFF2-40B4-BE49-F238E27FC236}">
              <a16:creationId xmlns:a16="http://schemas.microsoft.com/office/drawing/2014/main" id="{DDDC1CC9-EAC5-4B4E-B386-8A99A7FFC2A9}"/>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62</xdr:row>
      <xdr:rowOff>148642</xdr:rowOff>
    </xdr:to>
    <xdr:sp macro="" textlink="">
      <xdr:nvSpPr>
        <xdr:cNvPr id="258436" name="Text Box 388" hidden="1">
          <a:extLst>
            <a:ext uri="{FF2B5EF4-FFF2-40B4-BE49-F238E27FC236}">
              <a16:creationId xmlns:a16="http://schemas.microsoft.com/office/drawing/2014/main" id="{06D11A38-FA29-4EED-BAE6-372E94ACA3D1}"/>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111921</xdr:rowOff>
    </xdr:from>
    <xdr:to>
      <xdr:col>5</xdr:col>
      <xdr:colOff>609600</xdr:colOff>
      <xdr:row>54</xdr:row>
      <xdr:rowOff>66567</xdr:rowOff>
    </xdr:to>
    <xdr:sp macro="" textlink="">
      <xdr:nvSpPr>
        <xdr:cNvPr id="258435" name="Text Box 387" hidden="1">
          <a:extLst>
            <a:ext uri="{FF2B5EF4-FFF2-40B4-BE49-F238E27FC236}">
              <a16:creationId xmlns:a16="http://schemas.microsoft.com/office/drawing/2014/main" id="{6673DD1A-9EF6-4B19-98FA-C485676D072A}"/>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63285</xdr:rowOff>
    </xdr:from>
    <xdr:to>
      <xdr:col>5</xdr:col>
      <xdr:colOff>609600</xdr:colOff>
      <xdr:row>53</xdr:row>
      <xdr:rowOff>168167</xdr:rowOff>
    </xdr:to>
    <xdr:sp macro="" textlink="">
      <xdr:nvSpPr>
        <xdr:cNvPr id="258434" name="Text Box 386" hidden="1">
          <a:extLst>
            <a:ext uri="{FF2B5EF4-FFF2-40B4-BE49-F238E27FC236}">
              <a16:creationId xmlns:a16="http://schemas.microsoft.com/office/drawing/2014/main" id="{FDDF4766-7F32-4F2A-BF81-8FC2459A57D6}"/>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89007</xdr:rowOff>
    </xdr:from>
    <xdr:to>
      <xdr:col>5</xdr:col>
      <xdr:colOff>609600</xdr:colOff>
      <xdr:row>58</xdr:row>
      <xdr:rowOff>35174</xdr:rowOff>
    </xdr:to>
    <xdr:sp macro="" textlink="">
      <xdr:nvSpPr>
        <xdr:cNvPr id="258433" name="Text Box 385" hidden="1">
          <a:extLst>
            <a:ext uri="{FF2B5EF4-FFF2-40B4-BE49-F238E27FC236}">
              <a16:creationId xmlns:a16="http://schemas.microsoft.com/office/drawing/2014/main" id="{F2703C0D-F5E9-47AA-AC9D-8258592C8B62}"/>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72561</xdr:rowOff>
    </xdr:from>
    <xdr:to>
      <xdr:col>5</xdr:col>
      <xdr:colOff>609600</xdr:colOff>
      <xdr:row>73</xdr:row>
      <xdr:rowOff>444500</xdr:rowOff>
    </xdr:to>
    <xdr:sp macro="" textlink="">
      <xdr:nvSpPr>
        <xdr:cNvPr id="258432" name="Text Box 384" hidden="1">
          <a:extLst>
            <a:ext uri="{FF2B5EF4-FFF2-40B4-BE49-F238E27FC236}">
              <a16:creationId xmlns:a16="http://schemas.microsoft.com/office/drawing/2014/main" id="{E584EE81-17E2-49FC-899E-A947D6BBBE8C}"/>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94430</xdr:rowOff>
    </xdr:from>
    <xdr:to>
      <xdr:col>5</xdr:col>
      <xdr:colOff>609600</xdr:colOff>
      <xdr:row>75</xdr:row>
      <xdr:rowOff>83370</xdr:rowOff>
    </xdr:to>
    <xdr:sp macro="" textlink="">
      <xdr:nvSpPr>
        <xdr:cNvPr id="258431" name="Text Box 383" hidden="1">
          <a:extLst>
            <a:ext uri="{FF2B5EF4-FFF2-40B4-BE49-F238E27FC236}">
              <a16:creationId xmlns:a16="http://schemas.microsoft.com/office/drawing/2014/main" id="{7F2B5BF6-FF8F-4D74-B5B3-29967F532055}"/>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70</xdr:row>
      <xdr:rowOff>102921</xdr:rowOff>
    </xdr:from>
    <xdr:to>
      <xdr:col>5</xdr:col>
      <xdr:colOff>609600</xdr:colOff>
      <xdr:row>75</xdr:row>
      <xdr:rowOff>296097</xdr:rowOff>
    </xdr:to>
    <xdr:sp macro="" textlink="">
      <xdr:nvSpPr>
        <xdr:cNvPr id="258430" name="Text Box 382" hidden="1">
          <a:extLst>
            <a:ext uri="{FF2B5EF4-FFF2-40B4-BE49-F238E27FC236}">
              <a16:creationId xmlns:a16="http://schemas.microsoft.com/office/drawing/2014/main" id="{668FD32C-B5B0-4748-AA9D-FF7E86931F38}"/>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71</xdr:row>
      <xdr:rowOff>116656</xdr:rowOff>
    </xdr:from>
    <xdr:to>
      <xdr:col>5</xdr:col>
      <xdr:colOff>609600</xdr:colOff>
      <xdr:row>75</xdr:row>
      <xdr:rowOff>296097</xdr:rowOff>
    </xdr:to>
    <xdr:sp macro="" textlink="">
      <xdr:nvSpPr>
        <xdr:cNvPr id="258429" name="Text Box 381" hidden="1">
          <a:extLst>
            <a:ext uri="{FF2B5EF4-FFF2-40B4-BE49-F238E27FC236}">
              <a16:creationId xmlns:a16="http://schemas.microsoft.com/office/drawing/2014/main" id="{18A40337-A52B-44BD-8B0A-F074B79A5ADE}"/>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190</xdr:row>
      <xdr:rowOff>162412</xdr:rowOff>
    </xdr:from>
    <xdr:to>
      <xdr:col>5</xdr:col>
      <xdr:colOff>609600</xdr:colOff>
      <xdr:row>191</xdr:row>
      <xdr:rowOff>1664</xdr:rowOff>
    </xdr:to>
    <xdr:sp macro="" textlink="">
      <xdr:nvSpPr>
        <xdr:cNvPr id="258428" name="Text Box 380" hidden="1">
          <a:extLst>
            <a:ext uri="{FF2B5EF4-FFF2-40B4-BE49-F238E27FC236}">
              <a16:creationId xmlns:a16="http://schemas.microsoft.com/office/drawing/2014/main" id="{74169F2B-FA48-4D72-B416-DBD4392A4C69}"/>
            </a:ext>
          </a:extLst>
        </xdr:cNvPr>
        <xdr:cNvSpPr txBox="1">
          <a:spLocks noChangeArrowheads="1"/>
        </xdr:cNvSpPr>
      </xdr:nvSpPr>
      <xdr:spPr bwMode="auto">
        <a:xfrm>
          <a:off x="4008120" y="3043428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84071</xdr:rowOff>
    </xdr:from>
    <xdr:to>
      <xdr:col>5</xdr:col>
      <xdr:colOff>609600</xdr:colOff>
      <xdr:row>219</xdr:row>
      <xdr:rowOff>1286</xdr:rowOff>
    </xdr:to>
    <xdr:sp macro="" textlink="">
      <xdr:nvSpPr>
        <xdr:cNvPr id="258427" name="Text Box 379" hidden="1">
          <a:extLst>
            <a:ext uri="{FF2B5EF4-FFF2-40B4-BE49-F238E27FC236}">
              <a16:creationId xmlns:a16="http://schemas.microsoft.com/office/drawing/2014/main" id="{5528AAB4-915B-47CE-8963-CF078E6CED17}"/>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84071</xdr:rowOff>
    </xdr:from>
    <xdr:to>
      <xdr:col>5</xdr:col>
      <xdr:colOff>609600</xdr:colOff>
      <xdr:row>219</xdr:row>
      <xdr:rowOff>1286</xdr:rowOff>
    </xdr:to>
    <xdr:sp macro="" textlink="">
      <xdr:nvSpPr>
        <xdr:cNvPr id="258426" name="Text Box 378" hidden="1">
          <a:extLst>
            <a:ext uri="{FF2B5EF4-FFF2-40B4-BE49-F238E27FC236}">
              <a16:creationId xmlns:a16="http://schemas.microsoft.com/office/drawing/2014/main" id="{508883C5-52C3-453D-9E21-3BDB032C31C1}"/>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425" name="Text Box 377" hidden="1">
          <a:extLst>
            <a:ext uri="{FF2B5EF4-FFF2-40B4-BE49-F238E27FC236}">
              <a16:creationId xmlns:a16="http://schemas.microsoft.com/office/drawing/2014/main" id="{7313E7FD-1FC4-47CC-8A0D-34EF18460E1F}"/>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76200</xdr:rowOff>
    </xdr:from>
    <xdr:to>
      <xdr:col>19</xdr:col>
      <xdr:colOff>571500</xdr:colOff>
      <xdr:row>30</xdr:row>
      <xdr:rowOff>103598</xdr:rowOff>
    </xdr:to>
    <xdr:sp macro="" textlink="">
      <xdr:nvSpPr>
        <xdr:cNvPr id="258424" name="Text Box 376" hidden="1">
          <a:extLst>
            <a:ext uri="{FF2B5EF4-FFF2-40B4-BE49-F238E27FC236}">
              <a16:creationId xmlns:a16="http://schemas.microsoft.com/office/drawing/2014/main" id="{1859DE3F-E706-4243-B63D-0313451E1E8E}"/>
            </a:ext>
          </a:extLst>
        </xdr:cNvPr>
        <xdr:cNvSpPr txBox="1">
          <a:spLocks noChangeArrowheads="1"/>
        </xdr:cNvSpPr>
      </xdr:nvSpPr>
      <xdr:spPr bwMode="auto">
        <a:xfrm>
          <a:off x="15377160" y="608076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100719</xdr:rowOff>
    </xdr:from>
    <xdr:to>
      <xdr:col>5</xdr:col>
      <xdr:colOff>620395</xdr:colOff>
      <xdr:row>103</xdr:row>
      <xdr:rowOff>15292</xdr:rowOff>
    </xdr:to>
    <xdr:sp macro="" textlink="">
      <xdr:nvSpPr>
        <xdr:cNvPr id="258423" name="Text Box 375" hidden="1">
          <a:extLst>
            <a:ext uri="{FF2B5EF4-FFF2-40B4-BE49-F238E27FC236}">
              <a16:creationId xmlns:a16="http://schemas.microsoft.com/office/drawing/2014/main" id="{2E51CBB5-3661-4736-8040-B714B03085B5}"/>
            </a:ext>
          </a:extLst>
        </xdr:cNvPr>
        <xdr:cNvSpPr txBox="1">
          <a:spLocks noChangeArrowheads="1"/>
        </xdr:cNvSpPr>
      </xdr:nvSpPr>
      <xdr:spPr bwMode="auto">
        <a:xfrm>
          <a:off x="3970020" y="21122640"/>
          <a:ext cx="1310640" cy="274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89378</xdr:rowOff>
    </xdr:from>
    <xdr:to>
      <xdr:col>5</xdr:col>
      <xdr:colOff>620395</xdr:colOff>
      <xdr:row>104</xdr:row>
      <xdr:rowOff>174506</xdr:rowOff>
    </xdr:to>
    <xdr:sp macro="" textlink="">
      <xdr:nvSpPr>
        <xdr:cNvPr id="258422" name="Text Box 374" hidden="1">
          <a:extLst>
            <a:ext uri="{FF2B5EF4-FFF2-40B4-BE49-F238E27FC236}">
              <a16:creationId xmlns:a16="http://schemas.microsoft.com/office/drawing/2014/main" id="{AD101233-E720-4711-B521-3025D3CEC874}"/>
            </a:ext>
          </a:extLst>
        </xdr:cNvPr>
        <xdr:cNvSpPr txBox="1">
          <a:spLocks noChangeArrowheads="1"/>
        </xdr:cNvSpPr>
      </xdr:nvSpPr>
      <xdr:spPr bwMode="auto">
        <a:xfrm>
          <a:off x="3970020" y="21313140"/>
          <a:ext cx="131064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103</xdr:row>
      <xdr:rowOff>123240</xdr:rowOff>
    </xdr:from>
    <xdr:to>
      <xdr:col>5</xdr:col>
      <xdr:colOff>620395</xdr:colOff>
      <xdr:row>108</xdr:row>
      <xdr:rowOff>3057</xdr:rowOff>
    </xdr:to>
    <xdr:sp macro="" textlink="">
      <xdr:nvSpPr>
        <xdr:cNvPr id="258421" name="Text Box 373" hidden="1">
          <a:extLst>
            <a:ext uri="{FF2B5EF4-FFF2-40B4-BE49-F238E27FC236}">
              <a16:creationId xmlns:a16="http://schemas.microsoft.com/office/drawing/2014/main" id="{6C4DC465-C005-48E3-BAE1-C12E171089C4}"/>
            </a:ext>
          </a:extLst>
        </xdr:cNvPr>
        <xdr:cNvSpPr txBox="1">
          <a:spLocks noChangeArrowheads="1"/>
        </xdr:cNvSpPr>
      </xdr:nvSpPr>
      <xdr:spPr bwMode="auto">
        <a:xfrm>
          <a:off x="397002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104</xdr:row>
      <xdr:rowOff>143934</xdr:rowOff>
    </xdr:from>
    <xdr:to>
      <xdr:col>5</xdr:col>
      <xdr:colOff>620395</xdr:colOff>
      <xdr:row>109</xdr:row>
      <xdr:rowOff>3055</xdr:rowOff>
    </xdr:to>
    <xdr:sp macro="" textlink="">
      <xdr:nvSpPr>
        <xdr:cNvPr id="258420" name="Text Box 372" hidden="1">
          <a:extLst>
            <a:ext uri="{FF2B5EF4-FFF2-40B4-BE49-F238E27FC236}">
              <a16:creationId xmlns:a16="http://schemas.microsoft.com/office/drawing/2014/main" id="{E7BB2D98-AB97-4529-9D19-248A0C768949}"/>
            </a:ext>
          </a:extLst>
        </xdr:cNvPr>
        <xdr:cNvSpPr txBox="1">
          <a:spLocks noChangeArrowheads="1"/>
        </xdr:cNvSpPr>
      </xdr:nvSpPr>
      <xdr:spPr bwMode="auto">
        <a:xfrm>
          <a:off x="397002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10952</xdr:rowOff>
    </xdr:from>
    <xdr:to>
      <xdr:col>5</xdr:col>
      <xdr:colOff>620395</xdr:colOff>
      <xdr:row>96</xdr:row>
      <xdr:rowOff>127451</xdr:rowOff>
    </xdr:to>
    <xdr:sp macro="" textlink="">
      <xdr:nvSpPr>
        <xdr:cNvPr id="258419" name="Text Box 371" hidden="1">
          <a:extLst>
            <a:ext uri="{FF2B5EF4-FFF2-40B4-BE49-F238E27FC236}">
              <a16:creationId xmlns:a16="http://schemas.microsoft.com/office/drawing/2014/main" id="{214129A8-9E61-471B-8F06-1E5F179D289B}"/>
            </a:ext>
          </a:extLst>
        </xdr:cNvPr>
        <xdr:cNvSpPr txBox="1">
          <a:spLocks noChangeArrowheads="1"/>
        </xdr:cNvSpPr>
      </xdr:nvSpPr>
      <xdr:spPr bwMode="auto">
        <a:xfrm>
          <a:off x="397002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31644</xdr:rowOff>
    </xdr:from>
    <xdr:to>
      <xdr:col>5</xdr:col>
      <xdr:colOff>620395</xdr:colOff>
      <xdr:row>97</xdr:row>
      <xdr:rowOff>116797</xdr:rowOff>
    </xdr:to>
    <xdr:sp macro="" textlink="">
      <xdr:nvSpPr>
        <xdr:cNvPr id="258418" name="Text Box 370" hidden="1">
          <a:extLst>
            <a:ext uri="{FF2B5EF4-FFF2-40B4-BE49-F238E27FC236}">
              <a16:creationId xmlns:a16="http://schemas.microsoft.com/office/drawing/2014/main" id="{54049864-E03B-4A63-8516-F3A466285CC8}"/>
            </a:ext>
          </a:extLst>
        </xdr:cNvPr>
        <xdr:cNvSpPr txBox="1">
          <a:spLocks noChangeArrowheads="1"/>
        </xdr:cNvSpPr>
      </xdr:nvSpPr>
      <xdr:spPr bwMode="auto">
        <a:xfrm>
          <a:off x="397002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94</xdr:row>
      <xdr:rowOff>45983</xdr:rowOff>
    </xdr:from>
    <xdr:to>
      <xdr:col>5</xdr:col>
      <xdr:colOff>620395</xdr:colOff>
      <xdr:row>98</xdr:row>
      <xdr:rowOff>137845</xdr:rowOff>
    </xdr:to>
    <xdr:sp macro="" textlink="">
      <xdr:nvSpPr>
        <xdr:cNvPr id="258417" name="Text Box 369" hidden="1">
          <a:extLst>
            <a:ext uri="{FF2B5EF4-FFF2-40B4-BE49-F238E27FC236}">
              <a16:creationId xmlns:a16="http://schemas.microsoft.com/office/drawing/2014/main" id="{35A6AC1C-6B4B-43B1-A4A4-9B719FDFC53A}"/>
            </a:ext>
          </a:extLst>
        </xdr:cNvPr>
        <xdr:cNvSpPr txBox="1">
          <a:spLocks noChangeArrowheads="1"/>
        </xdr:cNvSpPr>
      </xdr:nvSpPr>
      <xdr:spPr bwMode="auto">
        <a:xfrm>
          <a:off x="397002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52335</xdr:rowOff>
    </xdr:from>
    <xdr:to>
      <xdr:col>5</xdr:col>
      <xdr:colOff>620395</xdr:colOff>
      <xdr:row>99</xdr:row>
      <xdr:rowOff>117619</xdr:rowOff>
    </xdr:to>
    <xdr:sp macro="" textlink="">
      <xdr:nvSpPr>
        <xdr:cNvPr id="258416" name="Text Box 368" hidden="1">
          <a:extLst>
            <a:ext uri="{FF2B5EF4-FFF2-40B4-BE49-F238E27FC236}">
              <a16:creationId xmlns:a16="http://schemas.microsoft.com/office/drawing/2014/main" id="{68146593-F111-478D-AF9C-5A30FD00272B}"/>
            </a:ext>
          </a:extLst>
        </xdr:cNvPr>
        <xdr:cNvSpPr txBox="1">
          <a:spLocks noChangeArrowheads="1"/>
        </xdr:cNvSpPr>
      </xdr:nvSpPr>
      <xdr:spPr bwMode="auto">
        <a:xfrm>
          <a:off x="397002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185</xdr:row>
      <xdr:rowOff>199880</xdr:rowOff>
    </xdr:from>
    <xdr:to>
      <xdr:col>6</xdr:col>
      <xdr:colOff>38100</xdr:colOff>
      <xdr:row>193</xdr:row>
      <xdr:rowOff>125253</xdr:rowOff>
    </xdr:to>
    <xdr:sp macro="" textlink="">
      <xdr:nvSpPr>
        <xdr:cNvPr id="258415" name="Text Box 367" hidden="1">
          <a:extLst>
            <a:ext uri="{FF2B5EF4-FFF2-40B4-BE49-F238E27FC236}">
              <a16:creationId xmlns:a16="http://schemas.microsoft.com/office/drawing/2014/main" id="{85ACF4EA-7678-4FA2-9DC0-8840DBDF6423}"/>
            </a:ext>
          </a:extLst>
        </xdr:cNvPr>
        <xdr:cNvSpPr txBox="1">
          <a:spLocks noChangeArrowheads="1"/>
        </xdr:cNvSpPr>
      </xdr:nvSpPr>
      <xdr:spPr bwMode="auto">
        <a:xfrm>
          <a:off x="4046220" y="29451300"/>
          <a:ext cx="1447800" cy="1508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62</xdr:row>
      <xdr:rowOff>148642</xdr:rowOff>
    </xdr:to>
    <xdr:sp macro="" textlink="">
      <xdr:nvSpPr>
        <xdr:cNvPr id="258414" name="Text Box 366" hidden="1">
          <a:extLst>
            <a:ext uri="{FF2B5EF4-FFF2-40B4-BE49-F238E27FC236}">
              <a16:creationId xmlns:a16="http://schemas.microsoft.com/office/drawing/2014/main" id="{604C28F6-EB9E-41B2-ACD1-211AECAD54FC}"/>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62</xdr:row>
      <xdr:rowOff>148642</xdr:rowOff>
    </xdr:to>
    <xdr:sp macro="" textlink="">
      <xdr:nvSpPr>
        <xdr:cNvPr id="258413" name="Text Box 365" hidden="1">
          <a:extLst>
            <a:ext uri="{FF2B5EF4-FFF2-40B4-BE49-F238E27FC236}">
              <a16:creationId xmlns:a16="http://schemas.microsoft.com/office/drawing/2014/main" id="{32FB51A6-A228-48AE-A976-690D81DE0475}"/>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111921</xdr:rowOff>
    </xdr:from>
    <xdr:to>
      <xdr:col>5</xdr:col>
      <xdr:colOff>609600</xdr:colOff>
      <xdr:row>54</xdr:row>
      <xdr:rowOff>66567</xdr:rowOff>
    </xdr:to>
    <xdr:sp macro="" textlink="">
      <xdr:nvSpPr>
        <xdr:cNvPr id="258412" name="Text Box 364" hidden="1">
          <a:extLst>
            <a:ext uri="{FF2B5EF4-FFF2-40B4-BE49-F238E27FC236}">
              <a16:creationId xmlns:a16="http://schemas.microsoft.com/office/drawing/2014/main" id="{15272EC6-3B13-4299-A180-46F6A6C82963}"/>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63285</xdr:rowOff>
    </xdr:from>
    <xdr:to>
      <xdr:col>5</xdr:col>
      <xdr:colOff>609600</xdr:colOff>
      <xdr:row>53</xdr:row>
      <xdr:rowOff>168167</xdr:rowOff>
    </xdr:to>
    <xdr:sp macro="" textlink="">
      <xdr:nvSpPr>
        <xdr:cNvPr id="258411" name="Text Box 363" hidden="1">
          <a:extLst>
            <a:ext uri="{FF2B5EF4-FFF2-40B4-BE49-F238E27FC236}">
              <a16:creationId xmlns:a16="http://schemas.microsoft.com/office/drawing/2014/main" id="{D86458B8-04BB-42A6-9FF8-CC3191446659}"/>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89007</xdr:rowOff>
    </xdr:from>
    <xdr:to>
      <xdr:col>5</xdr:col>
      <xdr:colOff>609600</xdr:colOff>
      <xdr:row>58</xdr:row>
      <xdr:rowOff>35174</xdr:rowOff>
    </xdr:to>
    <xdr:sp macro="" textlink="">
      <xdr:nvSpPr>
        <xdr:cNvPr id="258410" name="Text Box 362" hidden="1">
          <a:extLst>
            <a:ext uri="{FF2B5EF4-FFF2-40B4-BE49-F238E27FC236}">
              <a16:creationId xmlns:a16="http://schemas.microsoft.com/office/drawing/2014/main" id="{CF90A911-F796-4275-A709-CA8995DD27B8}"/>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72561</xdr:rowOff>
    </xdr:from>
    <xdr:to>
      <xdr:col>5</xdr:col>
      <xdr:colOff>609600</xdr:colOff>
      <xdr:row>73</xdr:row>
      <xdr:rowOff>444500</xdr:rowOff>
    </xdr:to>
    <xdr:sp macro="" textlink="">
      <xdr:nvSpPr>
        <xdr:cNvPr id="258409" name="Text Box 361" hidden="1">
          <a:extLst>
            <a:ext uri="{FF2B5EF4-FFF2-40B4-BE49-F238E27FC236}">
              <a16:creationId xmlns:a16="http://schemas.microsoft.com/office/drawing/2014/main" id="{0C92A616-338D-4907-B951-4DD1E38E8C51}"/>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94430</xdr:rowOff>
    </xdr:from>
    <xdr:to>
      <xdr:col>5</xdr:col>
      <xdr:colOff>609600</xdr:colOff>
      <xdr:row>75</xdr:row>
      <xdr:rowOff>83370</xdr:rowOff>
    </xdr:to>
    <xdr:sp macro="" textlink="">
      <xdr:nvSpPr>
        <xdr:cNvPr id="258408" name="Text Box 360" hidden="1">
          <a:extLst>
            <a:ext uri="{FF2B5EF4-FFF2-40B4-BE49-F238E27FC236}">
              <a16:creationId xmlns:a16="http://schemas.microsoft.com/office/drawing/2014/main" id="{5B0AD9B0-BCE6-44B4-B5A9-C7120EC5C0AB}"/>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70</xdr:row>
      <xdr:rowOff>102921</xdr:rowOff>
    </xdr:from>
    <xdr:to>
      <xdr:col>5</xdr:col>
      <xdr:colOff>609600</xdr:colOff>
      <xdr:row>75</xdr:row>
      <xdr:rowOff>296097</xdr:rowOff>
    </xdr:to>
    <xdr:sp macro="" textlink="">
      <xdr:nvSpPr>
        <xdr:cNvPr id="258407" name="Text Box 359" hidden="1">
          <a:extLst>
            <a:ext uri="{FF2B5EF4-FFF2-40B4-BE49-F238E27FC236}">
              <a16:creationId xmlns:a16="http://schemas.microsoft.com/office/drawing/2014/main" id="{1D20CCEF-4FE0-4D73-A5E3-E88ABB28CFBD}"/>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71</xdr:row>
      <xdr:rowOff>116656</xdr:rowOff>
    </xdr:from>
    <xdr:to>
      <xdr:col>5</xdr:col>
      <xdr:colOff>609600</xdr:colOff>
      <xdr:row>75</xdr:row>
      <xdr:rowOff>296097</xdr:rowOff>
    </xdr:to>
    <xdr:sp macro="" textlink="">
      <xdr:nvSpPr>
        <xdr:cNvPr id="258406" name="Text Box 358" hidden="1">
          <a:extLst>
            <a:ext uri="{FF2B5EF4-FFF2-40B4-BE49-F238E27FC236}">
              <a16:creationId xmlns:a16="http://schemas.microsoft.com/office/drawing/2014/main" id="{A4526BC6-3C92-4C7F-B60E-A5E3B408F055}"/>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190</xdr:row>
      <xdr:rowOff>162412</xdr:rowOff>
    </xdr:from>
    <xdr:to>
      <xdr:col>5</xdr:col>
      <xdr:colOff>609600</xdr:colOff>
      <xdr:row>191</xdr:row>
      <xdr:rowOff>1664</xdr:rowOff>
    </xdr:to>
    <xdr:sp macro="" textlink="">
      <xdr:nvSpPr>
        <xdr:cNvPr id="258405" name="Text Box 357" hidden="1">
          <a:extLst>
            <a:ext uri="{FF2B5EF4-FFF2-40B4-BE49-F238E27FC236}">
              <a16:creationId xmlns:a16="http://schemas.microsoft.com/office/drawing/2014/main" id="{37C024E7-B9F4-4A99-A4F8-F962FE03C63E}"/>
            </a:ext>
          </a:extLst>
        </xdr:cNvPr>
        <xdr:cNvSpPr txBox="1">
          <a:spLocks noChangeArrowheads="1"/>
        </xdr:cNvSpPr>
      </xdr:nvSpPr>
      <xdr:spPr bwMode="auto">
        <a:xfrm>
          <a:off x="4008120" y="3043428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84071</xdr:rowOff>
    </xdr:from>
    <xdr:to>
      <xdr:col>5</xdr:col>
      <xdr:colOff>609600</xdr:colOff>
      <xdr:row>219</xdr:row>
      <xdr:rowOff>1286</xdr:rowOff>
    </xdr:to>
    <xdr:sp macro="" textlink="">
      <xdr:nvSpPr>
        <xdr:cNvPr id="258404" name="Text Box 356" hidden="1">
          <a:extLst>
            <a:ext uri="{FF2B5EF4-FFF2-40B4-BE49-F238E27FC236}">
              <a16:creationId xmlns:a16="http://schemas.microsoft.com/office/drawing/2014/main" id="{D08478FB-257B-45C5-B529-FD10B7B55AA1}"/>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84071</xdr:rowOff>
    </xdr:from>
    <xdr:to>
      <xdr:col>5</xdr:col>
      <xdr:colOff>609600</xdr:colOff>
      <xdr:row>219</xdr:row>
      <xdr:rowOff>1286</xdr:rowOff>
    </xdr:to>
    <xdr:sp macro="" textlink="">
      <xdr:nvSpPr>
        <xdr:cNvPr id="258403" name="Text Box 355" hidden="1">
          <a:extLst>
            <a:ext uri="{FF2B5EF4-FFF2-40B4-BE49-F238E27FC236}">
              <a16:creationId xmlns:a16="http://schemas.microsoft.com/office/drawing/2014/main" id="{FB95E3D8-5F46-4986-A038-ECE1EB727A9F}"/>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402" name="Text Box 354" hidden="1">
          <a:extLst>
            <a:ext uri="{FF2B5EF4-FFF2-40B4-BE49-F238E27FC236}">
              <a16:creationId xmlns:a16="http://schemas.microsoft.com/office/drawing/2014/main" id="{C2E6BEC1-4470-43F3-A942-42506D8B5313}"/>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76200</xdr:rowOff>
    </xdr:from>
    <xdr:to>
      <xdr:col>19</xdr:col>
      <xdr:colOff>571500</xdr:colOff>
      <xdr:row>30</xdr:row>
      <xdr:rowOff>103598</xdr:rowOff>
    </xdr:to>
    <xdr:sp macro="" textlink="">
      <xdr:nvSpPr>
        <xdr:cNvPr id="258401" name="Text Box 353" hidden="1">
          <a:extLst>
            <a:ext uri="{FF2B5EF4-FFF2-40B4-BE49-F238E27FC236}">
              <a16:creationId xmlns:a16="http://schemas.microsoft.com/office/drawing/2014/main" id="{CBAF7ACF-C5A4-4BF1-BB8B-F508AE1D9792}"/>
            </a:ext>
          </a:extLst>
        </xdr:cNvPr>
        <xdr:cNvSpPr txBox="1">
          <a:spLocks noChangeArrowheads="1"/>
        </xdr:cNvSpPr>
      </xdr:nvSpPr>
      <xdr:spPr bwMode="auto">
        <a:xfrm>
          <a:off x="15377160" y="608076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100719</xdr:rowOff>
    </xdr:from>
    <xdr:to>
      <xdr:col>5</xdr:col>
      <xdr:colOff>620395</xdr:colOff>
      <xdr:row>103</xdr:row>
      <xdr:rowOff>15292</xdr:rowOff>
    </xdr:to>
    <xdr:sp macro="" textlink="">
      <xdr:nvSpPr>
        <xdr:cNvPr id="258400" name="Text Box 352" hidden="1">
          <a:extLst>
            <a:ext uri="{FF2B5EF4-FFF2-40B4-BE49-F238E27FC236}">
              <a16:creationId xmlns:a16="http://schemas.microsoft.com/office/drawing/2014/main" id="{53F970BA-3D2E-4340-A142-3A593EB072CE}"/>
            </a:ext>
          </a:extLst>
        </xdr:cNvPr>
        <xdr:cNvSpPr txBox="1">
          <a:spLocks noChangeArrowheads="1"/>
        </xdr:cNvSpPr>
      </xdr:nvSpPr>
      <xdr:spPr bwMode="auto">
        <a:xfrm>
          <a:off x="3970020" y="21122640"/>
          <a:ext cx="1310640" cy="274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89378</xdr:rowOff>
    </xdr:from>
    <xdr:to>
      <xdr:col>5</xdr:col>
      <xdr:colOff>620395</xdr:colOff>
      <xdr:row>104</xdr:row>
      <xdr:rowOff>174506</xdr:rowOff>
    </xdr:to>
    <xdr:sp macro="" textlink="">
      <xdr:nvSpPr>
        <xdr:cNvPr id="258399" name="Text Box 351" hidden="1">
          <a:extLst>
            <a:ext uri="{FF2B5EF4-FFF2-40B4-BE49-F238E27FC236}">
              <a16:creationId xmlns:a16="http://schemas.microsoft.com/office/drawing/2014/main" id="{D94989FB-3E24-4831-86AA-E99F8BDAAFDA}"/>
            </a:ext>
          </a:extLst>
        </xdr:cNvPr>
        <xdr:cNvSpPr txBox="1">
          <a:spLocks noChangeArrowheads="1"/>
        </xdr:cNvSpPr>
      </xdr:nvSpPr>
      <xdr:spPr bwMode="auto">
        <a:xfrm>
          <a:off x="3970020" y="21313140"/>
          <a:ext cx="131064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103</xdr:row>
      <xdr:rowOff>123240</xdr:rowOff>
    </xdr:from>
    <xdr:to>
      <xdr:col>5</xdr:col>
      <xdr:colOff>620395</xdr:colOff>
      <xdr:row>108</xdr:row>
      <xdr:rowOff>3057</xdr:rowOff>
    </xdr:to>
    <xdr:sp macro="" textlink="">
      <xdr:nvSpPr>
        <xdr:cNvPr id="258398" name="Text Box 350" hidden="1">
          <a:extLst>
            <a:ext uri="{FF2B5EF4-FFF2-40B4-BE49-F238E27FC236}">
              <a16:creationId xmlns:a16="http://schemas.microsoft.com/office/drawing/2014/main" id="{EDA4EE27-C73D-485E-ABDF-6298D0963D13}"/>
            </a:ext>
          </a:extLst>
        </xdr:cNvPr>
        <xdr:cNvSpPr txBox="1">
          <a:spLocks noChangeArrowheads="1"/>
        </xdr:cNvSpPr>
      </xdr:nvSpPr>
      <xdr:spPr bwMode="auto">
        <a:xfrm>
          <a:off x="397002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104</xdr:row>
      <xdr:rowOff>143934</xdr:rowOff>
    </xdr:from>
    <xdr:to>
      <xdr:col>5</xdr:col>
      <xdr:colOff>620395</xdr:colOff>
      <xdr:row>109</xdr:row>
      <xdr:rowOff>3055</xdr:rowOff>
    </xdr:to>
    <xdr:sp macro="" textlink="">
      <xdr:nvSpPr>
        <xdr:cNvPr id="258397" name="Text Box 349" hidden="1">
          <a:extLst>
            <a:ext uri="{FF2B5EF4-FFF2-40B4-BE49-F238E27FC236}">
              <a16:creationId xmlns:a16="http://schemas.microsoft.com/office/drawing/2014/main" id="{E920EB5C-CA60-4E68-AF09-7E75870046D7}"/>
            </a:ext>
          </a:extLst>
        </xdr:cNvPr>
        <xdr:cNvSpPr txBox="1">
          <a:spLocks noChangeArrowheads="1"/>
        </xdr:cNvSpPr>
      </xdr:nvSpPr>
      <xdr:spPr bwMode="auto">
        <a:xfrm>
          <a:off x="397002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10952</xdr:rowOff>
    </xdr:from>
    <xdr:to>
      <xdr:col>5</xdr:col>
      <xdr:colOff>620395</xdr:colOff>
      <xdr:row>96</xdr:row>
      <xdr:rowOff>127451</xdr:rowOff>
    </xdr:to>
    <xdr:sp macro="" textlink="">
      <xdr:nvSpPr>
        <xdr:cNvPr id="258396" name="Text Box 348" hidden="1">
          <a:extLst>
            <a:ext uri="{FF2B5EF4-FFF2-40B4-BE49-F238E27FC236}">
              <a16:creationId xmlns:a16="http://schemas.microsoft.com/office/drawing/2014/main" id="{D01607F5-43C5-4A6A-B6D5-4D79E320CD7B}"/>
            </a:ext>
          </a:extLst>
        </xdr:cNvPr>
        <xdr:cNvSpPr txBox="1">
          <a:spLocks noChangeArrowheads="1"/>
        </xdr:cNvSpPr>
      </xdr:nvSpPr>
      <xdr:spPr bwMode="auto">
        <a:xfrm>
          <a:off x="397002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31644</xdr:rowOff>
    </xdr:from>
    <xdr:to>
      <xdr:col>5</xdr:col>
      <xdr:colOff>620395</xdr:colOff>
      <xdr:row>97</xdr:row>
      <xdr:rowOff>116797</xdr:rowOff>
    </xdr:to>
    <xdr:sp macro="" textlink="">
      <xdr:nvSpPr>
        <xdr:cNvPr id="258395" name="Text Box 347" hidden="1">
          <a:extLst>
            <a:ext uri="{FF2B5EF4-FFF2-40B4-BE49-F238E27FC236}">
              <a16:creationId xmlns:a16="http://schemas.microsoft.com/office/drawing/2014/main" id="{FC15EE06-A1AA-4343-AECB-062BE8BBFD28}"/>
            </a:ext>
          </a:extLst>
        </xdr:cNvPr>
        <xdr:cNvSpPr txBox="1">
          <a:spLocks noChangeArrowheads="1"/>
        </xdr:cNvSpPr>
      </xdr:nvSpPr>
      <xdr:spPr bwMode="auto">
        <a:xfrm>
          <a:off x="397002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94</xdr:row>
      <xdr:rowOff>45983</xdr:rowOff>
    </xdr:from>
    <xdr:to>
      <xdr:col>5</xdr:col>
      <xdr:colOff>620395</xdr:colOff>
      <xdr:row>98</xdr:row>
      <xdr:rowOff>137845</xdr:rowOff>
    </xdr:to>
    <xdr:sp macro="" textlink="">
      <xdr:nvSpPr>
        <xdr:cNvPr id="258394" name="Text Box 346" hidden="1">
          <a:extLst>
            <a:ext uri="{FF2B5EF4-FFF2-40B4-BE49-F238E27FC236}">
              <a16:creationId xmlns:a16="http://schemas.microsoft.com/office/drawing/2014/main" id="{24A16C94-DB0C-4B9F-B7EC-BE4A7509F14F}"/>
            </a:ext>
          </a:extLst>
        </xdr:cNvPr>
        <xdr:cNvSpPr txBox="1">
          <a:spLocks noChangeArrowheads="1"/>
        </xdr:cNvSpPr>
      </xdr:nvSpPr>
      <xdr:spPr bwMode="auto">
        <a:xfrm>
          <a:off x="397002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52335</xdr:rowOff>
    </xdr:from>
    <xdr:to>
      <xdr:col>5</xdr:col>
      <xdr:colOff>620395</xdr:colOff>
      <xdr:row>99</xdr:row>
      <xdr:rowOff>117619</xdr:rowOff>
    </xdr:to>
    <xdr:sp macro="" textlink="">
      <xdr:nvSpPr>
        <xdr:cNvPr id="258393" name="Text Box 345" hidden="1">
          <a:extLst>
            <a:ext uri="{FF2B5EF4-FFF2-40B4-BE49-F238E27FC236}">
              <a16:creationId xmlns:a16="http://schemas.microsoft.com/office/drawing/2014/main" id="{FA11B12F-6708-4EC4-AFFA-B570EE4957A9}"/>
            </a:ext>
          </a:extLst>
        </xdr:cNvPr>
        <xdr:cNvSpPr txBox="1">
          <a:spLocks noChangeArrowheads="1"/>
        </xdr:cNvSpPr>
      </xdr:nvSpPr>
      <xdr:spPr bwMode="auto">
        <a:xfrm>
          <a:off x="397002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185</xdr:row>
      <xdr:rowOff>179703</xdr:rowOff>
    </xdr:from>
    <xdr:to>
      <xdr:col>6</xdr:col>
      <xdr:colOff>38100</xdr:colOff>
      <xdr:row>193</xdr:row>
      <xdr:rowOff>125253</xdr:rowOff>
    </xdr:to>
    <xdr:sp macro="" textlink="">
      <xdr:nvSpPr>
        <xdr:cNvPr id="258484" name="Text Box 436" hidden="1">
          <a:extLst>
            <a:ext uri="{FF2B5EF4-FFF2-40B4-BE49-F238E27FC236}">
              <a16:creationId xmlns:a16="http://schemas.microsoft.com/office/drawing/2014/main" id="{7DADC03E-4D57-48A6-A418-FEBCFE7B64B7}"/>
            </a:ext>
          </a:extLst>
        </xdr:cNvPr>
        <xdr:cNvSpPr txBox="1">
          <a:spLocks noChangeArrowheads="1"/>
        </xdr:cNvSpPr>
      </xdr:nvSpPr>
      <xdr:spPr bwMode="auto">
        <a:xfrm>
          <a:off x="3933825" y="30165675"/>
          <a:ext cx="1400175" cy="1571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62</xdr:row>
      <xdr:rowOff>148642</xdr:rowOff>
    </xdr:to>
    <xdr:sp macro="" textlink="">
      <xdr:nvSpPr>
        <xdr:cNvPr id="258483" name="Text Box 435" hidden="1">
          <a:extLst>
            <a:ext uri="{FF2B5EF4-FFF2-40B4-BE49-F238E27FC236}">
              <a16:creationId xmlns:a16="http://schemas.microsoft.com/office/drawing/2014/main" id="{40EF7277-AAC8-4F10-8E77-A9FD89A0048B}"/>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62</xdr:row>
      <xdr:rowOff>148642</xdr:rowOff>
    </xdr:to>
    <xdr:sp macro="" textlink="">
      <xdr:nvSpPr>
        <xdr:cNvPr id="258482" name="Text Box 434" hidden="1">
          <a:extLst>
            <a:ext uri="{FF2B5EF4-FFF2-40B4-BE49-F238E27FC236}">
              <a16:creationId xmlns:a16="http://schemas.microsoft.com/office/drawing/2014/main" id="{80DF2576-6794-4B6E-8FB5-6D149AF92989}"/>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111921</xdr:rowOff>
    </xdr:from>
    <xdr:to>
      <xdr:col>5</xdr:col>
      <xdr:colOff>609600</xdr:colOff>
      <xdr:row>54</xdr:row>
      <xdr:rowOff>66567</xdr:rowOff>
    </xdr:to>
    <xdr:sp macro="" textlink="">
      <xdr:nvSpPr>
        <xdr:cNvPr id="258481" name="Text Box 433" hidden="1">
          <a:extLst>
            <a:ext uri="{FF2B5EF4-FFF2-40B4-BE49-F238E27FC236}">
              <a16:creationId xmlns:a16="http://schemas.microsoft.com/office/drawing/2014/main" id="{1594909E-5A2B-4E82-B813-F3961EB4E99B}"/>
            </a:ext>
          </a:extLst>
        </xdr:cNvPr>
        <xdr:cNvSpPr txBox="1">
          <a:spLocks noChangeArrowheads="1"/>
        </xdr:cNvSpPr>
      </xdr:nvSpPr>
      <xdr:spPr bwMode="auto">
        <a:xfrm>
          <a:off x="3895725" y="10229850"/>
          <a:ext cx="1247775"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63285</xdr:rowOff>
    </xdr:from>
    <xdr:to>
      <xdr:col>5</xdr:col>
      <xdr:colOff>609600</xdr:colOff>
      <xdr:row>53</xdr:row>
      <xdr:rowOff>168167</xdr:rowOff>
    </xdr:to>
    <xdr:sp macro="" textlink="">
      <xdr:nvSpPr>
        <xdr:cNvPr id="258480" name="Text Box 432" hidden="1">
          <a:extLst>
            <a:ext uri="{FF2B5EF4-FFF2-40B4-BE49-F238E27FC236}">
              <a16:creationId xmlns:a16="http://schemas.microsoft.com/office/drawing/2014/main" id="{7D85283C-E787-4605-9594-4CEDAC94BE82}"/>
            </a:ext>
          </a:extLst>
        </xdr:cNvPr>
        <xdr:cNvSpPr txBox="1">
          <a:spLocks noChangeArrowheads="1"/>
        </xdr:cNvSpPr>
      </xdr:nvSpPr>
      <xdr:spPr bwMode="auto">
        <a:xfrm>
          <a:off x="3895725" y="10363200"/>
          <a:ext cx="1247775"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89007</xdr:rowOff>
    </xdr:from>
    <xdr:to>
      <xdr:col>5</xdr:col>
      <xdr:colOff>609600</xdr:colOff>
      <xdr:row>58</xdr:row>
      <xdr:rowOff>35174</xdr:rowOff>
    </xdr:to>
    <xdr:sp macro="" textlink="">
      <xdr:nvSpPr>
        <xdr:cNvPr id="258479" name="Text Box 431" hidden="1">
          <a:extLst>
            <a:ext uri="{FF2B5EF4-FFF2-40B4-BE49-F238E27FC236}">
              <a16:creationId xmlns:a16="http://schemas.microsoft.com/office/drawing/2014/main" id="{A35931C9-D8C4-4C6C-B7C3-8E75F7D6023B}"/>
            </a:ext>
          </a:extLst>
        </xdr:cNvPr>
        <xdr:cNvSpPr txBox="1">
          <a:spLocks noChangeArrowheads="1"/>
        </xdr:cNvSpPr>
      </xdr:nvSpPr>
      <xdr:spPr bwMode="auto">
        <a:xfrm>
          <a:off x="3895725" y="11468100"/>
          <a:ext cx="1247775"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72561</xdr:rowOff>
    </xdr:from>
    <xdr:to>
      <xdr:col>5</xdr:col>
      <xdr:colOff>609600</xdr:colOff>
      <xdr:row>73</xdr:row>
      <xdr:rowOff>444500</xdr:rowOff>
    </xdr:to>
    <xdr:sp macro="" textlink="">
      <xdr:nvSpPr>
        <xdr:cNvPr id="258478" name="Text Box 430" hidden="1">
          <a:extLst>
            <a:ext uri="{FF2B5EF4-FFF2-40B4-BE49-F238E27FC236}">
              <a16:creationId xmlns:a16="http://schemas.microsoft.com/office/drawing/2014/main" id="{EF79F1C4-C74C-4C0D-B0DD-8F1FFBA6004C}"/>
            </a:ext>
          </a:extLst>
        </xdr:cNvPr>
        <xdr:cNvSpPr txBox="1">
          <a:spLocks noChangeArrowheads="1"/>
        </xdr:cNvSpPr>
      </xdr:nvSpPr>
      <xdr:spPr bwMode="auto">
        <a:xfrm>
          <a:off x="3895725" y="14087475"/>
          <a:ext cx="12477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94430</xdr:rowOff>
    </xdr:from>
    <xdr:to>
      <xdr:col>5</xdr:col>
      <xdr:colOff>609600</xdr:colOff>
      <xdr:row>75</xdr:row>
      <xdr:rowOff>83370</xdr:rowOff>
    </xdr:to>
    <xdr:sp macro="" textlink="">
      <xdr:nvSpPr>
        <xdr:cNvPr id="258477" name="Text Box 429" hidden="1">
          <a:extLst>
            <a:ext uri="{FF2B5EF4-FFF2-40B4-BE49-F238E27FC236}">
              <a16:creationId xmlns:a16="http://schemas.microsoft.com/office/drawing/2014/main" id="{79B1048D-7458-48AB-B357-D5430AC644B0}"/>
            </a:ext>
          </a:extLst>
        </xdr:cNvPr>
        <xdr:cNvSpPr txBox="1">
          <a:spLocks noChangeArrowheads="1"/>
        </xdr:cNvSpPr>
      </xdr:nvSpPr>
      <xdr:spPr bwMode="auto">
        <a:xfrm>
          <a:off x="3895725" y="14277975"/>
          <a:ext cx="1247775"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70</xdr:row>
      <xdr:rowOff>102921</xdr:rowOff>
    </xdr:from>
    <xdr:to>
      <xdr:col>5</xdr:col>
      <xdr:colOff>609600</xdr:colOff>
      <xdr:row>75</xdr:row>
      <xdr:rowOff>296097</xdr:rowOff>
    </xdr:to>
    <xdr:sp macro="" textlink="">
      <xdr:nvSpPr>
        <xdr:cNvPr id="258476" name="Text Box 428" hidden="1">
          <a:extLst>
            <a:ext uri="{FF2B5EF4-FFF2-40B4-BE49-F238E27FC236}">
              <a16:creationId xmlns:a16="http://schemas.microsoft.com/office/drawing/2014/main" id="{4810092D-EB9F-4A12-A454-B7CBA57C7656}"/>
            </a:ext>
          </a:extLst>
        </xdr:cNvPr>
        <xdr:cNvSpPr txBox="1">
          <a:spLocks noChangeArrowheads="1"/>
        </xdr:cNvSpPr>
      </xdr:nvSpPr>
      <xdr:spPr bwMode="auto">
        <a:xfrm>
          <a:off x="3895725" y="14468475"/>
          <a:ext cx="1247775" cy="1790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71</xdr:row>
      <xdr:rowOff>116656</xdr:rowOff>
    </xdr:from>
    <xdr:to>
      <xdr:col>5</xdr:col>
      <xdr:colOff>609600</xdr:colOff>
      <xdr:row>75</xdr:row>
      <xdr:rowOff>296097</xdr:rowOff>
    </xdr:to>
    <xdr:sp macro="" textlink="">
      <xdr:nvSpPr>
        <xdr:cNvPr id="258475" name="Text Box 427" hidden="1">
          <a:extLst>
            <a:ext uri="{FF2B5EF4-FFF2-40B4-BE49-F238E27FC236}">
              <a16:creationId xmlns:a16="http://schemas.microsoft.com/office/drawing/2014/main" id="{700EEEA7-A1AA-49E0-AB2A-0D9D0C42751B}"/>
            </a:ext>
          </a:extLst>
        </xdr:cNvPr>
        <xdr:cNvSpPr txBox="1">
          <a:spLocks noChangeArrowheads="1"/>
        </xdr:cNvSpPr>
      </xdr:nvSpPr>
      <xdr:spPr bwMode="auto">
        <a:xfrm>
          <a:off x="3895725" y="14658975"/>
          <a:ext cx="1247775" cy="1600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190</xdr:row>
      <xdr:rowOff>162412</xdr:rowOff>
    </xdr:from>
    <xdr:to>
      <xdr:col>5</xdr:col>
      <xdr:colOff>609600</xdr:colOff>
      <xdr:row>191</xdr:row>
      <xdr:rowOff>1664</xdr:rowOff>
    </xdr:to>
    <xdr:sp macro="" textlink="">
      <xdr:nvSpPr>
        <xdr:cNvPr id="258474" name="Text Box 426" hidden="1">
          <a:extLst>
            <a:ext uri="{FF2B5EF4-FFF2-40B4-BE49-F238E27FC236}">
              <a16:creationId xmlns:a16="http://schemas.microsoft.com/office/drawing/2014/main" id="{ECA292ED-76DF-40C9-9D1F-78B9466F0F15}"/>
            </a:ext>
          </a:extLst>
        </xdr:cNvPr>
        <xdr:cNvSpPr txBox="1">
          <a:spLocks noChangeArrowheads="1"/>
        </xdr:cNvSpPr>
      </xdr:nvSpPr>
      <xdr:spPr bwMode="auto">
        <a:xfrm>
          <a:off x="3895725" y="31194375"/>
          <a:ext cx="1247775"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84071</xdr:rowOff>
    </xdr:from>
    <xdr:to>
      <xdr:col>5</xdr:col>
      <xdr:colOff>609600</xdr:colOff>
      <xdr:row>219</xdr:row>
      <xdr:rowOff>1286</xdr:rowOff>
    </xdr:to>
    <xdr:sp macro="" textlink="">
      <xdr:nvSpPr>
        <xdr:cNvPr id="258473" name="Text Box 425" hidden="1">
          <a:extLst>
            <a:ext uri="{FF2B5EF4-FFF2-40B4-BE49-F238E27FC236}">
              <a16:creationId xmlns:a16="http://schemas.microsoft.com/office/drawing/2014/main" id="{1BBA314B-F1CD-48EC-B66A-1A64AA30B9F0}"/>
            </a:ext>
          </a:extLst>
        </xdr:cNvPr>
        <xdr:cNvSpPr txBox="1">
          <a:spLocks noChangeArrowheads="1"/>
        </xdr:cNvSpPr>
      </xdr:nvSpPr>
      <xdr:spPr bwMode="auto">
        <a:xfrm>
          <a:off x="3895725" y="31499175"/>
          <a:ext cx="1247775" cy="504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84071</xdr:rowOff>
    </xdr:from>
    <xdr:to>
      <xdr:col>5</xdr:col>
      <xdr:colOff>609600</xdr:colOff>
      <xdr:row>219</xdr:row>
      <xdr:rowOff>1286</xdr:rowOff>
    </xdr:to>
    <xdr:sp macro="" textlink="">
      <xdr:nvSpPr>
        <xdr:cNvPr id="258472" name="Text Box 424" hidden="1">
          <a:extLst>
            <a:ext uri="{FF2B5EF4-FFF2-40B4-BE49-F238E27FC236}">
              <a16:creationId xmlns:a16="http://schemas.microsoft.com/office/drawing/2014/main" id="{E8C8D618-6616-40CB-9119-FC1749C6FBBA}"/>
            </a:ext>
          </a:extLst>
        </xdr:cNvPr>
        <xdr:cNvSpPr txBox="1">
          <a:spLocks noChangeArrowheads="1"/>
        </xdr:cNvSpPr>
      </xdr:nvSpPr>
      <xdr:spPr bwMode="auto">
        <a:xfrm>
          <a:off x="3895725" y="31499175"/>
          <a:ext cx="1247775" cy="504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471" name="Text Box 423" hidden="1">
          <a:extLst>
            <a:ext uri="{FF2B5EF4-FFF2-40B4-BE49-F238E27FC236}">
              <a16:creationId xmlns:a16="http://schemas.microsoft.com/office/drawing/2014/main" id="{83F09BB1-FC72-4CE0-9A92-5C74FA96655F}"/>
            </a:ext>
          </a:extLst>
        </xdr:cNvPr>
        <xdr:cNvSpPr txBox="1">
          <a:spLocks noChangeArrowheads="1"/>
        </xdr:cNvSpPr>
      </xdr:nvSpPr>
      <xdr:spPr bwMode="auto">
        <a:xfrm>
          <a:off x="14839950"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76200</xdr:rowOff>
    </xdr:from>
    <xdr:to>
      <xdr:col>19</xdr:col>
      <xdr:colOff>571500</xdr:colOff>
      <xdr:row>30</xdr:row>
      <xdr:rowOff>103598</xdr:rowOff>
    </xdr:to>
    <xdr:sp macro="" textlink="">
      <xdr:nvSpPr>
        <xdr:cNvPr id="258470" name="Text Box 422" hidden="1">
          <a:extLst>
            <a:ext uri="{FF2B5EF4-FFF2-40B4-BE49-F238E27FC236}">
              <a16:creationId xmlns:a16="http://schemas.microsoft.com/office/drawing/2014/main" id="{4E700DBF-4BB4-4610-969D-AECB5EE48426}"/>
            </a:ext>
          </a:extLst>
        </xdr:cNvPr>
        <xdr:cNvSpPr txBox="1">
          <a:spLocks noChangeArrowheads="1"/>
        </xdr:cNvSpPr>
      </xdr:nvSpPr>
      <xdr:spPr bwMode="auto">
        <a:xfrm>
          <a:off x="14878050" y="6200775"/>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100719</xdr:rowOff>
    </xdr:from>
    <xdr:to>
      <xdr:col>5</xdr:col>
      <xdr:colOff>609600</xdr:colOff>
      <xdr:row>103</xdr:row>
      <xdr:rowOff>15292</xdr:rowOff>
    </xdr:to>
    <xdr:sp macro="" textlink="">
      <xdr:nvSpPr>
        <xdr:cNvPr id="258469" name="Text Box 421" hidden="1">
          <a:extLst>
            <a:ext uri="{FF2B5EF4-FFF2-40B4-BE49-F238E27FC236}">
              <a16:creationId xmlns:a16="http://schemas.microsoft.com/office/drawing/2014/main" id="{A31EAD90-7347-446E-83B7-0E7C77050FB8}"/>
            </a:ext>
          </a:extLst>
        </xdr:cNvPr>
        <xdr:cNvSpPr txBox="1">
          <a:spLocks noChangeArrowheads="1"/>
        </xdr:cNvSpPr>
      </xdr:nvSpPr>
      <xdr:spPr bwMode="auto">
        <a:xfrm>
          <a:off x="3857625" y="21526500"/>
          <a:ext cx="1285875" cy="266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89378</xdr:rowOff>
    </xdr:from>
    <xdr:to>
      <xdr:col>5</xdr:col>
      <xdr:colOff>609600</xdr:colOff>
      <xdr:row>104</xdr:row>
      <xdr:rowOff>174506</xdr:rowOff>
    </xdr:to>
    <xdr:sp macro="" textlink="">
      <xdr:nvSpPr>
        <xdr:cNvPr id="258468" name="Text Box 420" hidden="1">
          <a:extLst>
            <a:ext uri="{FF2B5EF4-FFF2-40B4-BE49-F238E27FC236}">
              <a16:creationId xmlns:a16="http://schemas.microsoft.com/office/drawing/2014/main" id="{5EF27DF9-ECAC-4789-A0D2-027FCD4DC4A4}"/>
            </a:ext>
          </a:extLst>
        </xdr:cNvPr>
        <xdr:cNvSpPr txBox="1">
          <a:spLocks noChangeArrowheads="1"/>
        </xdr:cNvSpPr>
      </xdr:nvSpPr>
      <xdr:spPr bwMode="auto">
        <a:xfrm>
          <a:off x="3857625" y="21717000"/>
          <a:ext cx="1285875"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103</xdr:row>
      <xdr:rowOff>123240</xdr:rowOff>
    </xdr:from>
    <xdr:to>
      <xdr:col>5</xdr:col>
      <xdr:colOff>609600</xdr:colOff>
      <xdr:row>108</xdr:row>
      <xdr:rowOff>3057</xdr:rowOff>
    </xdr:to>
    <xdr:sp macro="" textlink="">
      <xdr:nvSpPr>
        <xdr:cNvPr id="258467" name="Text Box 419" hidden="1">
          <a:extLst>
            <a:ext uri="{FF2B5EF4-FFF2-40B4-BE49-F238E27FC236}">
              <a16:creationId xmlns:a16="http://schemas.microsoft.com/office/drawing/2014/main" id="{98AF7B23-E584-428E-85D1-F9A168F1473C}"/>
            </a:ext>
          </a:extLst>
        </xdr:cNvPr>
        <xdr:cNvSpPr txBox="1">
          <a:spLocks noChangeArrowheads="1"/>
        </xdr:cNvSpPr>
      </xdr:nvSpPr>
      <xdr:spPr bwMode="auto">
        <a:xfrm>
          <a:off x="3857625" y="21907500"/>
          <a:ext cx="12858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104</xdr:row>
      <xdr:rowOff>143934</xdr:rowOff>
    </xdr:from>
    <xdr:to>
      <xdr:col>5</xdr:col>
      <xdr:colOff>609600</xdr:colOff>
      <xdr:row>109</xdr:row>
      <xdr:rowOff>3055</xdr:rowOff>
    </xdr:to>
    <xdr:sp macro="" textlink="">
      <xdr:nvSpPr>
        <xdr:cNvPr id="258466" name="Text Box 418" hidden="1">
          <a:extLst>
            <a:ext uri="{FF2B5EF4-FFF2-40B4-BE49-F238E27FC236}">
              <a16:creationId xmlns:a16="http://schemas.microsoft.com/office/drawing/2014/main" id="{335E5AFE-A6A5-40FC-A7AF-F6CFB9708FDE}"/>
            </a:ext>
          </a:extLst>
        </xdr:cNvPr>
        <xdr:cNvSpPr txBox="1">
          <a:spLocks noChangeArrowheads="1"/>
        </xdr:cNvSpPr>
      </xdr:nvSpPr>
      <xdr:spPr bwMode="auto">
        <a:xfrm>
          <a:off x="3857625" y="22098000"/>
          <a:ext cx="12858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10952</xdr:rowOff>
    </xdr:from>
    <xdr:to>
      <xdr:col>5</xdr:col>
      <xdr:colOff>609600</xdr:colOff>
      <xdr:row>96</xdr:row>
      <xdr:rowOff>127451</xdr:rowOff>
    </xdr:to>
    <xdr:sp macro="" textlink="">
      <xdr:nvSpPr>
        <xdr:cNvPr id="258465" name="Text Box 417" hidden="1">
          <a:extLst>
            <a:ext uri="{FF2B5EF4-FFF2-40B4-BE49-F238E27FC236}">
              <a16:creationId xmlns:a16="http://schemas.microsoft.com/office/drawing/2014/main" id="{01306337-ABB7-4B10-99CA-4382B1AE91D9}"/>
            </a:ext>
          </a:extLst>
        </xdr:cNvPr>
        <xdr:cNvSpPr txBox="1">
          <a:spLocks noChangeArrowheads="1"/>
        </xdr:cNvSpPr>
      </xdr:nvSpPr>
      <xdr:spPr bwMode="auto">
        <a:xfrm>
          <a:off x="3857625" y="19707225"/>
          <a:ext cx="12858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31644</xdr:rowOff>
    </xdr:from>
    <xdr:to>
      <xdr:col>5</xdr:col>
      <xdr:colOff>609600</xdr:colOff>
      <xdr:row>97</xdr:row>
      <xdr:rowOff>116797</xdr:rowOff>
    </xdr:to>
    <xdr:sp macro="" textlink="">
      <xdr:nvSpPr>
        <xdr:cNvPr id="258464" name="Text Box 416" hidden="1">
          <a:extLst>
            <a:ext uri="{FF2B5EF4-FFF2-40B4-BE49-F238E27FC236}">
              <a16:creationId xmlns:a16="http://schemas.microsoft.com/office/drawing/2014/main" id="{7E96297A-CE20-4FF5-A81F-544F7826869B}"/>
            </a:ext>
          </a:extLst>
        </xdr:cNvPr>
        <xdr:cNvSpPr txBox="1">
          <a:spLocks noChangeArrowheads="1"/>
        </xdr:cNvSpPr>
      </xdr:nvSpPr>
      <xdr:spPr bwMode="auto">
        <a:xfrm>
          <a:off x="3857625" y="19897725"/>
          <a:ext cx="1285875"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94</xdr:row>
      <xdr:rowOff>45983</xdr:rowOff>
    </xdr:from>
    <xdr:to>
      <xdr:col>5</xdr:col>
      <xdr:colOff>609600</xdr:colOff>
      <xdr:row>98</xdr:row>
      <xdr:rowOff>137845</xdr:rowOff>
    </xdr:to>
    <xdr:sp macro="" textlink="">
      <xdr:nvSpPr>
        <xdr:cNvPr id="258463" name="Text Box 415" hidden="1">
          <a:extLst>
            <a:ext uri="{FF2B5EF4-FFF2-40B4-BE49-F238E27FC236}">
              <a16:creationId xmlns:a16="http://schemas.microsoft.com/office/drawing/2014/main" id="{6F811E97-C09D-4D02-BF77-8D2196962C29}"/>
            </a:ext>
          </a:extLst>
        </xdr:cNvPr>
        <xdr:cNvSpPr txBox="1">
          <a:spLocks noChangeArrowheads="1"/>
        </xdr:cNvSpPr>
      </xdr:nvSpPr>
      <xdr:spPr bwMode="auto">
        <a:xfrm>
          <a:off x="3857625" y="20088225"/>
          <a:ext cx="1285875"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52335</xdr:rowOff>
    </xdr:from>
    <xdr:to>
      <xdr:col>5</xdr:col>
      <xdr:colOff>609600</xdr:colOff>
      <xdr:row>99</xdr:row>
      <xdr:rowOff>117619</xdr:rowOff>
    </xdr:to>
    <xdr:sp macro="" textlink="">
      <xdr:nvSpPr>
        <xdr:cNvPr id="258462" name="Text Box 414" hidden="1">
          <a:extLst>
            <a:ext uri="{FF2B5EF4-FFF2-40B4-BE49-F238E27FC236}">
              <a16:creationId xmlns:a16="http://schemas.microsoft.com/office/drawing/2014/main" id="{63C0C3B6-0D26-4C12-89F5-999039FF4E59}"/>
            </a:ext>
          </a:extLst>
        </xdr:cNvPr>
        <xdr:cNvSpPr txBox="1">
          <a:spLocks noChangeArrowheads="1"/>
        </xdr:cNvSpPr>
      </xdr:nvSpPr>
      <xdr:spPr bwMode="auto">
        <a:xfrm>
          <a:off x="3857625" y="20278725"/>
          <a:ext cx="1285875"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89</xdr:row>
      <xdr:rowOff>324036</xdr:rowOff>
    </xdr:from>
    <xdr:to>
      <xdr:col>6</xdr:col>
      <xdr:colOff>38100</xdr:colOff>
      <xdr:row>97</xdr:row>
      <xdr:rowOff>127592</xdr:rowOff>
    </xdr:to>
    <xdr:sp macro="" textlink="">
      <xdr:nvSpPr>
        <xdr:cNvPr id="258507" name="Text Box 459" hidden="1">
          <a:extLst>
            <a:ext uri="{FF2B5EF4-FFF2-40B4-BE49-F238E27FC236}">
              <a16:creationId xmlns:a16="http://schemas.microsoft.com/office/drawing/2014/main" id="{2892D455-3DC3-49F6-985B-504998CA3387}"/>
            </a:ext>
          </a:extLst>
        </xdr:cNvPr>
        <xdr:cNvSpPr txBox="1">
          <a:spLocks noChangeArrowheads="1"/>
        </xdr:cNvSpPr>
      </xdr:nvSpPr>
      <xdr:spPr bwMode="auto">
        <a:xfrm>
          <a:off x="4053840" y="18920460"/>
          <a:ext cx="1455420" cy="1402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62</xdr:row>
      <xdr:rowOff>148642</xdr:rowOff>
    </xdr:to>
    <xdr:sp macro="" textlink="">
      <xdr:nvSpPr>
        <xdr:cNvPr id="258506" name="Text Box 458" hidden="1">
          <a:extLst>
            <a:ext uri="{FF2B5EF4-FFF2-40B4-BE49-F238E27FC236}">
              <a16:creationId xmlns:a16="http://schemas.microsoft.com/office/drawing/2014/main" id="{4A07415F-9E37-4E3F-ABCE-8473E3C26230}"/>
            </a:ext>
          </a:extLst>
        </xdr:cNvPr>
        <xdr:cNvSpPr txBox="1">
          <a:spLocks noChangeArrowheads="1"/>
        </xdr:cNvSpPr>
      </xdr:nvSpPr>
      <xdr:spPr bwMode="auto">
        <a:xfrm>
          <a:off x="4015740" y="9753600"/>
          <a:ext cx="127254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62</xdr:row>
      <xdr:rowOff>148642</xdr:rowOff>
    </xdr:to>
    <xdr:sp macro="" textlink="">
      <xdr:nvSpPr>
        <xdr:cNvPr id="258505" name="Text Box 457" hidden="1">
          <a:extLst>
            <a:ext uri="{FF2B5EF4-FFF2-40B4-BE49-F238E27FC236}">
              <a16:creationId xmlns:a16="http://schemas.microsoft.com/office/drawing/2014/main" id="{82D19818-BA04-48C0-B271-BDC769A1DF4A}"/>
            </a:ext>
          </a:extLst>
        </xdr:cNvPr>
        <xdr:cNvSpPr txBox="1">
          <a:spLocks noChangeArrowheads="1"/>
        </xdr:cNvSpPr>
      </xdr:nvSpPr>
      <xdr:spPr bwMode="auto">
        <a:xfrm>
          <a:off x="4015740" y="9753600"/>
          <a:ext cx="127254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111921</xdr:rowOff>
    </xdr:from>
    <xdr:to>
      <xdr:col>5</xdr:col>
      <xdr:colOff>609600</xdr:colOff>
      <xdr:row>54</xdr:row>
      <xdr:rowOff>66567</xdr:rowOff>
    </xdr:to>
    <xdr:sp macro="" textlink="">
      <xdr:nvSpPr>
        <xdr:cNvPr id="258504" name="Text Box 456" hidden="1">
          <a:extLst>
            <a:ext uri="{FF2B5EF4-FFF2-40B4-BE49-F238E27FC236}">
              <a16:creationId xmlns:a16="http://schemas.microsoft.com/office/drawing/2014/main" id="{285586F3-A388-4AF6-A945-7698CD707A38}"/>
            </a:ext>
          </a:extLst>
        </xdr:cNvPr>
        <xdr:cNvSpPr txBox="1">
          <a:spLocks noChangeArrowheads="1"/>
        </xdr:cNvSpPr>
      </xdr:nvSpPr>
      <xdr:spPr bwMode="auto">
        <a:xfrm>
          <a:off x="4015740" y="10142220"/>
          <a:ext cx="127254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63285</xdr:rowOff>
    </xdr:from>
    <xdr:to>
      <xdr:col>5</xdr:col>
      <xdr:colOff>609600</xdr:colOff>
      <xdr:row>53</xdr:row>
      <xdr:rowOff>168167</xdr:rowOff>
    </xdr:to>
    <xdr:sp macro="" textlink="">
      <xdr:nvSpPr>
        <xdr:cNvPr id="258503" name="Text Box 455" hidden="1">
          <a:extLst>
            <a:ext uri="{FF2B5EF4-FFF2-40B4-BE49-F238E27FC236}">
              <a16:creationId xmlns:a16="http://schemas.microsoft.com/office/drawing/2014/main" id="{6DD2B414-7E34-4E23-9AE2-C3D4C0DE03B8}"/>
            </a:ext>
          </a:extLst>
        </xdr:cNvPr>
        <xdr:cNvSpPr txBox="1">
          <a:spLocks noChangeArrowheads="1"/>
        </xdr:cNvSpPr>
      </xdr:nvSpPr>
      <xdr:spPr bwMode="auto">
        <a:xfrm>
          <a:off x="4015740" y="10271760"/>
          <a:ext cx="12725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89007</xdr:rowOff>
    </xdr:from>
    <xdr:to>
      <xdr:col>5</xdr:col>
      <xdr:colOff>609600</xdr:colOff>
      <xdr:row>58</xdr:row>
      <xdr:rowOff>35174</xdr:rowOff>
    </xdr:to>
    <xdr:sp macro="" textlink="">
      <xdr:nvSpPr>
        <xdr:cNvPr id="258502" name="Text Box 454" hidden="1">
          <a:extLst>
            <a:ext uri="{FF2B5EF4-FFF2-40B4-BE49-F238E27FC236}">
              <a16:creationId xmlns:a16="http://schemas.microsoft.com/office/drawing/2014/main" id="{5801560E-4D1E-46D2-B16E-FF35D6DBD25D}"/>
            </a:ext>
          </a:extLst>
        </xdr:cNvPr>
        <xdr:cNvSpPr txBox="1">
          <a:spLocks noChangeArrowheads="1"/>
        </xdr:cNvSpPr>
      </xdr:nvSpPr>
      <xdr:spPr bwMode="auto">
        <a:xfrm>
          <a:off x="4015740" y="11353800"/>
          <a:ext cx="127254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72561</xdr:rowOff>
    </xdr:from>
    <xdr:to>
      <xdr:col>5</xdr:col>
      <xdr:colOff>609600</xdr:colOff>
      <xdr:row>73</xdr:row>
      <xdr:rowOff>444500</xdr:rowOff>
    </xdr:to>
    <xdr:sp macro="" textlink="">
      <xdr:nvSpPr>
        <xdr:cNvPr id="258501" name="Text Box 453" hidden="1">
          <a:extLst>
            <a:ext uri="{FF2B5EF4-FFF2-40B4-BE49-F238E27FC236}">
              <a16:creationId xmlns:a16="http://schemas.microsoft.com/office/drawing/2014/main" id="{7BA86442-8570-4440-934D-DE08B1A07F5D}"/>
            </a:ext>
          </a:extLst>
        </xdr:cNvPr>
        <xdr:cNvSpPr txBox="1">
          <a:spLocks noChangeArrowheads="1"/>
        </xdr:cNvSpPr>
      </xdr:nvSpPr>
      <xdr:spPr bwMode="auto">
        <a:xfrm>
          <a:off x="4015740" y="13906500"/>
          <a:ext cx="127254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94430</xdr:rowOff>
    </xdr:from>
    <xdr:to>
      <xdr:col>5</xdr:col>
      <xdr:colOff>609600</xdr:colOff>
      <xdr:row>75</xdr:row>
      <xdr:rowOff>83370</xdr:rowOff>
    </xdr:to>
    <xdr:sp macro="" textlink="">
      <xdr:nvSpPr>
        <xdr:cNvPr id="258500" name="Text Box 452" hidden="1">
          <a:extLst>
            <a:ext uri="{FF2B5EF4-FFF2-40B4-BE49-F238E27FC236}">
              <a16:creationId xmlns:a16="http://schemas.microsoft.com/office/drawing/2014/main" id="{393691B4-2EFF-4AB4-B799-0FE27C6A25F4}"/>
            </a:ext>
          </a:extLst>
        </xdr:cNvPr>
        <xdr:cNvSpPr txBox="1">
          <a:spLocks noChangeArrowheads="1"/>
        </xdr:cNvSpPr>
      </xdr:nvSpPr>
      <xdr:spPr bwMode="auto">
        <a:xfrm>
          <a:off x="4015740" y="14089380"/>
          <a:ext cx="127254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70</xdr:row>
      <xdr:rowOff>102921</xdr:rowOff>
    </xdr:from>
    <xdr:to>
      <xdr:col>5</xdr:col>
      <xdr:colOff>609600</xdr:colOff>
      <xdr:row>75</xdr:row>
      <xdr:rowOff>296097</xdr:rowOff>
    </xdr:to>
    <xdr:sp macro="" textlink="">
      <xdr:nvSpPr>
        <xdr:cNvPr id="258499" name="Text Box 451" hidden="1">
          <a:extLst>
            <a:ext uri="{FF2B5EF4-FFF2-40B4-BE49-F238E27FC236}">
              <a16:creationId xmlns:a16="http://schemas.microsoft.com/office/drawing/2014/main" id="{547447E7-1072-4139-A2FF-1DD27171C15F}"/>
            </a:ext>
          </a:extLst>
        </xdr:cNvPr>
        <xdr:cNvSpPr txBox="1">
          <a:spLocks noChangeArrowheads="1"/>
        </xdr:cNvSpPr>
      </xdr:nvSpPr>
      <xdr:spPr bwMode="auto">
        <a:xfrm>
          <a:off x="4015740" y="14272260"/>
          <a:ext cx="127254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71</xdr:row>
      <xdr:rowOff>116656</xdr:rowOff>
    </xdr:from>
    <xdr:to>
      <xdr:col>5</xdr:col>
      <xdr:colOff>609600</xdr:colOff>
      <xdr:row>75</xdr:row>
      <xdr:rowOff>296097</xdr:rowOff>
    </xdr:to>
    <xdr:sp macro="" textlink="">
      <xdr:nvSpPr>
        <xdr:cNvPr id="258498" name="Text Box 450" hidden="1">
          <a:extLst>
            <a:ext uri="{FF2B5EF4-FFF2-40B4-BE49-F238E27FC236}">
              <a16:creationId xmlns:a16="http://schemas.microsoft.com/office/drawing/2014/main" id="{B4D96819-9E5B-4BF6-9274-D3533E810838}"/>
            </a:ext>
          </a:extLst>
        </xdr:cNvPr>
        <xdr:cNvSpPr txBox="1">
          <a:spLocks noChangeArrowheads="1"/>
        </xdr:cNvSpPr>
      </xdr:nvSpPr>
      <xdr:spPr bwMode="auto">
        <a:xfrm>
          <a:off x="4015740" y="14455140"/>
          <a:ext cx="127254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109577</xdr:rowOff>
    </xdr:from>
    <xdr:to>
      <xdr:col>5</xdr:col>
      <xdr:colOff>609600</xdr:colOff>
      <xdr:row>94</xdr:row>
      <xdr:rowOff>16773</xdr:rowOff>
    </xdr:to>
    <xdr:sp macro="" textlink="">
      <xdr:nvSpPr>
        <xdr:cNvPr id="258497" name="Text Box 449" hidden="1">
          <a:extLst>
            <a:ext uri="{FF2B5EF4-FFF2-40B4-BE49-F238E27FC236}">
              <a16:creationId xmlns:a16="http://schemas.microsoft.com/office/drawing/2014/main" id="{E6BAAF48-7E51-40FF-9318-B2F4DB0090F6}"/>
            </a:ext>
          </a:extLst>
        </xdr:cNvPr>
        <xdr:cNvSpPr txBox="1">
          <a:spLocks noChangeArrowheads="1"/>
        </xdr:cNvSpPr>
      </xdr:nvSpPr>
      <xdr:spPr bwMode="auto">
        <a:xfrm>
          <a:off x="4015740" y="19606260"/>
          <a:ext cx="1272540" cy="45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52335</xdr:rowOff>
    </xdr:from>
    <xdr:to>
      <xdr:col>5</xdr:col>
      <xdr:colOff>609600</xdr:colOff>
      <xdr:row>120</xdr:row>
      <xdr:rowOff>9709</xdr:rowOff>
    </xdr:to>
    <xdr:sp macro="" textlink="">
      <xdr:nvSpPr>
        <xdr:cNvPr id="258496" name="Text Box 448" hidden="1">
          <a:extLst>
            <a:ext uri="{FF2B5EF4-FFF2-40B4-BE49-F238E27FC236}">
              <a16:creationId xmlns:a16="http://schemas.microsoft.com/office/drawing/2014/main" id="{82DDD443-9DF4-4CE0-B5B9-20DD4578F9FD}"/>
            </a:ext>
          </a:extLst>
        </xdr:cNvPr>
        <xdr:cNvSpPr txBox="1">
          <a:spLocks noChangeArrowheads="1"/>
        </xdr:cNvSpPr>
      </xdr:nvSpPr>
      <xdr:spPr bwMode="auto">
        <a:xfrm>
          <a:off x="4015740" y="19895820"/>
          <a:ext cx="1272540" cy="48615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52335</xdr:rowOff>
    </xdr:from>
    <xdr:to>
      <xdr:col>5</xdr:col>
      <xdr:colOff>609600</xdr:colOff>
      <xdr:row>120</xdr:row>
      <xdr:rowOff>9709</xdr:rowOff>
    </xdr:to>
    <xdr:sp macro="" textlink="">
      <xdr:nvSpPr>
        <xdr:cNvPr id="258495" name="Text Box 447" hidden="1">
          <a:extLst>
            <a:ext uri="{FF2B5EF4-FFF2-40B4-BE49-F238E27FC236}">
              <a16:creationId xmlns:a16="http://schemas.microsoft.com/office/drawing/2014/main" id="{4215951F-3FC6-4756-96A9-22FBF66B8C64}"/>
            </a:ext>
          </a:extLst>
        </xdr:cNvPr>
        <xdr:cNvSpPr txBox="1">
          <a:spLocks noChangeArrowheads="1"/>
        </xdr:cNvSpPr>
      </xdr:nvSpPr>
      <xdr:spPr bwMode="auto">
        <a:xfrm>
          <a:off x="4015740" y="19895820"/>
          <a:ext cx="1272540" cy="48615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494" name="Text Box 446" hidden="1">
          <a:extLst>
            <a:ext uri="{FF2B5EF4-FFF2-40B4-BE49-F238E27FC236}">
              <a16:creationId xmlns:a16="http://schemas.microsoft.com/office/drawing/2014/main" id="{850A2FE4-D206-49DB-B5A0-359DFCC5F33E}"/>
            </a:ext>
          </a:extLst>
        </xdr:cNvPr>
        <xdr:cNvSpPr txBox="1">
          <a:spLocks noChangeArrowheads="1"/>
        </xdr:cNvSpPr>
      </xdr:nvSpPr>
      <xdr:spPr bwMode="auto">
        <a:xfrm>
          <a:off x="1536192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1008</xdr:rowOff>
    </xdr:from>
    <xdr:to>
      <xdr:col>5</xdr:col>
      <xdr:colOff>609600</xdr:colOff>
      <xdr:row>193</xdr:row>
      <xdr:rowOff>1641</xdr:rowOff>
    </xdr:to>
    <xdr:sp macro="" textlink="">
      <xdr:nvSpPr>
        <xdr:cNvPr id="258492" name="Text Box 444" hidden="1">
          <a:extLst>
            <a:ext uri="{FF2B5EF4-FFF2-40B4-BE49-F238E27FC236}">
              <a16:creationId xmlns:a16="http://schemas.microsoft.com/office/drawing/2014/main" id="{30D89017-191A-41B6-9B07-9BA2D31BC4A8}"/>
            </a:ext>
          </a:extLst>
        </xdr:cNvPr>
        <xdr:cNvSpPr txBox="1">
          <a:spLocks noChangeArrowheads="1"/>
        </xdr:cNvSpPr>
      </xdr:nvSpPr>
      <xdr:spPr bwMode="auto">
        <a:xfrm>
          <a:off x="3977640" y="30274260"/>
          <a:ext cx="1310640" cy="541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162624</xdr:rowOff>
    </xdr:from>
    <xdr:to>
      <xdr:col>5</xdr:col>
      <xdr:colOff>609600</xdr:colOff>
      <xdr:row>193</xdr:row>
      <xdr:rowOff>79268</xdr:rowOff>
    </xdr:to>
    <xdr:sp macro="" textlink="">
      <xdr:nvSpPr>
        <xdr:cNvPr id="258491" name="Text Box 443" hidden="1">
          <a:extLst>
            <a:ext uri="{FF2B5EF4-FFF2-40B4-BE49-F238E27FC236}">
              <a16:creationId xmlns:a16="http://schemas.microsoft.com/office/drawing/2014/main" id="{7E078649-E03D-47B3-8A35-F856B0258998}"/>
            </a:ext>
          </a:extLst>
        </xdr:cNvPr>
        <xdr:cNvSpPr txBox="1">
          <a:spLocks noChangeArrowheads="1"/>
        </xdr:cNvSpPr>
      </xdr:nvSpPr>
      <xdr:spPr bwMode="auto">
        <a:xfrm>
          <a:off x="3977640" y="30457140"/>
          <a:ext cx="1310640" cy="441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191</xdr:row>
      <xdr:rowOff>162623</xdr:rowOff>
    </xdr:from>
    <xdr:to>
      <xdr:col>5</xdr:col>
      <xdr:colOff>609600</xdr:colOff>
      <xdr:row>196</xdr:row>
      <xdr:rowOff>125437</xdr:rowOff>
    </xdr:to>
    <xdr:sp macro="" textlink="">
      <xdr:nvSpPr>
        <xdr:cNvPr id="258490" name="Text Box 442" hidden="1">
          <a:extLst>
            <a:ext uri="{FF2B5EF4-FFF2-40B4-BE49-F238E27FC236}">
              <a16:creationId xmlns:a16="http://schemas.microsoft.com/office/drawing/2014/main" id="{FC0E5109-7EFE-419F-8D9D-B89DEE41CDA4}"/>
            </a:ext>
          </a:extLst>
        </xdr:cNvPr>
        <xdr:cNvSpPr txBox="1">
          <a:spLocks noChangeArrowheads="1"/>
        </xdr:cNvSpPr>
      </xdr:nvSpPr>
      <xdr:spPr bwMode="auto">
        <a:xfrm>
          <a:off x="3977640" y="30640020"/>
          <a:ext cx="1310640" cy="883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193</xdr:row>
      <xdr:rowOff>1006</xdr:rowOff>
    </xdr:from>
    <xdr:to>
      <xdr:col>5</xdr:col>
      <xdr:colOff>609600</xdr:colOff>
      <xdr:row>197</xdr:row>
      <xdr:rowOff>126707</xdr:rowOff>
    </xdr:to>
    <xdr:sp macro="" textlink="">
      <xdr:nvSpPr>
        <xdr:cNvPr id="258489" name="Text Box 441" hidden="1">
          <a:extLst>
            <a:ext uri="{FF2B5EF4-FFF2-40B4-BE49-F238E27FC236}">
              <a16:creationId xmlns:a16="http://schemas.microsoft.com/office/drawing/2014/main" id="{7035436E-A5C8-4AA6-AA5B-57CBC0526768}"/>
            </a:ext>
          </a:extLst>
        </xdr:cNvPr>
        <xdr:cNvSpPr txBox="1">
          <a:spLocks noChangeArrowheads="1"/>
        </xdr:cNvSpPr>
      </xdr:nvSpPr>
      <xdr:spPr bwMode="auto">
        <a:xfrm>
          <a:off x="3977640" y="30830520"/>
          <a:ext cx="1310640" cy="883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137</xdr:row>
      <xdr:rowOff>1456</xdr:rowOff>
    </xdr:from>
    <xdr:to>
      <xdr:col>5</xdr:col>
      <xdr:colOff>609600</xdr:colOff>
      <xdr:row>142</xdr:row>
      <xdr:rowOff>149831</xdr:rowOff>
    </xdr:to>
    <xdr:sp macro="" textlink="">
      <xdr:nvSpPr>
        <xdr:cNvPr id="258488" name="Text Box 440" hidden="1">
          <a:extLst>
            <a:ext uri="{FF2B5EF4-FFF2-40B4-BE49-F238E27FC236}">
              <a16:creationId xmlns:a16="http://schemas.microsoft.com/office/drawing/2014/main" id="{A1E4BA26-6BFC-469F-81A4-BADEE73481C5}"/>
            </a:ext>
          </a:extLst>
        </xdr:cNvPr>
        <xdr:cNvSpPr txBox="1">
          <a:spLocks noChangeArrowheads="1"/>
        </xdr:cNvSpPr>
      </xdr:nvSpPr>
      <xdr:spPr bwMode="auto">
        <a:xfrm>
          <a:off x="3977640" y="27904440"/>
          <a:ext cx="1310640" cy="1074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138</xdr:row>
      <xdr:rowOff>2818</xdr:rowOff>
    </xdr:from>
    <xdr:to>
      <xdr:col>5</xdr:col>
      <xdr:colOff>609600</xdr:colOff>
      <xdr:row>184</xdr:row>
      <xdr:rowOff>218083</xdr:rowOff>
    </xdr:to>
    <xdr:sp macro="" textlink="">
      <xdr:nvSpPr>
        <xdr:cNvPr id="258487" name="Text Box 439" hidden="1">
          <a:extLst>
            <a:ext uri="{FF2B5EF4-FFF2-40B4-BE49-F238E27FC236}">
              <a16:creationId xmlns:a16="http://schemas.microsoft.com/office/drawing/2014/main" id="{DE2D9B23-8BE1-43E0-A412-834BC4BD9744}"/>
            </a:ext>
          </a:extLst>
        </xdr:cNvPr>
        <xdr:cNvSpPr txBox="1">
          <a:spLocks noChangeArrowheads="1"/>
        </xdr:cNvSpPr>
      </xdr:nvSpPr>
      <xdr:spPr bwMode="auto">
        <a:xfrm>
          <a:off x="3977640" y="28102560"/>
          <a:ext cx="1310640" cy="9677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139</xdr:row>
      <xdr:rowOff>2091</xdr:rowOff>
    </xdr:from>
    <xdr:to>
      <xdr:col>5</xdr:col>
      <xdr:colOff>609600</xdr:colOff>
      <xdr:row>184</xdr:row>
      <xdr:rowOff>301904</xdr:rowOff>
    </xdr:to>
    <xdr:sp macro="" textlink="">
      <xdr:nvSpPr>
        <xdr:cNvPr id="258486" name="Text Box 438" hidden="1">
          <a:extLst>
            <a:ext uri="{FF2B5EF4-FFF2-40B4-BE49-F238E27FC236}">
              <a16:creationId xmlns:a16="http://schemas.microsoft.com/office/drawing/2014/main" id="{0A8650ED-36B3-45DC-8488-F8708EA8F616}"/>
            </a:ext>
          </a:extLst>
        </xdr:cNvPr>
        <xdr:cNvSpPr txBox="1">
          <a:spLocks noChangeArrowheads="1"/>
        </xdr:cNvSpPr>
      </xdr:nvSpPr>
      <xdr:spPr bwMode="auto">
        <a:xfrm>
          <a:off x="3977640" y="28293060"/>
          <a:ext cx="131064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140</xdr:row>
      <xdr:rowOff>2090</xdr:rowOff>
    </xdr:from>
    <xdr:to>
      <xdr:col>5</xdr:col>
      <xdr:colOff>609600</xdr:colOff>
      <xdr:row>185</xdr:row>
      <xdr:rowOff>160533</xdr:rowOff>
    </xdr:to>
    <xdr:sp macro="" textlink="">
      <xdr:nvSpPr>
        <xdr:cNvPr id="258485" name="Text Box 437" hidden="1">
          <a:extLst>
            <a:ext uri="{FF2B5EF4-FFF2-40B4-BE49-F238E27FC236}">
              <a16:creationId xmlns:a16="http://schemas.microsoft.com/office/drawing/2014/main" id="{00DC5498-902F-4696-A8BE-E2087890766C}"/>
            </a:ext>
          </a:extLst>
        </xdr:cNvPr>
        <xdr:cNvSpPr txBox="1">
          <a:spLocks noChangeArrowheads="1"/>
        </xdr:cNvSpPr>
      </xdr:nvSpPr>
      <xdr:spPr bwMode="auto">
        <a:xfrm>
          <a:off x="3977640" y="28475940"/>
          <a:ext cx="1310640" cy="8686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89</xdr:row>
      <xdr:rowOff>298094</xdr:rowOff>
    </xdr:from>
    <xdr:to>
      <xdr:col>6</xdr:col>
      <xdr:colOff>38100</xdr:colOff>
      <xdr:row>97</xdr:row>
      <xdr:rowOff>97747</xdr:rowOff>
    </xdr:to>
    <xdr:sp macro="" textlink="">
      <xdr:nvSpPr>
        <xdr:cNvPr id="258529" name="Text Box 481" hidden="1">
          <a:extLst>
            <a:ext uri="{FF2B5EF4-FFF2-40B4-BE49-F238E27FC236}">
              <a16:creationId xmlns:a16="http://schemas.microsoft.com/office/drawing/2014/main" id="{4E8A642C-6A60-424C-AA69-D4B5157F783A}"/>
            </a:ext>
          </a:extLst>
        </xdr:cNvPr>
        <xdr:cNvSpPr txBox="1">
          <a:spLocks noChangeArrowheads="1"/>
        </xdr:cNvSpPr>
      </xdr:nvSpPr>
      <xdr:spPr bwMode="auto">
        <a:xfrm>
          <a:off x="3933825" y="19259550"/>
          <a:ext cx="1400175"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62</xdr:row>
      <xdr:rowOff>148642</xdr:rowOff>
    </xdr:to>
    <xdr:sp macro="" textlink="">
      <xdr:nvSpPr>
        <xdr:cNvPr id="258528" name="Text Box 480" hidden="1">
          <a:extLst>
            <a:ext uri="{FF2B5EF4-FFF2-40B4-BE49-F238E27FC236}">
              <a16:creationId xmlns:a16="http://schemas.microsoft.com/office/drawing/2014/main" id="{D1B836D9-E48B-4B83-9CCC-7A2E4A915727}"/>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62</xdr:row>
      <xdr:rowOff>148642</xdr:rowOff>
    </xdr:to>
    <xdr:sp macro="" textlink="">
      <xdr:nvSpPr>
        <xdr:cNvPr id="258527" name="Text Box 479" hidden="1">
          <a:extLst>
            <a:ext uri="{FF2B5EF4-FFF2-40B4-BE49-F238E27FC236}">
              <a16:creationId xmlns:a16="http://schemas.microsoft.com/office/drawing/2014/main" id="{7C5546F8-ADEF-4D8B-81FA-881310669059}"/>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111921</xdr:rowOff>
    </xdr:from>
    <xdr:to>
      <xdr:col>5</xdr:col>
      <xdr:colOff>609600</xdr:colOff>
      <xdr:row>54</xdr:row>
      <xdr:rowOff>66567</xdr:rowOff>
    </xdr:to>
    <xdr:sp macro="" textlink="">
      <xdr:nvSpPr>
        <xdr:cNvPr id="258526" name="Text Box 478" hidden="1">
          <a:extLst>
            <a:ext uri="{FF2B5EF4-FFF2-40B4-BE49-F238E27FC236}">
              <a16:creationId xmlns:a16="http://schemas.microsoft.com/office/drawing/2014/main" id="{ED37C772-BF93-4E4C-9030-D70913210AC8}"/>
            </a:ext>
          </a:extLst>
        </xdr:cNvPr>
        <xdr:cNvSpPr txBox="1">
          <a:spLocks noChangeArrowheads="1"/>
        </xdr:cNvSpPr>
      </xdr:nvSpPr>
      <xdr:spPr bwMode="auto">
        <a:xfrm>
          <a:off x="3895725" y="10229850"/>
          <a:ext cx="1247775"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63285</xdr:rowOff>
    </xdr:from>
    <xdr:to>
      <xdr:col>5</xdr:col>
      <xdr:colOff>609600</xdr:colOff>
      <xdr:row>53</xdr:row>
      <xdr:rowOff>168167</xdr:rowOff>
    </xdr:to>
    <xdr:sp macro="" textlink="">
      <xdr:nvSpPr>
        <xdr:cNvPr id="258525" name="Text Box 477" hidden="1">
          <a:extLst>
            <a:ext uri="{FF2B5EF4-FFF2-40B4-BE49-F238E27FC236}">
              <a16:creationId xmlns:a16="http://schemas.microsoft.com/office/drawing/2014/main" id="{825590C9-6BA2-4280-96D5-5BD1E47B9378}"/>
            </a:ext>
          </a:extLst>
        </xdr:cNvPr>
        <xdr:cNvSpPr txBox="1">
          <a:spLocks noChangeArrowheads="1"/>
        </xdr:cNvSpPr>
      </xdr:nvSpPr>
      <xdr:spPr bwMode="auto">
        <a:xfrm>
          <a:off x="3895725" y="10363200"/>
          <a:ext cx="1247775"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89007</xdr:rowOff>
    </xdr:from>
    <xdr:to>
      <xdr:col>5</xdr:col>
      <xdr:colOff>609600</xdr:colOff>
      <xdr:row>58</xdr:row>
      <xdr:rowOff>35174</xdr:rowOff>
    </xdr:to>
    <xdr:sp macro="" textlink="">
      <xdr:nvSpPr>
        <xdr:cNvPr id="258524" name="Text Box 476" hidden="1">
          <a:extLst>
            <a:ext uri="{FF2B5EF4-FFF2-40B4-BE49-F238E27FC236}">
              <a16:creationId xmlns:a16="http://schemas.microsoft.com/office/drawing/2014/main" id="{B861ABAC-03D4-4C89-AD89-E3CDAADC183B}"/>
            </a:ext>
          </a:extLst>
        </xdr:cNvPr>
        <xdr:cNvSpPr txBox="1">
          <a:spLocks noChangeArrowheads="1"/>
        </xdr:cNvSpPr>
      </xdr:nvSpPr>
      <xdr:spPr bwMode="auto">
        <a:xfrm>
          <a:off x="3895725" y="11468100"/>
          <a:ext cx="1247775"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72561</xdr:rowOff>
    </xdr:from>
    <xdr:to>
      <xdr:col>5</xdr:col>
      <xdr:colOff>609600</xdr:colOff>
      <xdr:row>73</xdr:row>
      <xdr:rowOff>444500</xdr:rowOff>
    </xdr:to>
    <xdr:sp macro="" textlink="">
      <xdr:nvSpPr>
        <xdr:cNvPr id="258523" name="Text Box 475" hidden="1">
          <a:extLst>
            <a:ext uri="{FF2B5EF4-FFF2-40B4-BE49-F238E27FC236}">
              <a16:creationId xmlns:a16="http://schemas.microsoft.com/office/drawing/2014/main" id="{9ED1FD8F-7C05-422C-8CDF-81A7E291D638}"/>
            </a:ext>
          </a:extLst>
        </xdr:cNvPr>
        <xdr:cNvSpPr txBox="1">
          <a:spLocks noChangeArrowheads="1"/>
        </xdr:cNvSpPr>
      </xdr:nvSpPr>
      <xdr:spPr bwMode="auto">
        <a:xfrm>
          <a:off x="3895725" y="14087475"/>
          <a:ext cx="12477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94430</xdr:rowOff>
    </xdr:from>
    <xdr:to>
      <xdr:col>5</xdr:col>
      <xdr:colOff>609600</xdr:colOff>
      <xdr:row>75</xdr:row>
      <xdr:rowOff>83370</xdr:rowOff>
    </xdr:to>
    <xdr:sp macro="" textlink="">
      <xdr:nvSpPr>
        <xdr:cNvPr id="258522" name="Text Box 474" hidden="1">
          <a:extLst>
            <a:ext uri="{FF2B5EF4-FFF2-40B4-BE49-F238E27FC236}">
              <a16:creationId xmlns:a16="http://schemas.microsoft.com/office/drawing/2014/main" id="{5B5BFFF4-CE8B-4CB9-AC97-E31775E51A1C}"/>
            </a:ext>
          </a:extLst>
        </xdr:cNvPr>
        <xdr:cNvSpPr txBox="1">
          <a:spLocks noChangeArrowheads="1"/>
        </xdr:cNvSpPr>
      </xdr:nvSpPr>
      <xdr:spPr bwMode="auto">
        <a:xfrm>
          <a:off x="3895725" y="14277975"/>
          <a:ext cx="1247775"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70</xdr:row>
      <xdr:rowOff>102921</xdr:rowOff>
    </xdr:from>
    <xdr:to>
      <xdr:col>5</xdr:col>
      <xdr:colOff>609600</xdr:colOff>
      <xdr:row>75</xdr:row>
      <xdr:rowOff>296097</xdr:rowOff>
    </xdr:to>
    <xdr:sp macro="" textlink="">
      <xdr:nvSpPr>
        <xdr:cNvPr id="258521" name="Text Box 473" hidden="1">
          <a:extLst>
            <a:ext uri="{FF2B5EF4-FFF2-40B4-BE49-F238E27FC236}">
              <a16:creationId xmlns:a16="http://schemas.microsoft.com/office/drawing/2014/main" id="{09BF6729-5F29-45B0-A070-7B0A94DA63CB}"/>
            </a:ext>
          </a:extLst>
        </xdr:cNvPr>
        <xdr:cNvSpPr txBox="1">
          <a:spLocks noChangeArrowheads="1"/>
        </xdr:cNvSpPr>
      </xdr:nvSpPr>
      <xdr:spPr bwMode="auto">
        <a:xfrm>
          <a:off x="3895725" y="14468475"/>
          <a:ext cx="1247775" cy="1790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71</xdr:row>
      <xdr:rowOff>116656</xdr:rowOff>
    </xdr:from>
    <xdr:to>
      <xdr:col>5</xdr:col>
      <xdr:colOff>609600</xdr:colOff>
      <xdr:row>75</xdr:row>
      <xdr:rowOff>296097</xdr:rowOff>
    </xdr:to>
    <xdr:sp macro="" textlink="">
      <xdr:nvSpPr>
        <xdr:cNvPr id="258520" name="Text Box 472" hidden="1">
          <a:extLst>
            <a:ext uri="{FF2B5EF4-FFF2-40B4-BE49-F238E27FC236}">
              <a16:creationId xmlns:a16="http://schemas.microsoft.com/office/drawing/2014/main" id="{67E2418F-D8CF-4D6D-A97A-0856A987220B}"/>
            </a:ext>
          </a:extLst>
        </xdr:cNvPr>
        <xdr:cNvSpPr txBox="1">
          <a:spLocks noChangeArrowheads="1"/>
        </xdr:cNvSpPr>
      </xdr:nvSpPr>
      <xdr:spPr bwMode="auto">
        <a:xfrm>
          <a:off x="3895725" y="14658975"/>
          <a:ext cx="1247775" cy="1600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95607</xdr:rowOff>
    </xdr:from>
    <xdr:to>
      <xdr:col>5</xdr:col>
      <xdr:colOff>609600</xdr:colOff>
      <xdr:row>93</xdr:row>
      <xdr:rowOff>162282</xdr:rowOff>
    </xdr:to>
    <xdr:sp macro="" textlink="">
      <xdr:nvSpPr>
        <xdr:cNvPr id="258519" name="Text Box 471" hidden="1">
          <a:extLst>
            <a:ext uri="{FF2B5EF4-FFF2-40B4-BE49-F238E27FC236}">
              <a16:creationId xmlns:a16="http://schemas.microsoft.com/office/drawing/2014/main" id="{1B4D7A31-A44D-47F3-86A7-742E783E0EC2}"/>
            </a:ext>
          </a:extLst>
        </xdr:cNvPr>
        <xdr:cNvSpPr txBox="1">
          <a:spLocks noChangeArrowheads="1"/>
        </xdr:cNvSpPr>
      </xdr:nvSpPr>
      <xdr:spPr bwMode="auto">
        <a:xfrm>
          <a:off x="3895725" y="19973925"/>
          <a:ext cx="1247775" cy="47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52335</xdr:rowOff>
    </xdr:from>
    <xdr:to>
      <xdr:col>5</xdr:col>
      <xdr:colOff>609600</xdr:colOff>
      <xdr:row>120</xdr:row>
      <xdr:rowOff>10344</xdr:rowOff>
    </xdr:to>
    <xdr:sp macro="" textlink="">
      <xdr:nvSpPr>
        <xdr:cNvPr id="258518" name="Text Box 470" hidden="1">
          <a:extLst>
            <a:ext uri="{FF2B5EF4-FFF2-40B4-BE49-F238E27FC236}">
              <a16:creationId xmlns:a16="http://schemas.microsoft.com/office/drawing/2014/main" id="{47594F43-EC74-4448-A295-D4ABE8E666B9}"/>
            </a:ext>
          </a:extLst>
        </xdr:cNvPr>
        <xdr:cNvSpPr txBox="1">
          <a:spLocks noChangeArrowheads="1"/>
        </xdr:cNvSpPr>
      </xdr:nvSpPr>
      <xdr:spPr bwMode="auto">
        <a:xfrm>
          <a:off x="3895725" y="20278725"/>
          <a:ext cx="1247775" cy="5038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52335</xdr:rowOff>
    </xdr:from>
    <xdr:to>
      <xdr:col>5</xdr:col>
      <xdr:colOff>609600</xdr:colOff>
      <xdr:row>120</xdr:row>
      <xdr:rowOff>10344</xdr:rowOff>
    </xdr:to>
    <xdr:sp macro="" textlink="">
      <xdr:nvSpPr>
        <xdr:cNvPr id="258517" name="Text Box 469" hidden="1">
          <a:extLst>
            <a:ext uri="{FF2B5EF4-FFF2-40B4-BE49-F238E27FC236}">
              <a16:creationId xmlns:a16="http://schemas.microsoft.com/office/drawing/2014/main" id="{7E28E15E-C3C4-41DF-9725-7547090CB5ED}"/>
            </a:ext>
          </a:extLst>
        </xdr:cNvPr>
        <xdr:cNvSpPr txBox="1">
          <a:spLocks noChangeArrowheads="1"/>
        </xdr:cNvSpPr>
      </xdr:nvSpPr>
      <xdr:spPr bwMode="auto">
        <a:xfrm>
          <a:off x="3895725" y="20278725"/>
          <a:ext cx="1247775" cy="5038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516" name="Text Box 468" hidden="1">
          <a:extLst>
            <a:ext uri="{FF2B5EF4-FFF2-40B4-BE49-F238E27FC236}">
              <a16:creationId xmlns:a16="http://schemas.microsoft.com/office/drawing/2014/main" id="{16C2CB3B-C60B-42B2-B219-3A1DB295A3D8}"/>
            </a:ext>
          </a:extLst>
        </xdr:cNvPr>
        <xdr:cNvSpPr txBox="1">
          <a:spLocks noChangeArrowheads="1"/>
        </xdr:cNvSpPr>
      </xdr:nvSpPr>
      <xdr:spPr bwMode="auto">
        <a:xfrm>
          <a:off x="14839950"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189</xdr:row>
      <xdr:rowOff>162626</xdr:rowOff>
    </xdr:from>
    <xdr:to>
      <xdr:col>5</xdr:col>
      <xdr:colOff>609600</xdr:colOff>
      <xdr:row>193</xdr:row>
      <xdr:rowOff>1641</xdr:rowOff>
    </xdr:to>
    <xdr:sp macro="" textlink="">
      <xdr:nvSpPr>
        <xdr:cNvPr id="258515" name="Text Box 467" hidden="1">
          <a:extLst>
            <a:ext uri="{FF2B5EF4-FFF2-40B4-BE49-F238E27FC236}">
              <a16:creationId xmlns:a16="http://schemas.microsoft.com/office/drawing/2014/main" id="{67E9C98A-2BC1-4640-BCCA-3EF6D87FD73A}"/>
            </a:ext>
          </a:extLst>
        </xdr:cNvPr>
        <xdr:cNvSpPr txBox="1">
          <a:spLocks noChangeArrowheads="1"/>
        </xdr:cNvSpPr>
      </xdr:nvSpPr>
      <xdr:spPr bwMode="auto">
        <a:xfrm>
          <a:off x="3857625" y="31013400"/>
          <a:ext cx="12858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191</xdr:row>
      <xdr:rowOff>1641</xdr:rowOff>
    </xdr:from>
    <xdr:to>
      <xdr:col>5</xdr:col>
      <xdr:colOff>609600</xdr:colOff>
      <xdr:row>193</xdr:row>
      <xdr:rowOff>50337</xdr:rowOff>
    </xdr:to>
    <xdr:sp macro="" textlink="">
      <xdr:nvSpPr>
        <xdr:cNvPr id="258514" name="Text Box 466" hidden="1">
          <a:extLst>
            <a:ext uri="{FF2B5EF4-FFF2-40B4-BE49-F238E27FC236}">
              <a16:creationId xmlns:a16="http://schemas.microsoft.com/office/drawing/2014/main" id="{579C0D01-5A20-4F29-A743-86865AA4D7DC}"/>
            </a:ext>
          </a:extLst>
        </xdr:cNvPr>
        <xdr:cNvSpPr txBox="1">
          <a:spLocks noChangeArrowheads="1"/>
        </xdr:cNvSpPr>
      </xdr:nvSpPr>
      <xdr:spPr bwMode="auto">
        <a:xfrm>
          <a:off x="3857625" y="31203900"/>
          <a:ext cx="1285875"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192</xdr:row>
      <xdr:rowOff>1640</xdr:rowOff>
    </xdr:from>
    <xdr:to>
      <xdr:col>5</xdr:col>
      <xdr:colOff>609600</xdr:colOff>
      <xdr:row>196</xdr:row>
      <xdr:rowOff>116547</xdr:rowOff>
    </xdr:to>
    <xdr:sp macro="" textlink="">
      <xdr:nvSpPr>
        <xdr:cNvPr id="258513" name="Text Box 465" hidden="1">
          <a:extLst>
            <a:ext uri="{FF2B5EF4-FFF2-40B4-BE49-F238E27FC236}">
              <a16:creationId xmlns:a16="http://schemas.microsoft.com/office/drawing/2014/main" id="{C19B78D4-40E4-4F16-9CFA-7214927E41FD}"/>
            </a:ext>
          </a:extLst>
        </xdr:cNvPr>
        <xdr:cNvSpPr txBox="1">
          <a:spLocks noChangeArrowheads="1"/>
        </xdr:cNvSpPr>
      </xdr:nvSpPr>
      <xdr:spPr bwMode="auto">
        <a:xfrm>
          <a:off x="3857625" y="31394400"/>
          <a:ext cx="1285875" cy="895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192</xdr:row>
      <xdr:rowOff>161355</xdr:rowOff>
    </xdr:from>
    <xdr:to>
      <xdr:col>5</xdr:col>
      <xdr:colOff>609600</xdr:colOff>
      <xdr:row>197</xdr:row>
      <xdr:rowOff>126072</xdr:rowOff>
    </xdr:to>
    <xdr:sp macro="" textlink="">
      <xdr:nvSpPr>
        <xdr:cNvPr id="258512" name="Text Box 464" hidden="1">
          <a:extLst>
            <a:ext uri="{FF2B5EF4-FFF2-40B4-BE49-F238E27FC236}">
              <a16:creationId xmlns:a16="http://schemas.microsoft.com/office/drawing/2014/main" id="{97AFD59C-43FF-4CCC-8649-E9515E52E40A}"/>
            </a:ext>
          </a:extLst>
        </xdr:cNvPr>
        <xdr:cNvSpPr txBox="1">
          <a:spLocks noChangeArrowheads="1"/>
        </xdr:cNvSpPr>
      </xdr:nvSpPr>
      <xdr:spPr bwMode="auto">
        <a:xfrm>
          <a:off x="3857625" y="31594425"/>
          <a:ext cx="1285875" cy="895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137</xdr:row>
      <xdr:rowOff>821</xdr:rowOff>
    </xdr:from>
    <xdr:to>
      <xdr:col>5</xdr:col>
      <xdr:colOff>609600</xdr:colOff>
      <xdr:row>142</xdr:row>
      <xdr:rowOff>149831</xdr:rowOff>
    </xdr:to>
    <xdr:sp macro="" textlink="">
      <xdr:nvSpPr>
        <xdr:cNvPr id="258511" name="Text Box 463" hidden="1">
          <a:extLst>
            <a:ext uri="{FF2B5EF4-FFF2-40B4-BE49-F238E27FC236}">
              <a16:creationId xmlns:a16="http://schemas.microsoft.com/office/drawing/2014/main" id="{A62E895C-1FD1-461A-8975-5CA19B5A1930}"/>
            </a:ext>
          </a:extLst>
        </xdr:cNvPr>
        <xdr:cNvSpPr txBox="1">
          <a:spLocks noChangeArrowheads="1"/>
        </xdr:cNvSpPr>
      </xdr:nvSpPr>
      <xdr:spPr bwMode="auto">
        <a:xfrm>
          <a:off x="3857625" y="28603575"/>
          <a:ext cx="1285875" cy="1123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138</xdr:row>
      <xdr:rowOff>2818</xdr:rowOff>
    </xdr:from>
    <xdr:to>
      <xdr:col>5</xdr:col>
      <xdr:colOff>609600</xdr:colOff>
      <xdr:row>184</xdr:row>
      <xdr:rowOff>218718</xdr:rowOff>
    </xdr:to>
    <xdr:sp macro="" textlink="">
      <xdr:nvSpPr>
        <xdr:cNvPr id="258510" name="Text Box 462" hidden="1">
          <a:extLst>
            <a:ext uri="{FF2B5EF4-FFF2-40B4-BE49-F238E27FC236}">
              <a16:creationId xmlns:a16="http://schemas.microsoft.com/office/drawing/2014/main" id="{A91DBB56-0606-472A-8E2E-93B70A0E962D}"/>
            </a:ext>
          </a:extLst>
        </xdr:cNvPr>
        <xdr:cNvSpPr txBox="1">
          <a:spLocks noChangeArrowheads="1"/>
        </xdr:cNvSpPr>
      </xdr:nvSpPr>
      <xdr:spPr bwMode="auto">
        <a:xfrm>
          <a:off x="3857625" y="28813125"/>
          <a:ext cx="1285875" cy="1000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139</xdr:row>
      <xdr:rowOff>2818</xdr:rowOff>
    </xdr:from>
    <xdr:to>
      <xdr:col>5</xdr:col>
      <xdr:colOff>609600</xdr:colOff>
      <xdr:row>184</xdr:row>
      <xdr:rowOff>275868</xdr:rowOff>
    </xdr:to>
    <xdr:sp macro="" textlink="">
      <xdr:nvSpPr>
        <xdr:cNvPr id="258509" name="Text Box 461" hidden="1">
          <a:extLst>
            <a:ext uri="{FF2B5EF4-FFF2-40B4-BE49-F238E27FC236}">
              <a16:creationId xmlns:a16="http://schemas.microsoft.com/office/drawing/2014/main" id="{E1754C31-E391-4C0A-A9AD-DB7A21CC5203}"/>
            </a:ext>
          </a:extLst>
        </xdr:cNvPr>
        <xdr:cNvSpPr txBox="1">
          <a:spLocks noChangeArrowheads="1"/>
        </xdr:cNvSpPr>
      </xdr:nvSpPr>
      <xdr:spPr bwMode="auto">
        <a:xfrm>
          <a:off x="3857625" y="29003625"/>
          <a:ext cx="128587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140</xdr:row>
      <xdr:rowOff>2818</xdr:rowOff>
    </xdr:from>
    <xdr:to>
      <xdr:col>5</xdr:col>
      <xdr:colOff>609600</xdr:colOff>
      <xdr:row>185</xdr:row>
      <xdr:rowOff>160533</xdr:rowOff>
    </xdr:to>
    <xdr:sp macro="" textlink="">
      <xdr:nvSpPr>
        <xdr:cNvPr id="258508" name="Text Box 460" hidden="1">
          <a:extLst>
            <a:ext uri="{FF2B5EF4-FFF2-40B4-BE49-F238E27FC236}">
              <a16:creationId xmlns:a16="http://schemas.microsoft.com/office/drawing/2014/main" id="{0BD62913-32CC-44C5-822B-6B2571D91F8F}"/>
            </a:ext>
          </a:extLst>
        </xdr:cNvPr>
        <xdr:cNvSpPr txBox="1">
          <a:spLocks noChangeArrowheads="1"/>
        </xdr:cNvSpPr>
      </xdr:nvSpPr>
      <xdr:spPr bwMode="auto">
        <a:xfrm>
          <a:off x="3857625" y="29194125"/>
          <a:ext cx="1285875" cy="9048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90</xdr:row>
      <xdr:rowOff>100208</xdr:rowOff>
    </xdr:from>
    <xdr:to>
      <xdr:col>6</xdr:col>
      <xdr:colOff>38100</xdr:colOff>
      <xdr:row>98</xdr:row>
      <xdr:rowOff>118795</xdr:rowOff>
    </xdr:to>
    <xdr:sp macro="" textlink="">
      <xdr:nvSpPr>
        <xdr:cNvPr id="258551" name="Text Box 503" hidden="1">
          <a:extLst>
            <a:ext uri="{FF2B5EF4-FFF2-40B4-BE49-F238E27FC236}">
              <a16:creationId xmlns:a16="http://schemas.microsoft.com/office/drawing/2014/main" id="{D818A35C-0ED7-468D-9FAC-429F8A000C1D}"/>
            </a:ext>
          </a:extLst>
        </xdr:cNvPr>
        <xdr:cNvSpPr txBox="1">
          <a:spLocks noChangeArrowheads="1"/>
        </xdr:cNvSpPr>
      </xdr:nvSpPr>
      <xdr:spPr bwMode="auto">
        <a:xfrm>
          <a:off x="4070350" y="19202400"/>
          <a:ext cx="1428750" cy="1416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103454</xdr:rowOff>
    </xdr:from>
    <xdr:to>
      <xdr:col>5</xdr:col>
      <xdr:colOff>609600</xdr:colOff>
      <xdr:row>65</xdr:row>
      <xdr:rowOff>52691</xdr:rowOff>
    </xdr:to>
    <xdr:sp macro="" textlink="">
      <xdr:nvSpPr>
        <xdr:cNvPr id="258550" name="Text Box 502" hidden="1">
          <a:extLst>
            <a:ext uri="{FF2B5EF4-FFF2-40B4-BE49-F238E27FC236}">
              <a16:creationId xmlns:a16="http://schemas.microsoft.com/office/drawing/2014/main" id="{EF5A2B86-3839-493B-BDEA-C626F47734FE}"/>
            </a:ext>
          </a:extLst>
        </xdr:cNvPr>
        <xdr:cNvSpPr txBox="1">
          <a:spLocks noChangeArrowheads="1"/>
        </xdr:cNvSpPr>
      </xdr:nvSpPr>
      <xdr:spPr bwMode="auto">
        <a:xfrm>
          <a:off x="4032250" y="10179050"/>
          <a:ext cx="1276350" cy="322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103454</xdr:rowOff>
    </xdr:from>
    <xdr:to>
      <xdr:col>5</xdr:col>
      <xdr:colOff>609600</xdr:colOff>
      <xdr:row>65</xdr:row>
      <xdr:rowOff>52691</xdr:rowOff>
    </xdr:to>
    <xdr:sp macro="" textlink="">
      <xdr:nvSpPr>
        <xdr:cNvPr id="258549" name="Text Box 501" hidden="1">
          <a:extLst>
            <a:ext uri="{FF2B5EF4-FFF2-40B4-BE49-F238E27FC236}">
              <a16:creationId xmlns:a16="http://schemas.microsoft.com/office/drawing/2014/main" id="{9B8BC924-E2F3-4E3D-81FC-93D6D31B500F}"/>
            </a:ext>
          </a:extLst>
        </xdr:cNvPr>
        <xdr:cNvSpPr txBox="1">
          <a:spLocks noChangeArrowheads="1"/>
        </xdr:cNvSpPr>
      </xdr:nvSpPr>
      <xdr:spPr bwMode="auto">
        <a:xfrm>
          <a:off x="4032250" y="10179050"/>
          <a:ext cx="1276350" cy="322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107735</xdr:rowOff>
    </xdr:from>
    <xdr:to>
      <xdr:col>5</xdr:col>
      <xdr:colOff>609600</xdr:colOff>
      <xdr:row>55</xdr:row>
      <xdr:rowOff>128156</xdr:rowOff>
    </xdr:to>
    <xdr:sp macro="" textlink="">
      <xdr:nvSpPr>
        <xdr:cNvPr id="258548" name="Text Box 500" hidden="1">
          <a:extLst>
            <a:ext uri="{FF2B5EF4-FFF2-40B4-BE49-F238E27FC236}">
              <a16:creationId xmlns:a16="http://schemas.microsoft.com/office/drawing/2014/main" id="{8A369398-B7E9-4872-B50B-90E135892ECD}"/>
            </a:ext>
          </a:extLst>
        </xdr:cNvPr>
        <xdr:cNvSpPr txBox="1">
          <a:spLocks noChangeArrowheads="1"/>
        </xdr:cNvSpPr>
      </xdr:nvSpPr>
      <xdr:spPr bwMode="auto">
        <a:xfrm>
          <a:off x="4032250" y="10375900"/>
          <a:ext cx="1276350" cy="1231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50</xdr:row>
      <xdr:rowOff>61430</xdr:rowOff>
    </xdr:from>
    <xdr:to>
      <xdr:col>5</xdr:col>
      <xdr:colOff>609600</xdr:colOff>
      <xdr:row>55</xdr:row>
      <xdr:rowOff>1212</xdr:rowOff>
    </xdr:to>
    <xdr:sp macro="" textlink="">
      <xdr:nvSpPr>
        <xdr:cNvPr id="258547" name="Text Box 499" hidden="1">
          <a:extLst>
            <a:ext uri="{FF2B5EF4-FFF2-40B4-BE49-F238E27FC236}">
              <a16:creationId xmlns:a16="http://schemas.microsoft.com/office/drawing/2014/main" id="{E5191C5E-D189-480B-A32E-9398F57CDDA4}"/>
            </a:ext>
          </a:extLst>
        </xdr:cNvPr>
        <xdr:cNvSpPr txBox="1">
          <a:spLocks noChangeArrowheads="1"/>
        </xdr:cNvSpPr>
      </xdr:nvSpPr>
      <xdr:spPr bwMode="auto">
        <a:xfrm>
          <a:off x="4032250" y="10509250"/>
          <a:ext cx="12763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128156</xdr:rowOff>
    </xdr:from>
    <xdr:to>
      <xdr:col>5</xdr:col>
      <xdr:colOff>609600</xdr:colOff>
      <xdr:row>59</xdr:row>
      <xdr:rowOff>31999</xdr:rowOff>
    </xdr:to>
    <xdr:sp macro="" textlink="">
      <xdr:nvSpPr>
        <xdr:cNvPr id="258546" name="Text Box 498" hidden="1">
          <a:extLst>
            <a:ext uri="{FF2B5EF4-FFF2-40B4-BE49-F238E27FC236}">
              <a16:creationId xmlns:a16="http://schemas.microsoft.com/office/drawing/2014/main" id="{109C0D23-0B4A-4421-BCC0-61F99F5E2CB4}"/>
            </a:ext>
          </a:extLst>
        </xdr:cNvPr>
        <xdr:cNvSpPr txBox="1">
          <a:spLocks noChangeArrowheads="1"/>
        </xdr:cNvSpPr>
      </xdr:nvSpPr>
      <xdr:spPr bwMode="auto">
        <a:xfrm>
          <a:off x="4032250" y="11607800"/>
          <a:ext cx="127635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94430</xdr:rowOff>
    </xdr:from>
    <xdr:to>
      <xdr:col>5</xdr:col>
      <xdr:colOff>609600</xdr:colOff>
      <xdr:row>74</xdr:row>
      <xdr:rowOff>70669</xdr:rowOff>
    </xdr:to>
    <xdr:sp macro="" textlink="">
      <xdr:nvSpPr>
        <xdr:cNvPr id="258545" name="Text Box 497" hidden="1">
          <a:extLst>
            <a:ext uri="{FF2B5EF4-FFF2-40B4-BE49-F238E27FC236}">
              <a16:creationId xmlns:a16="http://schemas.microsoft.com/office/drawing/2014/main" id="{2CAAABB4-F4CC-44D0-A0E3-6CD25871F565}"/>
            </a:ext>
          </a:extLst>
        </xdr:cNvPr>
        <xdr:cNvSpPr txBox="1">
          <a:spLocks noChangeArrowheads="1"/>
        </xdr:cNvSpPr>
      </xdr:nvSpPr>
      <xdr:spPr bwMode="auto">
        <a:xfrm>
          <a:off x="4032250" y="14179550"/>
          <a:ext cx="1276350" cy="128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70</xdr:row>
      <xdr:rowOff>102921</xdr:rowOff>
    </xdr:from>
    <xdr:to>
      <xdr:col>5</xdr:col>
      <xdr:colOff>609600</xdr:colOff>
      <xdr:row>75</xdr:row>
      <xdr:rowOff>261172</xdr:rowOff>
    </xdr:to>
    <xdr:sp macro="" textlink="">
      <xdr:nvSpPr>
        <xdr:cNvPr id="258544" name="Text Box 496" hidden="1">
          <a:extLst>
            <a:ext uri="{FF2B5EF4-FFF2-40B4-BE49-F238E27FC236}">
              <a16:creationId xmlns:a16="http://schemas.microsoft.com/office/drawing/2014/main" id="{73BD3F39-0679-43CC-B68C-0967003B76C5}"/>
            </a:ext>
          </a:extLst>
        </xdr:cNvPr>
        <xdr:cNvSpPr txBox="1">
          <a:spLocks noChangeArrowheads="1"/>
        </xdr:cNvSpPr>
      </xdr:nvSpPr>
      <xdr:spPr bwMode="auto">
        <a:xfrm>
          <a:off x="4032250" y="14363700"/>
          <a:ext cx="1276350" cy="169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71</xdr:row>
      <xdr:rowOff>116656</xdr:rowOff>
    </xdr:from>
    <xdr:to>
      <xdr:col>5</xdr:col>
      <xdr:colOff>609600</xdr:colOff>
      <xdr:row>76</xdr:row>
      <xdr:rowOff>80195</xdr:rowOff>
    </xdr:to>
    <xdr:sp macro="" textlink="">
      <xdr:nvSpPr>
        <xdr:cNvPr id="258543" name="Text Box 495" hidden="1">
          <a:extLst>
            <a:ext uri="{FF2B5EF4-FFF2-40B4-BE49-F238E27FC236}">
              <a16:creationId xmlns:a16="http://schemas.microsoft.com/office/drawing/2014/main" id="{04B6B02E-8350-4191-937C-38546E79C1FB}"/>
            </a:ext>
          </a:extLst>
        </xdr:cNvPr>
        <xdr:cNvSpPr txBox="1">
          <a:spLocks noChangeArrowheads="1"/>
        </xdr:cNvSpPr>
      </xdr:nvSpPr>
      <xdr:spPr bwMode="auto">
        <a:xfrm>
          <a:off x="4032250" y="14547850"/>
          <a:ext cx="1276350" cy="173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72</xdr:row>
      <xdr:rowOff>116653</xdr:rowOff>
    </xdr:from>
    <xdr:to>
      <xdr:col>5</xdr:col>
      <xdr:colOff>609600</xdr:colOff>
      <xdr:row>76</xdr:row>
      <xdr:rowOff>80195</xdr:rowOff>
    </xdr:to>
    <xdr:sp macro="" textlink="">
      <xdr:nvSpPr>
        <xdr:cNvPr id="258542" name="Text Box 494" hidden="1">
          <a:extLst>
            <a:ext uri="{FF2B5EF4-FFF2-40B4-BE49-F238E27FC236}">
              <a16:creationId xmlns:a16="http://schemas.microsoft.com/office/drawing/2014/main" id="{164A9E25-CB04-4D6F-BCC4-C5B55C865B04}"/>
            </a:ext>
          </a:extLst>
        </xdr:cNvPr>
        <xdr:cNvSpPr txBox="1">
          <a:spLocks noChangeArrowheads="1"/>
        </xdr:cNvSpPr>
      </xdr:nvSpPr>
      <xdr:spPr bwMode="auto">
        <a:xfrm>
          <a:off x="4032250" y="14732000"/>
          <a:ext cx="1276350" cy="154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114657</xdr:rowOff>
    </xdr:from>
    <xdr:to>
      <xdr:col>5</xdr:col>
      <xdr:colOff>609600</xdr:colOff>
      <xdr:row>94</xdr:row>
      <xdr:rowOff>133707</xdr:rowOff>
    </xdr:to>
    <xdr:sp macro="" textlink="">
      <xdr:nvSpPr>
        <xdr:cNvPr id="258541" name="Text Box 493" hidden="1">
          <a:extLst>
            <a:ext uri="{FF2B5EF4-FFF2-40B4-BE49-F238E27FC236}">
              <a16:creationId xmlns:a16="http://schemas.microsoft.com/office/drawing/2014/main" id="{E9A63A28-C344-4B05-9521-7EE5A4D5EE1B}"/>
            </a:ext>
          </a:extLst>
        </xdr:cNvPr>
        <xdr:cNvSpPr txBox="1">
          <a:spLocks noChangeArrowheads="1"/>
        </xdr:cNvSpPr>
      </xdr:nvSpPr>
      <xdr:spPr bwMode="auto">
        <a:xfrm>
          <a:off x="4032250" y="1990090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96</xdr:row>
      <xdr:rowOff>91468</xdr:rowOff>
    </xdr:from>
    <xdr:to>
      <xdr:col>5</xdr:col>
      <xdr:colOff>609600</xdr:colOff>
      <xdr:row>120</xdr:row>
      <xdr:rowOff>168702</xdr:rowOff>
    </xdr:to>
    <xdr:sp macro="" textlink="">
      <xdr:nvSpPr>
        <xdr:cNvPr id="258540" name="Text Box 492" hidden="1">
          <a:extLst>
            <a:ext uri="{FF2B5EF4-FFF2-40B4-BE49-F238E27FC236}">
              <a16:creationId xmlns:a16="http://schemas.microsoft.com/office/drawing/2014/main" id="{DD276C6B-E3F5-40FC-8C3E-5C8D317EC4C0}"/>
            </a:ext>
          </a:extLst>
        </xdr:cNvPr>
        <xdr:cNvSpPr txBox="1">
          <a:spLocks noChangeArrowheads="1"/>
        </xdr:cNvSpPr>
      </xdr:nvSpPr>
      <xdr:spPr bwMode="auto">
        <a:xfrm>
          <a:off x="4032250" y="20237450"/>
          <a:ext cx="1276350" cy="483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96</xdr:row>
      <xdr:rowOff>91468</xdr:rowOff>
    </xdr:from>
    <xdr:to>
      <xdr:col>5</xdr:col>
      <xdr:colOff>609600</xdr:colOff>
      <xdr:row>120</xdr:row>
      <xdr:rowOff>168702</xdr:rowOff>
    </xdr:to>
    <xdr:sp macro="" textlink="">
      <xdr:nvSpPr>
        <xdr:cNvPr id="258539" name="Text Box 491" hidden="1">
          <a:extLst>
            <a:ext uri="{FF2B5EF4-FFF2-40B4-BE49-F238E27FC236}">
              <a16:creationId xmlns:a16="http://schemas.microsoft.com/office/drawing/2014/main" id="{0BA0581A-332D-4D68-93A8-349C63855762}"/>
            </a:ext>
          </a:extLst>
        </xdr:cNvPr>
        <xdr:cNvSpPr txBox="1">
          <a:spLocks noChangeArrowheads="1"/>
        </xdr:cNvSpPr>
      </xdr:nvSpPr>
      <xdr:spPr bwMode="auto">
        <a:xfrm>
          <a:off x="4032250" y="20237450"/>
          <a:ext cx="1276350" cy="483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538" name="Text Box 490" hidden="1">
          <a:extLst>
            <a:ext uri="{FF2B5EF4-FFF2-40B4-BE49-F238E27FC236}">
              <a16:creationId xmlns:a16="http://schemas.microsoft.com/office/drawing/2014/main" id="{44C5F628-6226-4F49-B693-9A1D32272055}"/>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191</xdr:row>
      <xdr:rowOff>1641</xdr:rowOff>
    </xdr:from>
    <xdr:to>
      <xdr:col>5</xdr:col>
      <xdr:colOff>609600</xdr:colOff>
      <xdr:row>194</xdr:row>
      <xdr:rowOff>125252</xdr:rowOff>
    </xdr:to>
    <xdr:sp macro="" textlink="">
      <xdr:nvSpPr>
        <xdr:cNvPr id="258537" name="Text Box 489" hidden="1">
          <a:extLst>
            <a:ext uri="{FF2B5EF4-FFF2-40B4-BE49-F238E27FC236}">
              <a16:creationId xmlns:a16="http://schemas.microsoft.com/office/drawing/2014/main" id="{C176F1C1-713C-411F-B4A5-C06FC7E081A3}"/>
            </a:ext>
          </a:extLst>
        </xdr:cNvPr>
        <xdr:cNvSpPr txBox="1">
          <a:spLocks noChangeArrowheads="1"/>
        </xdr:cNvSpPr>
      </xdr:nvSpPr>
      <xdr:spPr bwMode="auto">
        <a:xfrm>
          <a:off x="3994150" y="30632400"/>
          <a:ext cx="131445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192</xdr:row>
      <xdr:rowOff>1640</xdr:rowOff>
    </xdr:from>
    <xdr:to>
      <xdr:col>5</xdr:col>
      <xdr:colOff>609600</xdr:colOff>
      <xdr:row>194</xdr:row>
      <xdr:rowOff>84440</xdr:rowOff>
    </xdr:to>
    <xdr:sp macro="" textlink="">
      <xdr:nvSpPr>
        <xdr:cNvPr id="258536" name="Text Box 488" hidden="1">
          <a:extLst>
            <a:ext uri="{FF2B5EF4-FFF2-40B4-BE49-F238E27FC236}">
              <a16:creationId xmlns:a16="http://schemas.microsoft.com/office/drawing/2014/main" id="{0F1E617B-A4AB-4BF9-88F1-96D52D211DF0}"/>
            </a:ext>
          </a:extLst>
        </xdr:cNvPr>
        <xdr:cNvSpPr txBox="1">
          <a:spLocks noChangeArrowheads="1"/>
        </xdr:cNvSpPr>
      </xdr:nvSpPr>
      <xdr:spPr bwMode="auto">
        <a:xfrm>
          <a:off x="3994150" y="30816550"/>
          <a:ext cx="1314450" cy="44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193</xdr:row>
      <xdr:rowOff>1641</xdr:rowOff>
    </xdr:from>
    <xdr:to>
      <xdr:col>5</xdr:col>
      <xdr:colOff>609600</xdr:colOff>
      <xdr:row>197</xdr:row>
      <xdr:rowOff>116547</xdr:rowOff>
    </xdr:to>
    <xdr:sp macro="" textlink="">
      <xdr:nvSpPr>
        <xdr:cNvPr id="258535" name="Text Box 487" hidden="1">
          <a:extLst>
            <a:ext uri="{FF2B5EF4-FFF2-40B4-BE49-F238E27FC236}">
              <a16:creationId xmlns:a16="http://schemas.microsoft.com/office/drawing/2014/main" id="{C59AC5E2-6A66-4BAC-8598-30E20AF8651A}"/>
            </a:ext>
          </a:extLst>
        </xdr:cNvPr>
        <xdr:cNvSpPr txBox="1">
          <a:spLocks noChangeArrowheads="1"/>
        </xdr:cNvSpPr>
      </xdr:nvSpPr>
      <xdr:spPr bwMode="auto">
        <a:xfrm>
          <a:off x="3994150" y="31000700"/>
          <a:ext cx="131445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193</xdr:row>
      <xdr:rowOff>149831</xdr:rowOff>
    </xdr:from>
    <xdr:to>
      <xdr:col>5</xdr:col>
      <xdr:colOff>609600</xdr:colOff>
      <xdr:row>198</xdr:row>
      <xdr:rowOff>116548</xdr:rowOff>
    </xdr:to>
    <xdr:sp macro="" textlink="">
      <xdr:nvSpPr>
        <xdr:cNvPr id="258534" name="Text Box 486" hidden="1">
          <a:extLst>
            <a:ext uri="{FF2B5EF4-FFF2-40B4-BE49-F238E27FC236}">
              <a16:creationId xmlns:a16="http://schemas.microsoft.com/office/drawing/2014/main" id="{BEA9AE7F-BE64-43AB-A56E-72545EB06630}"/>
            </a:ext>
          </a:extLst>
        </xdr:cNvPr>
        <xdr:cNvSpPr txBox="1">
          <a:spLocks noChangeArrowheads="1"/>
        </xdr:cNvSpPr>
      </xdr:nvSpPr>
      <xdr:spPr bwMode="auto">
        <a:xfrm>
          <a:off x="3994150" y="31184850"/>
          <a:ext cx="131445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137</xdr:row>
      <xdr:rowOff>160533</xdr:rowOff>
    </xdr:from>
    <xdr:to>
      <xdr:col>5</xdr:col>
      <xdr:colOff>609600</xdr:colOff>
      <xdr:row>184</xdr:row>
      <xdr:rowOff>338334</xdr:rowOff>
    </xdr:to>
    <xdr:sp macro="" textlink="">
      <xdr:nvSpPr>
        <xdr:cNvPr id="258533" name="Text Box 485" hidden="1">
          <a:extLst>
            <a:ext uri="{FF2B5EF4-FFF2-40B4-BE49-F238E27FC236}">
              <a16:creationId xmlns:a16="http://schemas.microsoft.com/office/drawing/2014/main" id="{18F485B8-B266-4BAD-A016-A76B02296F11}"/>
            </a:ext>
          </a:extLst>
        </xdr:cNvPr>
        <xdr:cNvSpPr txBox="1">
          <a:spLocks noChangeArrowheads="1"/>
        </xdr:cNvSpPr>
      </xdr:nvSpPr>
      <xdr:spPr bwMode="auto">
        <a:xfrm>
          <a:off x="3994150" y="28238450"/>
          <a:ext cx="1314450" cy="1104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139</xdr:row>
      <xdr:rowOff>2818</xdr:rowOff>
    </xdr:from>
    <xdr:to>
      <xdr:col>5</xdr:col>
      <xdr:colOff>609600</xdr:colOff>
      <xdr:row>185</xdr:row>
      <xdr:rowOff>40918</xdr:rowOff>
    </xdr:to>
    <xdr:sp macro="" textlink="">
      <xdr:nvSpPr>
        <xdr:cNvPr id="258532" name="Text Box 484" hidden="1">
          <a:extLst>
            <a:ext uri="{FF2B5EF4-FFF2-40B4-BE49-F238E27FC236}">
              <a16:creationId xmlns:a16="http://schemas.microsoft.com/office/drawing/2014/main" id="{97B3FDEE-34F2-481E-86FC-150DFF254B3A}"/>
            </a:ext>
          </a:extLst>
        </xdr:cNvPr>
        <xdr:cNvSpPr txBox="1">
          <a:spLocks noChangeArrowheads="1"/>
        </xdr:cNvSpPr>
      </xdr:nvSpPr>
      <xdr:spPr bwMode="auto">
        <a:xfrm>
          <a:off x="3994150" y="28460700"/>
          <a:ext cx="1314450" cy="958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140</xdr:row>
      <xdr:rowOff>2818</xdr:rowOff>
    </xdr:from>
    <xdr:to>
      <xdr:col>5</xdr:col>
      <xdr:colOff>609600</xdr:colOff>
      <xdr:row>185</xdr:row>
      <xdr:rowOff>85368</xdr:rowOff>
    </xdr:to>
    <xdr:sp macro="" textlink="">
      <xdr:nvSpPr>
        <xdr:cNvPr id="258531" name="Text Box 483" hidden="1">
          <a:extLst>
            <a:ext uri="{FF2B5EF4-FFF2-40B4-BE49-F238E27FC236}">
              <a16:creationId xmlns:a16="http://schemas.microsoft.com/office/drawing/2014/main" id="{3D96016B-1643-4017-A2F6-AB5E0C91F75C}"/>
            </a:ext>
          </a:extLst>
        </xdr:cNvPr>
        <xdr:cNvSpPr txBox="1">
          <a:spLocks noChangeArrowheads="1"/>
        </xdr:cNvSpPr>
      </xdr:nvSpPr>
      <xdr:spPr bwMode="auto">
        <a:xfrm>
          <a:off x="3994150" y="2864485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141</xdr:row>
      <xdr:rowOff>2818</xdr:rowOff>
    </xdr:from>
    <xdr:to>
      <xdr:col>5</xdr:col>
      <xdr:colOff>609600</xdr:colOff>
      <xdr:row>185</xdr:row>
      <xdr:rowOff>338334</xdr:rowOff>
    </xdr:to>
    <xdr:sp macro="" textlink="">
      <xdr:nvSpPr>
        <xdr:cNvPr id="258530" name="Text Box 482" hidden="1">
          <a:extLst>
            <a:ext uri="{FF2B5EF4-FFF2-40B4-BE49-F238E27FC236}">
              <a16:creationId xmlns:a16="http://schemas.microsoft.com/office/drawing/2014/main" id="{A2867930-67DB-4580-A683-4C21205368D6}"/>
            </a:ext>
          </a:extLst>
        </xdr:cNvPr>
        <xdr:cNvSpPr txBox="1">
          <a:spLocks noChangeArrowheads="1"/>
        </xdr:cNvSpPr>
      </xdr:nvSpPr>
      <xdr:spPr bwMode="auto">
        <a:xfrm>
          <a:off x="3994150" y="28829000"/>
          <a:ext cx="131445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90</xdr:row>
      <xdr:rowOff>100208</xdr:rowOff>
    </xdr:from>
    <xdr:to>
      <xdr:col>6</xdr:col>
      <xdr:colOff>38100</xdr:colOff>
      <xdr:row>98</xdr:row>
      <xdr:rowOff>118795</xdr:rowOff>
    </xdr:to>
    <xdr:sp macro="" textlink="">
      <xdr:nvSpPr>
        <xdr:cNvPr id="258573" name="Text Box 525" hidden="1">
          <a:extLst>
            <a:ext uri="{FF2B5EF4-FFF2-40B4-BE49-F238E27FC236}">
              <a16:creationId xmlns:a16="http://schemas.microsoft.com/office/drawing/2014/main" id="{F23EC605-AD4A-4E4B-975A-D90EF71CA4C2}"/>
            </a:ext>
          </a:extLst>
        </xdr:cNvPr>
        <xdr:cNvSpPr txBox="1">
          <a:spLocks noChangeArrowheads="1"/>
        </xdr:cNvSpPr>
      </xdr:nvSpPr>
      <xdr:spPr bwMode="auto">
        <a:xfrm>
          <a:off x="3924300" y="19440525"/>
          <a:ext cx="1390650" cy="1457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103454</xdr:rowOff>
    </xdr:from>
    <xdr:to>
      <xdr:col>5</xdr:col>
      <xdr:colOff>609600</xdr:colOff>
      <xdr:row>65</xdr:row>
      <xdr:rowOff>52691</xdr:rowOff>
    </xdr:to>
    <xdr:sp macro="" textlink="">
      <xdr:nvSpPr>
        <xdr:cNvPr id="258572" name="Text Box 524" hidden="1">
          <a:extLst>
            <a:ext uri="{FF2B5EF4-FFF2-40B4-BE49-F238E27FC236}">
              <a16:creationId xmlns:a16="http://schemas.microsoft.com/office/drawing/2014/main" id="{7FBFE392-3485-4F7E-81FF-56BB4D648EFE}"/>
            </a:ext>
          </a:extLst>
        </xdr:cNvPr>
        <xdr:cNvSpPr txBox="1">
          <a:spLocks noChangeArrowheads="1"/>
        </xdr:cNvSpPr>
      </xdr:nvSpPr>
      <xdr:spPr bwMode="auto">
        <a:xfrm>
          <a:off x="3886200" y="10220325"/>
          <a:ext cx="1238250" cy="325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103454</xdr:rowOff>
    </xdr:from>
    <xdr:to>
      <xdr:col>5</xdr:col>
      <xdr:colOff>609600</xdr:colOff>
      <xdr:row>65</xdr:row>
      <xdr:rowOff>52691</xdr:rowOff>
    </xdr:to>
    <xdr:sp macro="" textlink="">
      <xdr:nvSpPr>
        <xdr:cNvPr id="258571" name="Text Box 523" hidden="1">
          <a:extLst>
            <a:ext uri="{FF2B5EF4-FFF2-40B4-BE49-F238E27FC236}">
              <a16:creationId xmlns:a16="http://schemas.microsoft.com/office/drawing/2014/main" id="{DB82EB6D-C7C2-4A32-AD26-DBB39B8DEBD0}"/>
            </a:ext>
          </a:extLst>
        </xdr:cNvPr>
        <xdr:cNvSpPr txBox="1">
          <a:spLocks noChangeArrowheads="1"/>
        </xdr:cNvSpPr>
      </xdr:nvSpPr>
      <xdr:spPr bwMode="auto">
        <a:xfrm>
          <a:off x="3886200" y="10220325"/>
          <a:ext cx="1238250" cy="325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107735</xdr:rowOff>
    </xdr:from>
    <xdr:to>
      <xdr:col>5</xdr:col>
      <xdr:colOff>609600</xdr:colOff>
      <xdr:row>55</xdr:row>
      <xdr:rowOff>128156</xdr:rowOff>
    </xdr:to>
    <xdr:sp macro="" textlink="">
      <xdr:nvSpPr>
        <xdr:cNvPr id="258570" name="Text Box 522" hidden="1">
          <a:extLst>
            <a:ext uri="{FF2B5EF4-FFF2-40B4-BE49-F238E27FC236}">
              <a16:creationId xmlns:a16="http://schemas.microsoft.com/office/drawing/2014/main" id="{4D81ABA4-81F8-4603-B14E-FC6155890034}"/>
            </a:ext>
          </a:extLst>
        </xdr:cNvPr>
        <xdr:cNvSpPr txBox="1">
          <a:spLocks noChangeArrowheads="1"/>
        </xdr:cNvSpPr>
      </xdr:nvSpPr>
      <xdr:spPr bwMode="auto">
        <a:xfrm>
          <a:off x="3886200" y="10420350"/>
          <a:ext cx="1238250" cy="123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50</xdr:row>
      <xdr:rowOff>61430</xdr:rowOff>
    </xdr:from>
    <xdr:to>
      <xdr:col>5</xdr:col>
      <xdr:colOff>609600</xdr:colOff>
      <xdr:row>55</xdr:row>
      <xdr:rowOff>1212</xdr:rowOff>
    </xdr:to>
    <xdr:sp macro="" textlink="">
      <xdr:nvSpPr>
        <xdr:cNvPr id="258569" name="Text Box 521" hidden="1">
          <a:extLst>
            <a:ext uri="{FF2B5EF4-FFF2-40B4-BE49-F238E27FC236}">
              <a16:creationId xmlns:a16="http://schemas.microsoft.com/office/drawing/2014/main" id="{19A57FAD-1860-4A7E-A041-BFA0E8006205}"/>
            </a:ext>
          </a:extLst>
        </xdr:cNvPr>
        <xdr:cNvSpPr txBox="1">
          <a:spLocks noChangeArrowheads="1"/>
        </xdr:cNvSpPr>
      </xdr:nvSpPr>
      <xdr:spPr bwMode="auto">
        <a:xfrm>
          <a:off x="3886200" y="10553700"/>
          <a:ext cx="12382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128156</xdr:rowOff>
    </xdr:from>
    <xdr:to>
      <xdr:col>5</xdr:col>
      <xdr:colOff>609600</xdr:colOff>
      <xdr:row>59</xdr:row>
      <xdr:rowOff>31999</xdr:rowOff>
    </xdr:to>
    <xdr:sp macro="" textlink="">
      <xdr:nvSpPr>
        <xdr:cNvPr id="258568" name="Text Box 520" hidden="1">
          <a:extLst>
            <a:ext uri="{FF2B5EF4-FFF2-40B4-BE49-F238E27FC236}">
              <a16:creationId xmlns:a16="http://schemas.microsoft.com/office/drawing/2014/main" id="{595A592B-7BB6-4629-B9E1-46E530124FB8}"/>
            </a:ext>
          </a:extLst>
        </xdr:cNvPr>
        <xdr:cNvSpPr txBox="1">
          <a:spLocks noChangeArrowheads="1"/>
        </xdr:cNvSpPr>
      </xdr:nvSpPr>
      <xdr:spPr bwMode="auto">
        <a:xfrm>
          <a:off x="3886200" y="11658600"/>
          <a:ext cx="1238250"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94430</xdr:rowOff>
    </xdr:from>
    <xdr:to>
      <xdr:col>5</xdr:col>
      <xdr:colOff>609600</xdr:colOff>
      <xdr:row>74</xdr:row>
      <xdr:rowOff>70669</xdr:rowOff>
    </xdr:to>
    <xdr:sp macro="" textlink="">
      <xdr:nvSpPr>
        <xdr:cNvPr id="258567" name="Text Box 519" hidden="1">
          <a:extLst>
            <a:ext uri="{FF2B5EF4-FFF2-40B4-BE49-F238E27FC236}">
              <a16:creationId xmlns:a16="http://schemas.microsoft.com/office/drawing/2014/main" id="{425AC54E-E4A9-498A-B4F0-67E746DB302F}"/>
            </a:ext>
          </a:extLst>
        </xdr:cNvPr>
        <xdr:cNvSpPr txBox="1">
          <a:spLocks noChangeArrowheads="1"/>
        </xdr:cNvSpPr>
      </xdr:nvSpPr>
      <xdr:spPr bwMode="auto">
        <a:xfrm>
          <a:off x="3886200" y="14277975"/>
          <a:ext cx="1238250"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70</xdr:row>
      <xdr:rowOff>102921</xdr:rowOff>
    </xdr:from>
    <xdr:to>
      <xdr:col>5</xdr:col>
      <xdr:colOff>609600</xdr:colOff>
      <xdr:row>75</xdr:row>
      <xdr:rowOff>261172</xdr:rowOff>
    </xdr:to>
    <xdr:sp macro="" textlink="">
      <xdr:nvSpPr>
        <xdr:cNvPr id="258566" name="Text Box 518" hidden="1">
          <a:extLst>
            <a:ext uri="{FF2B5EF4-FFF2-40B4-BE49-F238E27FC236}">
              <a16:creationId xmlns:a16="http://schemas.microsoft.com/office/drawing/2014/main" id="{4732041D-2763-461F-8838-7D8DDF8E0BB6}"/>
            </a:ext>
          </a:extLst>
        </xdr:cNvPr>
        <xdr:cNvSpPr txBox="1">
          <a:spLocks noChangeArrowheads="1"/>
        </xdr:cNvSpPr>
      </xdr:nvSpPr>
      <xdr:spPr bwMode="auto">
        <a:xfrm>
          <a:off x="3886200" y="14468475"/>
          <a:ext cx="1238250"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71</xdr:row>
      <xdr:rowOff>116656</xdr:rowOff>
    </xdr:from>
    <xdr:to>
      <xdr:col>5</xdr:col>
      <xdr:colOff>609600</xdr:colOff>
      <xdr:row>76</xdr:row>
      <xdr:rowOff>80195</xdr:rowOff>
    </xdr:to>
    <xdr:sp macro="" textlink="">
      <xdr:nvSpPr>
        <xdr:cNvPr id="258565" name="Text Box 517" hidden="1">
          <a:extLst>
            <a:ext uri="{FF2B5EF4-FFF2-40B4-BE49-F238E27FC236}">
              <a16:creationId xmlns:a16="http://schemas.microsoft.com/office/drawing/2014/main" id="{3524253E-1E00-4151-B417-7B4490770C2A}"/>
            </a:ext>
          </a:extLst>
        </xdr:cNvPr>
        <xdr:cNvSpPr txBox="1">
          <a:spLocks noChangeArrowheads="1"/>
        </xdr:cNvSpPr>
      </xdr:nvSpPr>
      <xdr:spPr bwMode="auto">
        <a:xfrm>
          <a:off x="3886200" y="14658975"/>
          <a:ext cx="1238250" cy="1790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72</xdr:row>
      <xdr:rowOff>116653</xdr:rowOff>
    </xdr:from>
    <xdr:to>
      <xdr:col>5</xdr:col>
      <xdr:colOff>609600</xdr:colOff>
      <xdr:row>76</xdr:row>
      <xdr:rowOff>80195</xdr:rowOff>
    </xdr:to>
    <xdr:sp macro="" textlink="">
      <xdr:nvSpPr>
        <xdr:cNvPr id="258564" name="Text Box 516" hidden="1">
          <a:extLst>
            <a:ext uri="{FF2B5EF4-FFF2-40B4-BE49-F238E27FC236}">
              <a16:creationId xmlns:a16="http://schemas.microsoft.com/office/drawing/2014/main" id="{75B019BF-B3C0-44A4-BA8A-13B785BACE19}"/>
            </a:ext>
          </a:extLst>
        </xdr:cNvPr>
        <xdr:cNvSpPr txBox="1">
          <a:spLocks noChangeArrowheads="1"/>
        </xdr:cNvSpPr>
      </xdr:nvSpPr>
      <xdr:spPr bwMode="auto">
        <a:xfrm>
          <a:off x="3886200" y="14849475"/>
          <a:ext cx="1238250" cy="1600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114657</xdr:rowOff>
    </xdr:from>
    <xdr:to>
      <xdr:col>5</xdr:col>
      <xdr:colOff>609600</xdr:colOff>
      <xdr:row>94</xdr:row>
      <xdr:rowOff>133707</xdr:rowOff>
    </xdr:to>
    <xdr:sp macro="" textlink="">
      <xdr:nvSpPr>
        <xdr:cNvPr id="258563" name="Text Box 515" hidden="1">
          <a:extLst>
            <a:ext uri="{FF2B5EF4-FFF2-40B4-BE49-F238E27FC236}">
              <a16:creationId xmlns:a16="http://schemas.microsoft.com/office/drawing/2014/main" id="{E35326B6-7C6F-4502-9830-19476DA7EECC}"/>
            </a:ext>
          </a:extLst>
        </xdr:cNvPr>
        <xdr:cNvSpPr txBox="1">
          <a:spLocks noChangeArrowheads="1"/>
        </xdr:cNvSpPr>
      </xdr:nvSpPr>
      <xdr:spPr bwMode="auto">
        <a:xfrm>
          <a:off x="3886200" y="20164425"/>
          <a:ext cx="12382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96</xdr:row>
      <xdr:rowOff>91468</xdr:rowOff>
    </xdr:from>
    <xdr:to>
      <xdr:col>5</xdr:col>
      <xdr:colOff>609600</xdr:colOff>
      <xdr:row>120</xdr:row>
      <xdr:rowOff>168702</xdr:rowOff>
    </xdr:to>
    <xdr:sp macro="" textlink="">
      <xdr:nvSpPr>
        <xdr:cNvPr id="258562" name="Text Box 514" hidden="1">
          <a:extLst>
            <a:ext uri="{FF2B5EF4-FFF2-40B4-BE49-F238E27FC236}">
              <a16:creationId xmlns:a16="http://schemas.microsoft.com/office/drawing/2014/main" id="{82A0BD41-B9AE-47DE-8573-05A7D63E2D8C}"/>
            </a:ext>
          </a:extLst>
        </xdr:cNvPr>
        <xdr:cNvSpPr txBox="1">
          <a:spLocks noChangeArrowheads="1"/>
        </xdr:cNvSpPr>
      </xdr:nvSpPr>
      <xdr:spPr bwMode="auto">
        <a:xfrm>
          <a:off x="3886200" y="20507325"/>
          <a:ext cx="1238250" cy="499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96</xdr:row>
      <xdr:rowOff>91468</xdr:rowOff>
    </xdr:from>
    <xdr:to>
      <xdr:col>5</xdr:col>
      <xdr:colOff>609600</xdr:colOff>
      <xdr:row>120</xdr:row>
      <xdr:rowOff>168702</xdr:rowOff>
    </xdr:to>
    <xdr:sp macro="" textlink="">
      <xdr:nvSpPr>
        <xdr:cNvPr id="258561" name="Text Box 513" hidden="1">
          <a:extLst>
            <a:ext uri="{FF2B5EF4-FFF2-40B4-BE49-F238E27FC236}">
              <a16:creationId xmlns:a16="http://schemas.microsoft.com/office/drawing/2014/main" id="{77AC0FAD-68E0-4AC6-9138-0981A45E0D38}"/>
            </a:ext>
          </a:extLst>
        </xdr:cNvPr>
        <xdr:cNvSpPr txBox="1">
          <a:spLocks noChangeArrowheads="1"/>
        </xdr:cNvSpPr>
      </xdr:nvSpPr>
      <xdr:spPr bwMode="auto">
        <a:xfrm>
          <a:off x="3886200" y="20507325"/>
          <a:ext cx="1238250" cy="499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560" name="Text Box 512" hidden="1">
          <a:extLst>
            <a:ext uri="{FF2B5EF4-FFF2-40B4-BE49-F238E27FC236}">
              <a16:creationId xmlns:a16="http://schemas.microsoft.com/office/drawing/2014/main" id="{0EF80BFF-1E0A-466B-B174-4B13D5C501EA}"/>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191</xdr:row>
      <xdr:rowOff>1641</xdr:rowOff>
    </xdr:from>
    <xdr:to>
      <xdr:col>5</xdr:col>
      <xdr:colOff>609600</xdr:colOff>
      <xdr:row>194</xdr:row>
      <xdr:rowOff>125252</xdr:rowOff>
    </xdr:to>
    <xdr:sp macro="" textlink="">
      <xdr:nvSpPr>
        <xdr:cNvPr id="258559" name="Text Box 511" hidden="1">
          <a:extLst>
            <a:ext uri="{FF2B5EF4-FFF2-40B4-BE49-F238E27FC236}">
              <a16:creationId xmlns:a16="http://schemas.microsoft.com/office/drawing/2014/main" id="{6AEC1617-A76F-4CEB-B369-5DC238FAD522}"/>
            </a:ext>
          </a:extLst>
        </xdr:cNvPr>
        <xdr:cNvSpPr txBox="1">
          <a:spLocks noChangeArrowheads="1"/>
        </xdr:cNvSpPr>
      </xdr:nvSpPr>
      <xdr:spPr bwMode="auto">
        <a:xfrm>
          <a:off x="3848100" y="31203900"/>
          <a:ext cx="12763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192</xdr:row>
      <xdr:rowOff>1640</xdr:rowOff>
    </xdr:from>
    <xdr:to>
      <xdr:col>5</xdr:col>
      <xdr:colOff>609600</xdr:colOff>
      <xdr:row>194</xdr:row>
      <xdr:rowOff>84440</xdr:rowOff>
    </xdr:to>
    <xdr:sp macro="" textlink="">
      <xdr:nvSpPr>
        <xdr:cNvPr id="258558" name="Text Box 510" hidden="1">
          <a:extLst>
            <a:ext uri="{FF2B5EF4-FFF2-40B4-BE49-F238E27FC236}">
              <a16:creationId xmlns:a16="http://schemas.microsoft.com/office/drawing/2014/main" id="{221B8B82-7032-4B28-892E-AE5C93304C18}"/>
            </a:ext>
          </a:extLst>
        </xdr:cNvPr>
        <xdr:cNvSpPr txBox="1">
          <a:spLocks noChangeArrowheads="1"/>
        </xdr:cNvSpPr>
      </xdr:nvSpPr>
      <xdr:spPr bwMode="auto">
        <a:xfrm>
          <a:off x="3848100" y="31394400"/>
          <a:ext cx="127635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193</xdr:row>
      <xdr:rowOff>1641</xdr:rowOff>
    </xdr:from>
    <xdr:to>
      <xdr:col>5</xdr:col>
      <xdr:colOff>609600</xdr:colOff>
      <xdr:row>197</xdr:row>
      <xdr:rowOff>116547</xdr:rowOff>
    </xdr:to>
    <xdr:sp macro="" textlink="">
      <xdr:nvSpPr>
        <xdr:cNvPr id="258557" name="Text Box 509" hidden="1">
          <a:extLst>
            <a:ext uri="{FF2B5EF4-FFF2-40B4-BE49-F238E27FC236}">
              <a16:creationId xmlns:a16="http://schemas.microsoft.com/office/drawing/2014/main" id="{BE982765-56BA-4807-8314-BC360C47DD2C}"/>
            </a:ext>
          </a:extLst>
        </xdr:cNvPr>
        <xdr:cNvSpPr txBox="1">
          <a:spLocks noChangeArrowheads="1"/>
        </xdr:cNvSpPr>
      </xdr:nvSpPr>
      <xdr:spPr bwMode="auto">
        <a:xfrm>
          <a:off x="3848100" y="31584900"/>
          <a:ext cx="1276350" cy="885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193</xdr:row>
      <xdr:rowOff>149831</xdr:rowOff>
    </xdr:from>
    <xdr:to>
      <xdr:col>5</xdr:col>
      <xdr:colOff>609600</xdr:colOff>
      <xdr:row>198</xdr:row>
      <xdr:rowOff>116548</xdr:rowOff>
    </xdr:to>
    <xdr:sp macro="" textlink="">
      <xdr:nvSpPr>
        <xdr:cNvPr id="258556" name="Text Box 508" hidden="1">
          <a:extLst>
            <a:ext uri="{FF2B5EF4-FFF2-40B4-BE49-F238E27FC236}">
              <a16:creationId xmlns:a16="http://schemas.microsoft.com/office/drawing/2014/main" id="{E52FB612-71C0-430B-9FF6-BD9EBA77CC9B}"/>
            </a:ext>
          </a:extLst>
        </xdr:cNvPr>
        <xdr:cNvSpPr txBox="1">
          <a:spLocks noChangeArrowheads="1"/>
        </xdr:cNvSpPr>
      </xdr:nvSpPr>
      <xdr:spPr bwMode="auto">
        <a:xfrm>
          <a:off x="3848100" y="31775400"/>
          <a:ext cx="1276350" cy="885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137</xdr:row>
      <xdr:rowOff>160533</xdr:rowOff>
    </xdr:from>
    <xdr:to>
      <xdr:col>5</xdr:col>
      <xdr:colOff>609600</xdr:colOff>
      <xdr:row>184</xdr:row>
      <xdr:rowOff>338334</xdr:rowOff>
    </xdr:to>
    <xdr:sp macro="" textlink="">
      <xdr:nvSpPr>
        <xdr:cNvPr id="258555" name="Text Box 507" hidden="1">
          <a:extLst>
            <a:ext uri="{FF2B5EF4-FFF2-40B4-BE49-F238E27FC236}">
              <a16:creationId xmlns:a16="http://schemas.microsoft.com/office/drawing/2014/main" id="{D2129FCB-EE19-4A6C-B368-2297577F8E70}"/>
            </a:ext>
          </a:extLst>
        </xdr:cNvPr>
        <xdr:cNvSpPr txBox="1">
          <a:spLocks noChangeArrowheads="1"/>
        </xdr:cNvSpPr>
      </xdr:nvSpPr>
      <xdr:spPr bwMode="auto">
        <a:xfrm>
          <a:off x="3848100" y="28775025"/>
          <a:ext cx="12763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139</xdr:row>
      <xdr:rowOff>2818</xdr:rowOff>
    </xdr:from>
    <xdr:to>
      <xdr:col>5</xdr:col>
      <xdr:colOff>609600</xdr:colOff>
      <xdr:row>185</xdr:row>
      <xdr:rowOff>40918</xdr:rowOff>
    </xdr:to>
    <xdr:sp macro="" textlink="">
      <xdr:nvSpPr>
        <xdr:cNvPr id="258554" name="Text Box 506" hidden="1">
          <a:extLst>
            <a:ext uri="{FF2B5EF4-FFF2-40B4-BE49-F238E27FC236}">
              <a16:creationId xmlns:a16="http://schemas.microsoft.com/office/drawing/2014/main" id="{4C55EAFC-B152-4A8C-A2D9-8197974E3C7B}"/>
            </a:ext>
          </a:extLst>
        </xdr:cNvPr>
        <xdr:cNvSpPr txBox="1">
          <a:spLocks noChangeArrowheads="1"/>
        </xdr:cNvSpPr>
      </xdr:nvSpPr>
      <xdr:spPr bwMode="auto">
        <a:xfrm>
          <a:off x="3848100" y="29003625"/>
          <a:ext cx="127635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140</xdr:row>
      <xdr:rowOff>2818</xdr:rowOff>
    </xdr:from>
    <xdr:to>
      <xdr:col>5</xdr:col>
      <xdr:colOff>609600</xdr:colOff>
      <xdr:row>185</xdr:row>
      <xdr:rowOff>85368</xdr:rowOff>
    </xdr:to>
    <xdr:sp macro="" textlink="">
      <xdr:nvSpPr>
        <xdr:cNvPr id="258553" name="Text Box 505" hidden="1">
          <a:extLst>
            <a:ext uri="{FF2B5EF4-FFF2-40B4-BE49-F238E27FC236}">
              <a16:creationId xmlns:a16="http://schemas.microsoft.com/office/drawing/2014/main" id="{A8C978D4-FD02-4287-8B33-6C58D9C87922}"/>
            </a:ext>
          </a:extLst>
        </xdr:cNvPr>
        <xdr:cNvSpPr txBox="1">
          <a:spLocks noChangeArrowheads="1"/>
        </xdr:cNvSpPr>
      </xdr:nvSpPr>
      <xdr:spPr bwMode="auto">
        <a:xfrm>
          <a:off x="3848100" y="29194125"/>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141</xdr:row>
      <xdr:rowOff>2818</xdr:rowOff>
    </xdr:from>
    <xdr:to>
      <xdr:col>5</xdr:col>
      <xdr:colOff>609600</xdr:colOff>
      <xdr:row>185</xdr:row>
      <xdr:rowOff>338334</xdr:rowOff>
    </xdr:to>
    <xdr:sp macro="" textlink="">
      <xdr:nvSpPr>
        <xdr:cNvPr id="258552" name="Text Box 504" hidden="1">
          <a:extLst>
            <a:ext uri="{FF2B5EF4-FFF2-40B4-BE49-F238E27FC236}">
              <a16:creationId xmlns:a16="http://schemas.microsoft.com/office/drawing/2014/main" id="{9A9579CD-1B1D-4A24-A6DB-DC00BF760433}"/>
            </a:ext>
          </a:extLst>
        </xdr:cNvPr>
        <xdr:cNvSpPr txBox="1">
          <a:spLocks noChangeArrowheads="1"/>
        </xdr:cNvSpPr>
      </xdr:nvSpPr>
      <xdr:spPr bwMode="auto">
        <a:xfrm>
          <a:off x="3848100" y="29384625"/>
          <a:ext cx="1276350" cy="9048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582" name="Text Box 534" hidden="1">
          <a:extLst>
            <a:ext uri="{FF2B5EF4-FFF2-40B4-BE49-F238E27FC236}">
              <a16:creationId xmlns:a16="http://schemas.microsoft.com/office/drawing/2014/main" id="{E774108E-7E6F-4CA8-817D-CF787CBC77C1}"/>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213</xdr:row>
      <xdr:rowOff>49266</xdr:rowOff>
    </xdr:from>
    <xdr:to>
      <xdr:col>5</xdr:col>
      <xdr:colOff>609600</xdr:colOff>
      <xdr:row>236</xdr:row>
      <xdr:rowOff>68316</xdr:rowOff>
    </xdr:to>
    <xdr:sp macro="" textlink="">
      <xdr:nvSpPr>
        <xdr:cNvPr id="258581" name="Text Box 533" hidden="1">
          <a:extLst>
            <a:ext uri="{FF2B5EF4-FFF2-40B4-BE49-F238E27FC236}">
              <a16:creationId xmlns:a16="http://schemas.microsoft.com/office/drawing/2014/main" id="{7783A726-C0A2-40AA-BEFC-A2B3D0E146BE}"/>
            </a:ext>
          </a:extLst>
        </xdr:cNvPr>
        <xdr:cNvSpPr txBox="1">
          <a:spLocks noChangeArrowheads="1"/>
        </xdr:cNvSpPr>
      </xdr:nvSpPr>
      <xdr:spPr bwMode="auto">
        <a:xfrm>
          <a:off x="3848100" y="43434000"/>
          <a:ext cx="1276350" cy="440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215</xdr:row>
      <xdr:rowOff>30216</xdr:rowOff>
    </xdr:from>
    <xdr:to>
      <xdr:col>5</xdr:col>
      <xdr:colOff>609600</xdr:colOff>
      <xdr:row>235</xdr:row>
      <xdr:rowOff>168881</xdr:rowOff>
    </xdr:to>
    <xdr:sp macro="" textlink="">
      <xdr:nvSpPr>
        <xdr:cNvPr id="258580" name="Text Box 532" hidden="1">
          <a:extLst>
            <a:ext uri="{FF2B5EF4-FFF2-40B4-BE49-F238E27FC236}">
              <a16:creationId xmlns:a16="http://schemas.microsoft.com/office/drawing/2014/main" id="{1749FA92-9CCB-4532-AFB8-7496CD671872}"/>
            </a:ext>
          </a:extLst>
        </xdr:cNvPr>
        <xdr:cNvSpPr txBox="1">
          <a:spLocks noChangeArrowheads="1"/>
        </xdr:cNvSpPr>
      </xdr:nvSpPr>
      <xdr:spPr bwMode="auto">
        <a:xfrm>
          <a:off x="3848100" y="43795950"/>
          <a:ext cx="1276350" cy="394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218</xdr:row>
      <xdr:rowOff>606</xdr:rowOff>
    </xdr:from>
    <xdr:to>
      <xdr:col>5</xdr:col>
      <xdr:colOff>609600</xdr:colOff>
      <xdr:row>237</xdr:row>
      <xdr:rowOff>68316</xdr:rowOff>
    </xdr:to>
    <xdr:sp macro="" textlink="">
      <xdr:nvSpPr>
        <xdr:cNvPr id="258579" name="Text Box 531" hidden="1">
          <a:extLst>
            <a:ext uri="{FF2B5EF4-FFF2-40B4-BE49-F238E27FC236}">
              <a16:creationId xmlns:a16="http://schemas.microsoft.com/office/drawing/2014/main" id="{A98F79D8-6839-4D60-B896-5F0B8074706F}"/>
            </a:ext>
          </a:extLst>
        </xdr:cNvPr>
        <xdr:cNvSpPr txBox="1">
          <a:spLocks noChangeArrowheads="1"/>
        </xdr:cNvSpPr>
      </xdr:nvSpPr>
      <xdr:spPr bwMode="auto">
        <a:xfrm>
          <a:off x="3848100" y="44329350"/>
          <a:ext cx="1276350" cy="3695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219</xdr:row>
      <xdr:rowOff>606</xdr:rowOff>
    </xdr:from>
    <xdr:to>
      <xdr:col>5</xdr:col>
      <xdr:colOff>609600</xdr:colOff>
      <xdr:row>225</xdr:row>
      <xdr:rowOff>606</xdr:rowOff>
    </xdr:to>
    <xdr:sp macro="" textlink="">
      <xdr:nvSpPr>
        <xdr:cNvPr id="258578" name="Text Box 530" hidden="1">
          <a:extLst>
            <a:ext uri="{FF2B5EF4-FFF2-40B4-BE49-F238E27FC236}">
              <a16:creationId xmlns:a16="http://schemas.microsoft.com/office/drawing/2014/main" id="{D78E8821-2DF5-43BB-893F-4CC268AC2471}"/>
            </a:ext>
          </a:extLst>
        </xdr:cNvPr>
        <xdr:cNvSpPr txBox="1">
          <a:spLocks noChangeArrowheads="1"/>
        </xdr:cNvSpPr>
      </xdr:nvSpPr>
      <xdr:spPr bwMode="auto">
        <a:xfrm>
          <a:off x="3848100" y="44519850"/>
          <a:ext cx="12763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195</xdr:row>
      <xdr:rowOff>149831</xdr:rowOff>
    </xdr:from>
    <xdr:to>
      <xdr:col>5</xdr:col>
      <xdr:colOff>609600</xdr:colOff>
      <xdr:row>201</xdr:row>
      <xdr:rowOff>168882</xdr:rowOff>
    </xdr:to>
    <xdr:sp macro="" textlink="">
      <xdr:nvSpPr>
        <xdr:cNvPr id="258577" name="Text Box 529" hidden="1">
          <a:extLst>
            <a:ext uri="{FF2B5EF4-FFF2-40B4-BE49-F238E27FC236}">
              <a16:creationId xmlns:a16="http://schemas.microsoft.com/office/drawing/2014/main" id="{A459C258-CB99-4D59-A23E-AE91F4BB9055}"/>
            </a:ext>
          </a:extLst>
        </xdr:cNvPr>
        <xdr:cNvSpPr txBox="1">
          <a:spLocks noChangeArrowheads="1"/>
        </xdr:cNvSpPr>
      </xdr:nvSpPr>
      <xdr:spPr bwMode="auto">
        <a:xfrm>
          <a:off x="3848100" y="40100250"/>
          <a:ext cx="1276350" cy="1162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198</xdr:row>
      <xdr:rowOff>606</xdr:rowOff>
    </xdr:from>
    <xdr:to>
      <xdr:col>5</xdr:col>
      <xdr:colOff>609600</xdr:colOff>
      <xdr:row>203</xdr:row>
      <xdr:rowOff>11166</xdr:rowOff>
    </xdr:to>
    <xdr:sp macro="" textlink="">
      <xdr:nvSpPr>
        <xdr:cNvPr id="258576" name="Text Box 528" hidden="1">
          <a:extLst>
            <a:ext uri="{FF2B5EF4-FFF2-40B4-BE49-F238E27FC236}">
              <a16:creationId xmlns:a16="http://schemas.microsoft.com/office/drawing/2014/main" id="{B8FB58CE-1526-4013-9364-16E19AC75FB5}"/>
            </a:ext>
          </a:extLst>
        </xdr:cNvPr>
        <xdr:cNvSpPr txBox="1">
          <a:spLocks noChangeArrowheads="1"/>
        </xdr:cNvSpPr>
      </xdr:nvSpPr>
      <xdr:spPr bwMode="auto">
        <a:xfrm>
          <a:off x="3848100" y="40519350"/>
          <a:ext cx="1276350"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607</xdr:rowOff>
    </xdr:from>
    <xdr:to>
      <xdr:col>5</xdr:col>
      <xdr:colOff>609600</xdr:colOff>
      <xdr:row>204</xdr:row>
      <xdr:rowOff>68316</xdr:rowOff>
    </xdr:to>
    <xdr:sp macro="" textlink="">
      <xdr:nvSpPr>
        <xdr:cNvPr id="258575" name="Text Box 527" hidden="1">
          <a:extLst>
            <a:ext uri="{FF2B5EF4-FFF2-40B4-BE49-F238E27FC236}">
              <a16:creationId xmlns:a16="http://schemas.microsoft.com/office/drawing/2014/main" id="{A37AA181-660D-41C8-BF76-CDD714C4DA48}"/>
            </a:ext>
          </a:extLst>
        </xdr:cNvPr>
        <xdr:cNvSpPr txBox="1">
          <a:spLocks noChangeArrowheads="1"/>
        </xdr:cNvSpPr>
      </xdr:nvSpPr>
      <xdr:spPr bwMode="auto">
        <a:xfrm>
          <a:off x="3848100" y="40900350"/>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202</xdr:row>
      <xdr:rowOff>607</xdr:rowOff>
    </xdr:from>
    <xdr:to>
      <xdr:col>5</xdr:col>
      <xdr:colOff>609600</xdr:colOff>
      <xdr:row>211</xdr:row>
      <xdr:rowOff>30216</xdr:rowOff>
    </xdr:to>
    <xdr:sp macro="" textlink="">
      <xdr:nvSpPr>
        <xdr:cNvPr id="258574" name="Text Box 526" hidden="1">
          <a:extLst>
            <a:ext uri="{FF2B5EF4-FFF2-40B4-BE49-F238E27FC236}">
              <a16:creationId xmlns:a16="http://schemas.microsoft.com/office/drawing/2014/main" id="{ED46AEC1-4E98-4F14-86F1-FA0E1B4CB713}"/>
            </a:ext>
          </a:extLst>
        </xdr:cNvPr>
        <xdr:cNvSpPr txBox="1">
          <a:spLocks noChangeArrowheads="1"/>
        </xdr:cNvSpPr>
      </xdr:nvSpPr>
      <xdr:spPr bwMode="auto">
        <a:xfrm>
          <a:off x="3848100" y="41281350"/>
          <a:ext cx="1276350"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152400</xdr:rowOff>
    </xdr:to>
    <xdr:sp macro="" textlink="">
      <xdr:nvSpPr>
        <xdr:cNvPr id="258601" name="Text Box 553" hidden="1">
          <a:extLst>
            <a:ext uri="{FF2B5EF4-FFF2-40B4-BE49-F238E27FC236}">
              <a16:creationId xmlns:a16="http://schemas.microsoft.com/office/drawing/2014/main" id="{836C438F-9000-458C-B1DE-1E88B4C618B8}"/>
            </a:ext>
          </a:extLst>
        </xdr:cNvPr>
        <xdr:cNvSpPr txBox="1">
          <a:spLocks noChangeArrowheads="1"/>
        </xdr:cNvSpPr>
      </xdr:nvSpPr>
      <xdr:spPr bwMode="auto">
        <a:xfrm>
          <a:off x="3848100" y="2695575"/>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53</xdr:row>
      <xdr:rowOff>151579</xdr:rowOff>
    </xdr:from>
    <xdr:to>
      <xdr:col>5</xdr:col>
      <xdr:colOff>628650</xdr:colOff>
      <xdr:row>58</xdr:row>
      <xdr:rowOff>33284</xdr:rowOff>
    </xdr:to>
    <xdr:sp macro="" textlink="">
      <xdr:nvSpPr>
        <xdr:cNvPr id="258618" name="Text Box 570" hidden="1">
          <a:extLst>
            <a:ext uri="{FF2B5EF4-FFF2-40B4-BE49-F238E27FC236}">
              <a16:creationId xmlns:a16="http://schemas.microsoft.com/office/drawing/2014/main" id="{A333C83F-FAAA-45F7-9A9A-27D5A0B331D9}"/>
            </a:ext>
          </a:extLst>
        </xdr:cNvPr>
        <xdr:cNvSpPr txBox="1">
          <a:spLocks noChangeArrowheads="1"/>
        </xdr:cNvSpPr>
      </xdr:nvSpPr>
      <xdr:spPr bwMode="auto">
        <a:xfrm>
          <a:off x="3867150" y="11153775"/>
          <a:ext cx="127635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51</xdr:row>
      <xdr:rowOff>131209</xdr:rowOff>
    </xdr:from>
    <xdr:to>
      <xdr:col>5</xdr:col>
      <xdr:colOff>628650</xdr:colOff>
      <xdr:row>56</xdr:row>
      <xdr:rowOff>21405</xdr:rowOff>
    </xdr:to>
    <xdr:sp macro="" textlink="">
      <xdr:nvSpPr>
        <xdr:cNvPr id="258619" name="Text Box 571" hidden="1">
          <a:extLst>
            <a:ext uri="{FF2B5EF4-FFF2-40B4-BE49-F238E27FC236}">
              <a16:creationId xmlns:a16="http://schemas.microsoft.com/office/drawing/2014/main" id="{C494A90F-1E18-49E8-B89C-56338EA229A7}"/>
            </a:ext>
          </a:extLst>
        </xdr:cNvPr>
        <xdr:cNvSpPr txBox="1">
          <a:spLocks noChangeArrowheads="1"/>
        </xdr:cNvSpPr>
      </xdr:nvSpPr>
      <xdr:spPr bwMode="auto">
        <a:xfrm>
          <a:off x="3867150" y="1078230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56</xdr:row>
      <xdr:rowOff>59505</xdr:rowOff>
    </xdr:from>
    <xdr:to>
      <xdr:col>5</xdr:col>
      <xdr:colOff>628650</xdr:colOff>
      <xdr:row>60</xdr:row>
      <xdr:rowOff>80909</xdr:rowOff>
    </xdr:to>
    <xdr:sp macro="" textlink="">
      <xdr:nvSpPr>
        <xdr:cNvPr id="258621" name="Text Box 573" hidden="1">
          <a:extLst>
            <a:ext uri="{FF2B5EF4-FFF2-40B4-BE49-F238E27FC236}">
              <a16:creationId xmlns:a16="http://schemas.microsoft.com/office/drawing/2014/main" id="{C3D79A10-B231-4931-8FAE-8FC882474D60}"/>
            </a:ext>
          </a:extLst>
        </xdr:cNvPr>
        <xdr:cNvSpPr txBox="1">
          <a:spLocks noChangeArrowheads="1"/>
        </xdr:cNvSpPr>
      </xdr:nvSpPr>
      <xdr:spPr bwMode="auto">
        <a:xfrm>
          <a:off x="3867150" y="1160145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55</xdr:row>
      <xdr:rowOff>15054</xdr:rowOff>
    </xdr:from>
    <xdr:to>
      <xdr:col>5</xdr:col>
      <xdr:colOff>628650</xdr:colOff>
      <xdr:row>59</xdr:row>
      <xdr:rowOff>55509</xdr:rowOff>
    </xdr:to>
    <xdr:sp macro="" textlink="">
      <xdr:nvSpPr>
        <xdr:cNvPr id="258622" name="Text Box 574" hidden="1">
          <a:extLst>
            <a:ext uri="{FF2B5EF4-FFF2-40B4-BE49-F238E27FC236}">
              <a16:creationId xmlns:a16="http://schemas.microsoft.com/office/drawing/2014/main" id="{15FA8198-1075-4150-B5FB-CCC2E706BC33}"/>
            </a:ext>
          </a:extLst>
        </xdr:cNvPr>
        <xdr:cNvSpPr txBox="1">
          <a:spLocks noChangeArrowheads="1"/>
        </xdr:cNvSpPr>
      </xdr:nvSpPr>
      <xdr:spPr bwMode="auto">
        <a:xfrm>
          <a:off x="3867150" y="11382375"/>
          <a:ext cx="1276350" cy="7715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59</xdr:row>
      <xdr:rowOff>74559</xdr:rowOff>
    </xdr:from>
    <xdr:to>
      <xdr:col>5</xdr:col>
      <xdr:colOff>628650</xdr:colOff>
      <xdr:row>63</xdr:row>
      <xdr:rowOff>103134</xdr:rowOff>
    </xdr:to>
    <xdr:sp macro="" textlink="">
      <xdr:nvSpPr>
        <xdr:cNvPr id="258628" name="Text Box 580" hidden="1">
          <a:extLst>
            <a:ext uri="{FF2B5EF4-FFF2-40B4-BE49-F238E27FC236}">
              <a16:creationId xmlns:a16="http://schemas.microsoft.com/office/drawing/2014/main" id="{338C5854-B1A6-4B68-B50C-B633FC9DE8B9}"/>
            </a:ext>
          </a:extLst>
        </xdr:cNvPr>
        <xdr:cNvSpPr txBox="1">
          <a:spLocks noChangeArrowheads="1"/>
        </xdr:cNvSpPr>
      </xdr:nvSpPr>
      <xdr:spPr bwMode="auto">
        <a:xfrm>
          <a:off x="3867150" y="1217295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58</xdr:row>
      <xdr:rowOff>71384</xdr:rowOff>
    </xdr:from>
    <xdr:to>
      <xdr:col>5</xdr:col>
      <xdr:colOff>628650</xdr:colOff>
      <xdr:row>62</xdr:row>
      <xdr:rowOff>103955</xdr:rowOff>
    </xdr:to>
    <xdr:sp macro="" textlink="">
      <xdr:nvSpPr>
        <xdr:cNvPr id="258629" name="Text Box 581" hidden="1">
          <a:extLst>
            <a:ext uri="{FF2B5EF4-FFF2-40B4-BE49-F238E27FC236}">
              <a16:creationId xmlns:a16="http://schemas.microsoft.com/office/drawing/2014/main" id="{DAC43208-AE52-4BDD-A07A-5A5824370927}"/>
            </a:ext>
          </a:extLst>
        </xdr:cNvPr>
        <xdr:cNvSpPr txBox="1">
          <a:spLocks noChangeArrowheads="1"/>
        </xdr:cNvSpPr>
      </xdr:nvSpPr>
      <xdr:spPr bwMode="auto">
        <a:xfrm>
          <a:off x="3867150" y="1198245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61</xdr:row>
      <xdr:rowOff>142055</xdr:rowOff>
    </xdr:from>
    <xdr:to>
      <xdr:col>5</xdr:col>
      <xdr:colOff>628650</xdr:colOff>
      <xdr:row>65</xdr:row>
      <xdr:rowOff>159820</xdr:rowOff>
    </xdr:to>
    <xdr:sp macro="" textlink="">
      <xdr:nvSpPr>
        <xdr:cNvPr id="258632" name="Text Box 584" hidden="1">
          <a:extLst>
            <a:ext uri="{FF2B5EF4-FFF2-40B4-BE49-F238E27FC236}">
              <a16:creationId xmlns:a16="http://schemas.microsoft.com/office/drawing/2014/main" id="{1A89C67D-D802-4973-BA94-11C0D0C25059}"/>
            </a:ext>
          </a:extLst>
        </xdr:cNvPr>
        <xdr:cNvSpPr txBox="1">
          <a:spLocks noChangeArrowheads="1"/>
        </xdr:cNvSpPr>
      </xdr:nvSpPr>
      <xdr:spPr bwMode="auto">
        <a:xfrm>
          <a:off x="3867150" y="1261110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60</xdr:row>
      <xdr:rowOff>99959</xdr:rowOff>
    </xdr:from>
    <xdr:to>
      <xdr:col>5</xdr:col>
      <xdr:colOff>628650</xdr:colOff>
      <xdr:row>64</xdr:row>
      <xdr:rowOff>138416</xdr:rowOff>
    </xdr:to>
    <xdr:sp macro="" textlink="">
      <xdr:nvSpPr>
        <xdr:cNvPr id="258633" name="Text Box 585" hidden="1">
          <a:extLst>
            <a:ext uri="{FF2B5EF4-FFF2-40B4-BE49-F238E27FC236}">
              <a16:creationId xmlns:a16="http://schemas.microsoft.com/office/drawing/2014/main" id="{E905E4A7-B32D-4FCD-8E1A-2342821BA3A0}"/>
            </a:ext>
          </a:extLst>
        </xdr:cNvPr>
        <xdr:cNvSpPr txBox="1">
          <a:spLocks noChangeArrowheads="1"/>
        </xdr:cNvSpPr>
      </xdr:nvSpPr>
      <xdr:spPr bwMode="auto">
        <a:xfrm>
          <a:off x="3867150" y="1238250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63</xdr:row>
      <xdr:rowOff>175196</xdr:rowOff>
    </xdr:from>
    <xdr:to>
      <xdr:col>5</xdr:col>
      <xdr:colOff>628650</xdr:colOff>
      <xdr:row>68</xdr:row>
      <xdr:rowOff>15162</xdr:rowOff>
    </xdr:to>
    <xdr:sp macro="" textlink="">
      <xdr:nvSpPr>
        <xdr:cNvPr id="258635" name="Text Box 587" hidden="1">
          <a:extLst>
            <a:ext uri="{FF2B5EF4-FFF2-40B4-BE49-F238E27FC236}">
              <a16:creationId xmlns:a16="http://schemas.microsoft.com/office/drawing/2014/main" id="{AB8A2CC6-91EF-4B24-BBBD-47EB968B7DE8}"/>
            </a:ext>
          </a:extLst>
        </xdr:cNvPr>
        <xdr:cNvSpPr txBox="1">
          <a:spLocks noChangeArrowheads="1"/>
        </xdr:cNvSpPr>
      </xdr:nvSpPr>
      <xdr:spPr bwMode="auto">
        <a:xfrm>
          <a:off x="3867150" y="1303020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62</xdr:row>
      <xdr:rowOff>161105</xdr:rowOff>
    </xdr:from>
    <xdr:to>
      <xdr:col>5</xdr:col>
      <xdr:colOff>628650</xdr:colOff>
      <xdr:row>66</xdr:row>
      <xdr:rowOff>165349</xdr:rowOff>
    </xdr:to>
    <xdr:sp macro="" textlink="">
      <xdr:nvSpPr>
        <xdr:cNvPr id="258636" name="Text Box 588" hidden="1">
          <a:extLst>
            <a:ext uri="{FF2B5EF4-FFF2-40B4-BE49-F238E27FC236}">
              <a16:creationId xmlns:a16="http://schemas.microsoft.com/office/drawing/2014/main" id="{184C0B9A-963D-4D99-A653-6DBD4C9852DC}"/>
            </a:ext>
          </a:extLst>
        </xdr:cNvPr>
        <xdr:cNvSpPr txBox="1">
          <a:spLocks noChangeArrowheads="1"/>
        </xdr:cNvSpPr>
      </xdr:nvSpPr>
      <xdr:spPr bwMode="auto">
        <a:xfrm>
          <a:off x="3867150" y="1282065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79</xdr:row>
      <xdr:rowOff>165207</xdr:rowOff>
    </xdr:from>
    <xdr:to>
      <xdr:col>5</xdr:col>
      <xdr:colOff>628650</xdr:colOff>
      <xdr:row>83</xdr:row>
      <xdr:rowOff>146157</xdr:rowOff>
    </xdr:to>
    <xdr:sp macro="" textlink="">
      <xdr:nvSpPr>
        <xdr:cNvPr id="258641" name="Text Box 593" hidden="1">
          <a:extLst>
            <a:ext uri="{FF2B5EF4-FFF2-40B4-BE49-F238E27FC236}">
              <a16:creationId xmlns:a16="http://schemas.microsoft.com/office/drawing/2014/main" id="{748426D7-8F06-47F1-8229-D39A2442850C}"/>
            </a:ext>
          </a:extLst>
        </xdr:cNvPr>
        <xdr:cNvSpPr txBox="1">
          <a:spLocks noChangeArrowheads="1"/>
        </xdr:cNvSpPr>
      </xdr:nvSpPr>
      <xdr:spPr bwMode="auto">
        <a:xfrm>
          <a:off x="3867150" y="16868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78</xdr:row>
      <xdr:rowOff>165207</xdr:rowOff>
    </xdr:from>
    <xdr:to>
      <xdr:col>5</xdr:col>
      <xdr:colOff>628650</xdr:colOff>
      <xdr:row>82</xdr:row>
      <xdr:rowOff>146157</xdr:rowOff>
    </xdr:to>
    <xdr:sp macro="" textlink="">
      <xdr:nvSpPr>
        <xdr:cNvPr id="258642" name="Text Box 594" hidden="1">
          <a:extLst>
            <a:ext uri="{FF2B5EF4-FFF2-40B4-BE49-F238E27FC236}">
              <a16:creationId xmlns:a16="http://schemas.microsoft.com/office/drawing/2014/main" id="{AF697DD9-BC1D-41B2-9DCC-B1943CD501C0}"/>
            </a:ext>
          </a:extLst>
        </xdr:cNvPr>
        <xdr:cNvSpPr txBox="1">
          <a:spLocks noChangeArrowheads="1"/>
        </xdr:cNvSpPr>
      </xdr:nvSpPr>
      <xdr:spPr bwMode="auto">
        <a:xfrm>
          <a:off x="3867150" y="166782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81</xdr:row>
      <xdr:rowOff>114407</xdr:rowOff>
    </xdr:from>
    <xdr:to>
      <xdr:col>5</xdr:col>
      <xdr:colOff>628650</xdr:colOff>
      <xdr:row>85</xdr:row>
      <xdr:rowOff>146157</xdr:rowOff>
    </xdr:to>
    <xdr:sp macro="" textlink="">
      <xdr:nvSpPr>
        <xdr:cNvPr id="258644" name="Text Box 596" hidden="1">
          <a:extLst>
            <a:ext uri="{FF2B5EF4-FFF2-40B4-BE49-F238E27FC236}">
              <a16:creationId xmlns:a16="http://schemas.microsoft.com/office/drawing/2014/main" id="{5692590D-D2A4-4668-9E71-5AA519145D3E}"/>
            </a:ext>
          </a:extLst>
        </xdr:cNvPr>
        <xdr:cNvSpPr txBox="1">
          <a:spLocks noChangeArrowheads="1"/>
        </xdr:cNvSpPr>
      </xdr:nvSpPr>
      <xdr:spPr bwMode="auto">
        <a:xfrm>
          <a:off x="3867150" y="17249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80</xdr:row>
      <xdr:rowOff>139808</xdr:rowOff>
    </xdr:from>
    <xdr:to>
      <xdr:col>5</xdr:col>
      <xdr:colOff>628650</xdr:colOff>
      <xdr:row>84</xdr:row>
      <xdr:rowOff>146157</xdr:rowOff>
    </xdr:to>
    <xdr:sp macro="" textlink="">
      <xdr:nvSpPr>
        <xdr:cNvPr id="258645" name="Text Box 597" hidden="1">
          <a:extLst>
            <a:ext uri="{FF2B5EF4-FFF2-40B4-BE49-F238E27FC236}">
              <a16:creationId xmlns:a16="http://schemas.microsoft.com/office/drawing/2014/main" id="{38CE638E-327E-4AE2-BB6A-46B612E56EDA}"/>
            </a:ext>
          </a:extLst>
        </xdr:cNvPr>
        <xdr:cNvSpPr txBox="1">
          <a:spLocks noChangeArrowheads="1"/>
        </xdr:cNvSpPr>
      </xdr:nvSpPr>
      <xdr:spPr bwMode="auto">
        <a:xfrm>
          <a:off x="3867150" y="170592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83</xdr:row>
      <xdr:rowOff>89007</xdr:rowOff>
    </xdr:from>
    <xdr:to>
      <xdr:col>5</xdr:col>
      <xdr:colOff>628650</xdr:colOff>
      <xdr:row>87</xdr:row>
      <xdr:rowOff>146157</xdr:rowOff>
    </xdr:to>
    <xdr:sp macro="" textlink="">
      <xdr:nvSpPr>
        <xdr:cNvPr id="258647" name="Text Box 599" hidden="1">
          <a:extLst>
            <a:ext uri="{FF2B5EF4-FFF2-40B4-BE49-F238E27FC236}">
              <a16:creationId xmlns:a16="http://schemas.microsoft.com/office/drawing/2014/main" id="{118A42F1-6591-4809-A930-39840BBBCE7F}"/>
            </a:ext>
          </a:extLst>
        </xdr:cNvPr>
        <xdr:cNvSpPr txBox="1">
          <a:spLocks noChangeArrowheads="1"/>
        </xdr:cNvSpPr>
      </xdr:nvSpPr>
      <xdr:spPr bwMode="auto">
        <a:xfrm>
          <a:off x="3867150" y="17630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82</xdr:row>
      <xdr:rowOff>89007</xdr:rowOff>
    </xdr:from>
    <xdr:to>
      <xdr:col>5</xdr:col>
      <xdr:colOff>628650</xdr:colOff>
      <xdr:row>86</xdr:row>
      <xdr:rowOff>146157</xdr:rowOff>
    </xdr:to>
    <xdr:sp macro="" textlink="">
      <xdr:nvSpPr>
        <xdr:cNvPr id="258648" name="Text Box 600" hidden="1">
          <a:extLst>
            <a:ext uri="{FF2B5EF4-FFF2-40B4-BE49-F238E27FC236}">
              <a16:creationId xmlns:a16="http://schemas.microsoft.com/office/drawing/2014/main" id="{01D1E7F4-0A8C-4457-9156-D6D36936DF41}"/>
            </a:ext>
          </a:extLst>
        </xdr:cNvPr>
        <xdr:cNvSpPr txBox="1">
          <a:spLocks noChangeArrowheads="1"/>
        </xdr:cNvSpPr>
      </xdr:nvSpPr>
      <xdr:spPr bwMode="auto">
        <a:xfrm>
          <a:off x="3867150" y="174402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85</xdr:row>
      <xdr:rowOff>89007</xdr:rowOff>
    </xdr:from>
    <xdr:to>
      <xdr:col>5</xdr:col>
      <xdr:colOff>628650</xdr:colOff>
      <xdr:row>89</xdr:row>
      <xdr:rowOff>111232</xdr:rowOff>
    </xdr:to>
    <xdr:sp macro="" textlink="">
      <xdr:nvSpPr>
        <xdr:cNvPr id="258650" name="Text Box 602" hidden="1">
          <a:extLst>
            <a:ext uri="{FF2B5EF4-FFF2-40B4-BE49-F238E27FC236}">
              <a16:creationId xmlns:a16="http://schemas.microsoft.com/office/drawing/2014/main" id="{A5C3F5C4-A3E3-41E4-A6BE-90118BD415C2}"/>
            </a:ext>
          </a:extLst>
        </xdr:cNvPr>
        <xdr:cNvSpPr txBox="1">
          <a:spLocks noChangeArrowheads="1"/>
        </xdr:cNvSpPr>
      </xdr:nvSpPr>
      <xdr:spPr bwMode="auto">
        <a:xfrm>
          <a:off x="3867150" y="18011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84</xdr:row>
      <xdr:rowOff>89007</xdr:rowOff>
    </xdr:from>
    <xdr:to>
      <xdr:col>5</xdr:col>
      <xdr:colOff>628650</xdr:colOff>
      <xdr:row>88</xdr:row>
      <xdr:rowOff>146157</xdr:rowOff>
    </xdr:to>
    <xdr:sp macro="" textlink="">
      <xdr:nvSpPr>
        <xdr:cNvPr id="258651" name="Text Box 603" hidden="1">
          <a:extLst>
            <a:ext uri="{FF2B5EF4-FFF2-40B4-BE49-F238E27FC236}">
              <a16:creationId xmlns:a16="http://schemas.microsoft.com/office/drawing/2014/main" id="{5743E45B-8920-402E-9EE0-9508710A69E2}"/>
            </a:ext>
          </a:extLst>
        </xdr:cNvPr>
        <xdr:cNvSpPr txBox="1">
          <a:spLocks noChangeArrowheads="1"/>
        </xdr:cNvSpPr>
      </xdr:nvSpPr>
      <xdr:spPr bwMode="auto">
        <a:xfrm>
          <a:off x="3867150" y="178212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107</xdr:row>
      <xdr:rowOff>154290</xdr:rowOff>
    </xdr:from>
    <xdr:to>
      <xdr:col>5</xdr:col>
      <xdr:colOff>628650</xdr:colOff>
      <xdr:row>112</xdr:row>
      <xdr:rowOff>20798</xdr:rowOff>
    </xdr:to>
    <xdr:sp macro="" textlink="">
      <xdr:nvSpPr>
        <xdr:cNvPr id="258654" name="Text Box 606" hidden="1">
          <a:extLst>
            <a:ext uri="{FF2B5EF4-FFF2-40B4-BE49-F238E27FC236}">
              <a16:creationId xmlns:a16="http://schemas.microsoft.com/office/drawing/2014/main" id="{E3920B36-BBE2-4CAD-AB16-405970E4751B}"/>
            </a:ext>
          </a:extLst>
        </xdr:cNvPr>
        <xdr:cNvSpPr txBox="1">
          <a:spLocks noChangeArrowheads="1"/>
        </xdr:cNvSpPr>
      </xdr:nvSpPr>
      <xdr:spPr bwMode="auto">
        <a:xfrm>
          <a:off x="3867150" y="2241232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106</xdr:row>
      <xdr:rowOff>154292</xdr:rowOff>
    </xdr:from>
    <xdr:to>
      <xdr:col>5</xdr:col>
      <xdr:colOff>628650</xdr:colOff>
      <xdr:row>111</xdr:row>
      <xdr:rowOff>20798</xdr:rowOff>
    </xdr:to>
    <xdr:sp macro="" textlink="">
      <xdr:nvSpPr>
        <xdr:cNvPr id="258655" name="Text Box 607" hidden="1">
          <a:extLst>
            <a:ext uri="{FF2B5EF4-FFF2-40B4-BE49-F238E27FC236}">
              <a16:creationId xmlns:a16="http://schemas.microsoft.com/office/drawing/2014/main" id="{FB47E02B-502E-4ACB-85CA-49F9D4A5AACD}"/>
            </a:ext>
          </a:extLst>
        </xdr:cNvPr>
        <xdr:cNvSpPr txBox="1">
          <a:spLocks noChangeArrowheads="1"/>
        </xdr:cNvSpPr>
      </xdr:nvSpPr>
      <xdr:spPr bwMode="auto">
        <a:xfrm>
          <a:off x="3867150" y="2222182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109</xdr:row>
      <xdr:rowOff>155324</xdr:rowOff>
    </xdr:from>
    <xdr:to>
      <xdr:col>5</xdr:col>
      <xdr:colOff>628650</xdr:colOff>
      <xdr:row>113</xdr:row>
      <xdr:rowOff>198598</xdr:rowOff>
    </xdr:to>
    <xdr:sp macro="" textlink="">
      <xdr:nvSpPr>
        <xdr:cNvPr id="258657" name="Text Box 609" hidden="1">
          <a:extLst>
            <a:ext uri="{FF2B5EF4-FFF2-40B4-BE49-F238E27FC236}">
              <a16:creationId xmlns:a16="http://schemas.microsoft.com/office/drawing/2014/main" id="{005D426F-0124-49A8-AF96-ADC444C6D9FE}"/>
            </a:ext>
          </a:extLst>
        </xdr:cNvPr>
        <xdr:cNvSpPr txBox="1">
          <a:spLocks noChangeArrowheads="1"/>
        </xdr:cNvSpPr>
      </xdr:nvSpPr>
      <xdr:spPr bwMode="auto">
        <a:xfrm>
          <a:off x="3867150" y="2279332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108</xdr:row>
      <xdr:rowOff>154291</xdr:rowOff>
    </xdr:from>
    <xdr:to>
      <xdr:col>5</xdr:col>
      <xdr:colOff>628650</xdr:colOff>
      <xdr:row>113</xdr:row>
      <xdr:rowOff>20798</xdr:rowOff>
    </xdr:to>
    <xdr:sp macro="" textlink="">
      <xdr:nvSpPr>
        <xdr:cNvPr id="258658" name="Text Box 610" hidden="1">
          <a:extLst>
            <a:ext uri="{FF2B5EF4-FFF2-40B4-BE49-F238E27FC236}">
              <a16:creationId xmlns:a16="http://schemas.microsoft.com/office/drawing/2014/main" id="{BD4493CA-64A1-4FC5-8D91-278E1F15E944}"/>
            </a:ext>
          </a:extLst>
        </xdr:cNvPr>
        <xdr:cNvSpPr txBox="1">
          <a:spLocks noChangeArrowheads="1"/>
        </xdr:cNvSpPr>
      </xdr:nvSpPr>
      <xdr:spPr bwMode="auto">
        <a:xfrm>
          <a:off x="3867150" y="2260282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111</xdr:row>
      <xdr:rowOff>154291</xdr:rowOff>
    </xdr:from>
    <xdr:to>
      <xdr:col>5</xdr:col>
      <xdr:colOff>628650</xdr:colOff>
      <xdr:row>115</xdr:row>
      <xdr:rowOff>41382</xdr:rowOff>
    </xdr:to>
    <xdr:sp macro="" textlink="">
      <xdr:nvSpPr>
        <xdr:cNvPr id="258660" name="Text Box 612" hidden="1">
          <a:extLst>
            <a:ext uri="{FF2B5EF4-FFF2-40B4-BE49-F238E27FC236}">
              <a16:creationId xmlns:a16="http://schemas.microsoft.com/office/drawing/2014/main" id="{BEC2044F-CDED-43D4-B3F6-12CD07208FB1}"/>
            </a:ext>
          </a:extLst>
        </xdr:cNvPr>
        <xdr:cNvSpPr txBox="1">
          <a:spLocks noChangeArrowheads="1"/>
        </xdr:cNvSpPr>
      </xdr:nvSpPr>
      <xdr:spPr bwMode="auto">
        <a:xfrm>
          <a:off x="3867150" y="23174325"/>
          <a:ext cx="1276350" cy="8096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110</xdr:row>
      <xdr:rowOff>154291</xdr:rowOff>
    </xdr:from>
    <xdr:to>
      <xdr:col>5</xdr:col>
      <xdr:colOff>628650</xdr:colOff>
      <xdr:row>114</xdr:row>
      <xdr:rowOff>101707</xdr:rowOff>
    </xdr:to>
    <xdr:sp macro="" textlink="">
      <xdr:nvSpPr>
        <xdr:cNvPr id="258661" name="Text Box 613" hidden="1">
          <a:extLst>
            <a:ext uri="{FF2B5EF4-FFF2-40B4-BE49-F238E27FC236}">
              <a16:creationId xmlns:a16="http://schemas.microsoft.com/office/drawing/2014/main" id="{95181B58-D7AA-4E55-82BC-401CA8E9BC24}"/>
            </a:ext>
          </a:extLst>
        </xdr:cNvPr>
        <xdr:cNvSpPr txBox="1">
          <a:spLocks noChangeArrowheads="1"/>
        </xdr:cNvSpPr>
      </xdr:nvSpPr>
      <xdr:spPr bwMode="auto">
        <a:xfrm>
          <a:off x="3867150" y="22983825"/>
          <a:ext cx="1276350" cy="8096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113</xdr:row>
      <xdr:rowOff>154291</xdr:rowOff>
    </xdr:from>
    <xdr:to>
      <xdr:col>5</xdr:col>
      <xdr:colOff>628650</xdr:colOff>
      <xdr:row>116</xdr:row>
      <xdr:rowOff>155219</xdr:rowOff>
    </xdr:to>
    <xdr:sp macro="" textlink="">
      <xdr:nvSpPr>
        <xdr:cNvPr id="258663" name="Text Box 615" hidden="1">
          <a:extLst>
            <a:ext uri="{FF2B5EF4-FFF2-40B4-BE49-F238E27FC236}">
              <a16:creationId xmlns:a16="http://schemas.microsoft.com/office/drawing/2014/main" id="{0114EE50-6E9A-4D6F-87AE-177DF777955C}"/>
            </a:ext>
          </a:extLst>
        </xdr:cNvPr>
        <xdr:cNvSpPr txBox="1">
          <a:spLocks noChangeArrowheads="1"/>
        </xdr:cNvSpPr>
      </xdr:nvSpPr>
      <xdr:spPr bwMode="auto">
        <a:xfrm>
          <a:off x="3867150" y="23555325"/>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112</xdr:row>
      <xdr:rowOff>154290</xdr:rowOff>
    </xdr:from>
    <xdr:to>
      <xdr:col>5</xdr:col>
      <xdr:colOff>628650</xdr:colOff>
      <xdr:row>115</xdr:row>
      <xdr:rowOff>218718</xdr:rowOff>
    </xdr:to>
    <xdr:sp macro="" textlink="">
      <xdr:nvSpPr>
        <xdr:cNvPr id="258664" name="Text Box 616" hidden="1">
          <a:extLst>
            <a:ext uri="{FF2B5EF4-FFF2-40B4-BE49-F238E27FC236}">
              <a16:creationId xmlns:a16="http://schemas.microsoft.com/office/drawing/2014/main" id="{4A042BC3-E81F-47A9-B50D-E34821DBA032}"/>
            </a:ext>
          </a:extLst>
        </xdr:cNvPr>
        <xdr:cNvSpPr txBox="1">
          <a:spLocks noChangeArrowheads="1"/>
        </xdr:cNvSpPr>
      </xdr:nvSpPr>
      <xdr:spPr bwMode="auto">
        <a:xfrm>
          <a:off x="3867150" y="23364825"/>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300068" name="Text Box 36" hidden="1">
          <a:extLst>
            <a:ext uri="{FF2B5EF4-FFF2-40B4-BE49-F238E27FC236}">
              <a16:creationId xmlns:a16="http://schemas.microsoft.com/office/drawing/2014/main" id="{69B607D2-B6D1-416A-A18F-259CB560FDA5}"/>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213</xdr:row>
      <xdr:rowOff>49266</xdr:rowOff>
    </xdr:from>
    <xdr:to>
      <xdr:col>5</xdr:col>
      <xdr:colOff>609600</xdr:colOff>
      <xdr:row>236</xdr:row>
      <xdr:rowOff>68316</xdr:rowOff>
    </xdr:to>
    <xdr:sp macro="" textlink="">
      <xdr:nvSpPr>
        <xdr:cNvPr id="300067" name="Text Box 35" hidden="1">
          <a:extLst>
            <a:ext uri="{FF2B5EF4-FFF2-40B4-BE49-F238E27FC236}">
              <a16:creationId xmlns:a16="http://schemas.microsoft.com/office/drawing/2014/main" id="{A9D65FA5-52CB-4E24-A63C-44BBBD159922}"/>
            </a:ext>
          </a:extLst>
        </xdr:cNvPr>
        <xdr:cNvSpPr txBox="1">
          <a:spLocks noChangeArrowheads="1"/>
        </xdr:cNvSpPr>
      </xdr:nvSpPr>
      <xdr:spPr bwMode="auto">
        <a:xfrm>
          <a:off x="3848100" y="43434000"/>
          <a:ext cx="1276350" cy="440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215</xdr:row>
      <xdr:rowOff>30216</xdr:rowOff>
    </xdr:from>
    <xdr:to>
      <xdr:col>5</xdr:col>
      <xdr:colOff>609600</xdr:colOff>
      <xdr:row>235</xdr:row>
      <xdr:rowOff>168881</xdr:rowOff>
    </xdr:to>
    <xdr:sp macro="" textlink="">
      <xdr:nvSpPr>
        <xdr:cNvPr id="300066" name="Text Box 34" hidden="1">
          <a:extLst>
            <a:ext uri="{FF2B5EF4-FFF2-40B4-BE49-F238E27FC236}">
              <a16:creationId xmlns:a16="http://schemas.microsoft.com/office/drawing/2014/main" id="{F62A46F4-196C-4BF5-A267-FA926514CB6D}"/>
            </a:ext>
          </a:extLst>
        </xdr:cNvPr>
        <xdr:cNvSpPr txBox="1">
          <a:spLocks noChangeArrowheads="1"/>
        </xdr:cNvSpPr>
      </xdr:nvSpPr>
      <xdr:spPr bwMode="auto">
        <a:xfrm>
          <a:off x="3848100" y="43795950"/>
          <a:ext cx="1276350" cy="394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218</xdr:row>
      <xdr:rowOff>606</xdr:rowOff>
    </xdr:from>
    <xdr:to>
      <xdr:col>5</xdr:col>
      <xdr:colOff>609600</xdr:colOff>
      <xdr:row>237</xdr:row>
      <xdr:rowOff>68316</xdr:rowOff>
    </xdr:to>
    <xdr:sp macro="" textlink="">
      <xdr:nvSpPr>
        <xdr:cNvPr id="300065" name="Text Box 33" hidden="1">
          <a:extLst>
            <a:ext uri="{FF2B5EF4-FFF2-40B4-BE49-F238E27FC236}">
              <a16:creationId xmlns:a16="http://schemas.microsoft.com/office/drawing/2014/main" id="{941D44E9-7FAC-4E06-9022-B3CA682D5425}"/>
            </a:ext>
          </a:extLst>
        </xdr:cNvPr>
        <xdr:cNvSpPr txBox="1">
          <a:spLocks noChangeArrowheads="1"/>
        </xdr:cNvSpPr>
      </xdr:nvSpPr>
      <xdr:spPr bwMode="auto">
        <a:xfrm>
          <a:off x="3848100" y="44329350"/>
          <a:ext cx="1276350" cy="3695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219</xdr:row>
      <xdr:rowOff>606</xdr:rowOff>
    </xdr:from>
    <xdr:to>
      <xdr:col>5</xdr:col>
      <xdr:colOff>609600</xdr:colOff>
      <xdr:row>225</xdr:row>
      <xdr:rowOff>606</xdr:rowOff>
    </xdr:to>
    <xdr:sp macro="" textlink="">
      <xdr:nvSpPr>
        <xdr:cNvPr id="300064" name="Text Box 32" hidden="1">
          <a:extLst>
            <a:ext uri="{FF2B5EF4-FFF2-40B4-BE49-F238E27FC236}">
              <a16:creationId xmlns:a16="http://schemas.microsoft.com/office/drawing/2014/main" id="{CD04002E-0E79-4AB7-A825-1FF838B8DCC8}"/>
            </a:ext>
          </a:extLst>
        </xdr:cNvPr>
        <xdr:cNvSpPr txBox="1">
          <a:spLocks noChangeArrowheads="1"/>
        </xdr:cNvSpPr>
      </xdr:nvSpPr>
      <xdr:spPr bwMode="auto">
        <a:xfrm>
          <a:off x="3848100" y="44519850"/>
          <a:ext cx="12763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195</xdr:row>
      <xdr:rowOff>149831</xdr:rowOff>
    </xdr:from>
    <xdr:to>
      <xdr:col>5</xdr:col>
      <xdr:colOff>609600</xdr:colOff>
      <xdr:row>201</xdr:row>
      <xdr:rowOff>168882</xdr:rowOff>
    </xdr:to>
    <xdr:sp macro="" textlink="">
      <xdr:nvSpPr>
        <xdr:cNvPr id="300063" name="Text Box 31" hidden="1">
          <a:extLst>
            <a:ext uri="{FF2B5EF4-FFF2-40B4-BE49-F238E27FC236}">
              <a16:creationId xmlns:a16="http://schemas.microsoft.com/office/drawing/2014/main" id="{634A0BCD-31C7-4ED2-8459-D0302143D1E1}"/>
            </a:ext>
          </a:extLst>
        </xdr:cNvPr>
        <xdr:cNvSpPr txBox="1">
          <a:spLocks noChangeArrowheads="1"/>
        </xdr:cNvSpPr>
      </xdr:nvSpPr>
      <xdr:spPr bwMode="auto">
        <a:xfrm>
          <a:off x="3848100" y="40100250"/>
          <a:ext cx="1276350" cy="1162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198</xdr:row>
      <xdr:rowOff>606</xdr:rowOff>
    </xdr:from>
    <xdr:to>
      <xdr:col>5</xdr:col>
      <xdr:colOff>609600</xdr:colOff>
      <xdr:row>203</xdr:row>
      <xdr:rowOff>11166</xdr:rowOff>
    </xdr:to>
    <xdr:sp macro="" textlink="">
      <xdr:nvSpPr>
        <xdr:cNvPr id="300062" name="Text Box 30" hidden="1">
          <a:extLst>
            <a:ext uri="{FF2B5EF4-FFF2-40B4-BE49-F238E27FC236}">
              <a16:creationId xmlns:a16="http://schemas.microsoft.com/office/drawing/2014/main" id="{D572A469-38D0-4498-A9E7-A033C97910FF}"/>
            </a:ext>
          </a:extLst>
        </xdr:cNvPr>
        <xdr:cNvSpPr txBox="1">
          <a:spLocks noChangeArrowheads="1"/>
        </xdr:cNvSpPr>
      </xdr:nvSpPr>
      <xdr:spPr bwMode="auto">
        <a:xfrm>
          <a:off x="3848100" y="40519350"/>
          <a:ext cx="1276350"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607</xdr:rowOff>
    </xdr:from>
    <xdr:to>
      <xdr:col>5</xdr:col>
      <xdr:colOff>609600</xdr:colOff>
      <xdr:row>204</xdr:row>
      <xdr:rowOff>68316</xdr:rowOff>
    </xdr:to>
    <xdr:sp macro="" textlink="">
      <xdr:nvSpPr>
        <xdr:cNvPr id="300061" name="Text Box 29" hidden="1">
          <a:extLst>
            <a:ext uri="{FF2B5EF4-FFF2-40B4-BE49-F238E27FC236}">
              <a16:creationId xmlns:a16="http://schemas.microsoft.com/office/drawing/2014/main" id="{3202258E-920A-4B75-8123-0826999FD5DD}"/>
            </a:ext>
          </a:extLst>
        </xdr:cNvPr>
        <xdr:cNvSpPr txBox="1">
          <a:spLocks noChangeArrowheads="1"/>
        </xdr:cNvSpPr>
      </xdr:nvSpPr>
      <xdr:spPr bwMode="auto">
        <a:xfrm>
          <a:off x="3848100" y="40900350"/>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202</xdr:row>
      <xdr:rowOff>607</xdr:rowOff>
    </xdr:from>
    <xdr:to>
      <xdr:col>5</xdr:col>
      <xdr:colOff>609600</xdr:colOff>
      <xdr:row>211</xdr:row>
      <xdr:rowOff>30216</xdr:rowOff>
    </xdr:to>
    <xdr:sp macro="" textlink="">
      <xdr:nvSpPr>
        <xdr:cNvPr id="300060" name="Text Box 28" hidden="1">
          <a:extLst>
            <a:ext uri="{FF2B5EF4-FFF2-40B4-BE49-F238E27FC236}">
              <a16:creationId xmlns:a16="http://schemas.microsoft.com/office/drawing/2014/main" id="{70752031-F58D-4B47-A9A0-038B0FA033EE}"/>
            </a:ext>
          </a:extLst>
        </xdr:cNvPr>
        <xdr:cNvSpPr txBox="1">
          <a:spLocks noChangeArrowheads="1"/>
        </xdr:cNvSpPr>
      </xdr:nvSpPr>
      <xdr:spPr bwMode="auto">
        <a:xfrm>
          <a:off x="3848100" y="41281350"/>
          <a:ext cx="1276350"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152400</xdr:rowOff>
    </xdr:to>
    <xdr:sp macro="" textlink="">
      <xdr:nvSpPr>
        <xdr:cNvPr id="300059" name="Text Box 27" hidden="1">
          <a:extLst>
            <a:ext uri="{FF2B5EF4-FFF2-40B4-BE49-F238E27FC236}">
              <a16:creationId xmlns:a16="http://schemas.microsoft.com/office/drawing/2014/main" id="{9FAB41D9-4E0B-4BA9-B058-C290F9D09DB5}"/>
            </a:ext>
          </a:extLst>
        </xdr:cNvPr>
        <xdr:cNvSpPr txBox="1">
          <a:spLocks noChangeArrowheads="1"/>
        </xdr:cNvSpPr>
      </xdr:nvSpPr>
      <xdr:spPr bwMode="auto">
        <a:xfrm>
          <a:off x="3848100" y="269557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53</xdr:row>
      <xdr:rowOff>151579</xdr:rowOff>
    </xdr:from>
    <xdr:to>
      <xdr:col>5</xdr:col>
      <xdr:colOff>628650</xdr:colOff>
      <xdr:row>58</xdr:row>
      <xdr:rowOff>33284</xdr:rowOff>
    </xdr:to>
    <xdr:sp macro="" textlink="">
      <xdr:nvSpPr>
        <xdr:cNvPr id="300058" name="Text Box 26" hidden="1">
          <a:extLst>
            <a:ext uri="{FF2B5EF4-FFF2-40B4-BE49-F238E27FC236}">
              <a16:creationId xmlns:a16="http://schemas.microsoft.com/office/drawing/2014/main" id="{BB00556C-6DB0-4835-ADE8-356779F0F508}"/>
            </a:ext>
          </a:extLst>
        </xdr:cNvPr>
        <xdr:cNvSpPr txBox="1">
          <a:spLocks noChangeArrowheads="1"/>
        </xdr:cNvSpPr>
      </xdr:nvSpPr>
      <xdr:spPr bwMode="auto">
        <a:xfrm>
          <a:off x="3867150" y="11153775"/>
          <a:ext cx="12763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51</xdr:row>
      <xdr:rowOff>131209</xdr:rowOff>
    </xdr:from>
    <xdr:to>
      <xdr:col>5</xdr:col>
      <xdr:colOff>628650</xdr:colOff>
      <xdr:row>56</xdr:row>
      <xdr:rowOff>21405</xdr:rowOff>
    </xdr:to>
    <xdr:sp macro="" textlink="">
      <xdr:nvSpPr>
        <xdr:cNvPr id="300057" name="Text Box 25" hidden="1">
          <a:extLst>
            <a:ext uri="{FF2B5EF4-FFF2-40B4-BE49-F238E27FC236}">
              <a16:creationId xmlns:a16="http://schemas.microsoft.com/office/drawing/2014/main" id="{36DB3FDD-217C-449C-BE39-EC644B87B6CC}"/>
            </a:ext>
          </a:extLst>
        </xdr:cNvPr>
        <xdr:cNvSpPr txBox="1">
          <a:spLocks noChangeArrowheads="1"/>
        </xdr:cNvSpPr>
      </xdr:nvSpPr>
      <xdr:spPr bwMode="auto">
        <a:xfrm>
          <a:off x="3867150" y="107823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56</xdr:row>
      <xdr:rowOff>59505</xdr:rowOff>
    </xdr:from>
    <xdr:to>
      <xdr:col>5</xdr:col>
      <xdr:colOff>628650</xdr:colOff>
      <xdr:row>60</xdr:row>
      <xdr:rowOff>80909</xdr:rowOff>
    </xdr:to>
    <xdr:sp macro="" textlink="">
      <xdr:nvSpPr>
        <xdr:cNvPr id="300056" name="Text Box 24" hidden="1">
          <a:extLst>
            <a:ext uri="{FF2B5EF4-FFF2-40B4-BE49-F238E27FC236}">
              <a16:creationId xmlns:a16="http://schemas.microsoft.com/office/drawing/2014/main" id="{D1FEFF32-4922-4679-AA57-8619431DBC69}"/>
            </a:ext>
          </a:extLst>
        </xdr:cNvPr>
        <xdr:cNvSpPr txBox="1">
          <a:spLocks noChangeArrowheads="1"/>
        </xdr:cNvSpPr>
      </xdr:nvSpPr>
      <xdr:spPr bwMode="auto">
        <a:xfrm>
          <a:off x="3867150" y="116014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55</xdr:row>
      <xdr:rowOff>15054</xdr:rowOff>
    </xdr:from>
    <xdr:to>
      <xdr:col>5</xdr:col>
      <xdr:colOff>628650</xdr:colOff>
      <xdr:row>59</xdr:row>
      <xdr:rowOff>55509</xdr:rowOff>
    </xdr:to>
    <xdr:sp macro="" textlink="">
      <xdr:nvSpPr>
        <xdr:cNvPr id="300055" name="Text Box 23" hidden="1">
          <a:extLst>
            <a:ext uri="{FF2B5EF4-FFF2-40B4-BE49-F238E27FC236}">
              <a16:creationId xmlns:a16="http://schemas.microsoft.com/office/drawing/2014/main" id="{950F92D6-57F7-48ED-8DF5-861543C8AAB4}"/>
            </a:ext>
          </a:extLst>
        </xdr:cNvPr>
        <xdr:cNvSpPr txBox="1">
          <a:spLocks noChangeArrowheads="1"/>
        </xdr:cNvSpPr>
      </xdr:nvSpPr>
      <xdr:spPr bwMode="auto">
        <a:xfrm>
          <a:off x="3867150" y="11382375"/>
          <a:ext cx="12763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59</xdr:row>
      <xdr:rowOff>74559</xdr:rowOff>
    </xdr:from>
    <xdr:to>
      <xdr:col>5</xdr:col>
      <xdr:colOff>628650</xdr:colOff>
      <xdr:row>63</xdr:row>
      <xdr:rowOff>103134</xdr:rowOff>
    </xdr:to>
    <xdr:sp macro="" textlink="">
      <xdr:nvSpPr>
        <xdr:cNvPr id="300054" name="Text Box 22" hidden="1">
          <a:extLst>
            <a:ext uri="{FF2B5EF4-FFF2-40B4-BE49-F238E27FC236}">
              <a16:creationId xmlns:a16="http://schemas.microsoft.com/office/drawing/2014/main" id="{D09E9164-08A8-48DC-B883-B68246CDB911}"/>
            </a:ext>
          </a:extLst>
        </xdr:cNvPr>
        <xdr:cNvSpPr txBox="1">
          <a:spLocks noChangeArrowheads="1"/>
        </xdr:cNvSpPr>
      </xdr:nvSpPr>
      <xdr:spPr bwMode="auto">
        <a:xfrm>
          <a:off x="3867150" y="1217295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58</xdr:row>
      <xdr:rowOff>71384</xdr:rowOff>
    </xdr:from>
    <xdr:to>
      <xdr:col>5</xdr:col>
      <xdr:colOff>628650</xdr:colOff>
      <xdr:row>62</xdr:row>
      <xdr:rowOff>103955</xdr:rowOff>
    </xdr:to>
    <xdr:sp macro="" textlink="">
      <xdr:nvSpPr>
        <xdr:cNvPr id="300053" name="Text Box 21" hidden="1">
          <a:extLst>
            <a:ext uri="{FF2B5EF4-FFF2-40B4-BE49-F238E27FC236}">
              <a16:creationId xmlns:a16="http://schemas.microsoft.com/office/drawing/2014/main" id="{910FD0F4-B044-4697-9A2E-FD752B047B1C}"/>
            </a:ext>
          </a:extLst>
        </xdr:cNvPr>
        <xdr:cNvSpPr txBox="1">
          <a:spLocks noChangeArrowheads="1"/>
        </xdr:cNvSpPr>
      </xdr:nvSpPr>
      <xdr:spPr bwMode="auto">
        <a:xfrm>
          <a:off x="3867150" y="1198245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61</xdr:row>
      <xdr:rowOff>142055</xdr:rowOff>
    </xdr:from>
    <xdr:to>
      <xdr:col>5</xdr:col>
      <xdr:colOff>628650</xdr:colOff>
      <xdr:row>65</xdr:row>
      <xdr:rowOff>159820</xdr:rowOff>
    </xdr:to>
    <xdr:sp macro="" textlink="">
      <xdr:nvSpPr>
        <xdr:cNvPr id="300052" name="Text Box 20" hidden="1">
          <a:extLst>
            <a:ext uri="{FF2B5EF4-FFF2-40B4-BE49-F238E27FC236}">
              <a16:creationId xmlns:a16="http://schemas.microsoft.com/office/drawing/2014/main" id="{8CE655BC-37CA-4BC1-B7CF-9DAD51916C2B}"/>
            </a:ext>
          </a:extLst>
        </xdr:cNvPr>
        <xdr:cNvSpPr txBox="1">
          <a:spLocks noChangeArrowheads="1"/>
        </xdr:cNvSpPr>
      </xdr:nvSpPr>
      <xdr:spPr bwMode="auto">
        <a:xfrm>
          <a:off x="3867150" y="1261110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60</xdr:row>
      <xdr:rowOff>99959</xdr:rowOff>
    </xdr:from>
    <xdr:to>
      <xdr:col>5</xdr:col>
      <xdr:colOff>628650</xdr:colOff>
      <xdr:row>64</xdr:row>
      <xdr:rowOff>138416</xdr:rowOff>
    </xdr:to>
    <xdr:sp macro="" textlink="">
      <xdr:nvSpPr>
        <xdr:cNvPr id="300051" name="Text Box 19" hidden="1">
          <a:extLst>
            <a:ext uri="{FF2B5EF4-FFF2-40B4-BE49-F238E27FC236}">
              <a16:creationId xmlns:a16="http://schemas.microsoft.com/office/drawing/2014/main" id="{2DFAC3E4-776B-4734-85E9-FC066C7CB977}"/>
            </a:ext>
          </a:extLst>
        </xdr:cNvPr>
        <xdr:cNvSpPr txBox="1">
          <a:spLocks noChangeArrowheads="1"/>
        </xdr:cNvSpPr>
      </xdr:nvSpPr>
      <xdr:spPr bwMode="auto">
        <a:xfrm>
          <a:off x="3867150" y="123825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63</xdr:row>
      <xdr:rowOff>175196</xdr:rowOff>
    </xdr:from>
    <xdr:to>
      <xdr:col>5</xdr:col>
      <xdr:colOff>628650</xdr:colOff>
      <xdr:row>68</xdr:row>
      <xdr:rowOff>15162</xdr:rowOff>
    </xdr:to>
    <xdr:sp macro="" textlink="">
      <xdr:nvSpPr>
        <xdr:cNvPr id="300050" name="Text Box 18" hidden="1">
          <a:extLst>
            <a:ext uri="{FF2B5EF4-FFF2-40B4-BE49-F238E27FC236}">
              <a16:creationId xmlns:a16="http://schemas.microsoft.com/office/drawing/2014/main" id="{904FF285-2411-4880-B11C-2955993462F1}"/>
            </a:ext>
          </a:extLst>
        </xdr:cNvPr>
        <xdr:cNvSpPr txBox="1">
          <a:spLocks noChangeArrowheads="1"/>
        </xdr:cNvSpPr>
      </xdr:nvSpPr>
      <xdr:spPr bwMode="auto">
        <a:xfrm>
          <a:off x="3867150" y="1303020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62</xdr:row>
      <xdr:rowOff>161105</xdr:rowOff>
    </xdr:from>
    <xdr:to>
      <xdr:col>5</xdr:col>
      <xdr:colOff>628650</xdr:colOff>
      <xdr:row>66</xdr:row>
      <xdr:rowOff>165349</xdr:rowOff>
    </xdr:to>
    <xdr:sp macro="" textlink="">
      <xdr:nvSpPr>
        <xdr:cNvPr id="300049" name="Text Box 17" hidden="1">
          <a:extLst>
            <a:ext uri="{FF2B5EF4-FFF2-40B4-BE49-F238E27FC236}">
              <a16:creationId xmlns:a16="http://schemas.microsoft.com/office/drawing/2014/main" id="{983D0704-DFE2-45A8-A738-6650A7CAEA5B}"/>
            </a:ext>
          </a:extLst>
        </xdr:cNvPr>
        <xdr:cNvSpPr txBox="1">
          <a:spLocks noChangeArrowheads="1"/>
        </xdr:cNvSpPr>
      </xdr:nvSpPr>
      <xdr:spPr bwMode="auto">
        <a:xfrm>
          <a:off x="3867150" y="128206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79</xdr:row>
      <xdr:rowOff>165207</xdr:rowOff>
    </xdr:from>
    <xdr:to>
      <xdr:col>5</xdr:col>
      <xdr:colOff>628650</xdr:colOff>
      <xdr:row>83</xdr:row>
      <xdr:rowOff>146157</xdr:rowOff>
    </xdr:to>
    <xdr:sp macro="" textlink="">
      <xdr:nvSpPr>
        <xdr:cNvPr id="300048" name="Text Box 16" hidden="1">
          <a:extLst>
            <a:ext uri="{FF2B5EF4-FFF2-40B4-BE49-F238E27FC236}">
              <a16:creationId xmlns:a16="http://schemas.microsoft.com/office/drawing/2014/main" id="{EFC548D7-8800-42C2-A53C-3CB13A2CFA1D}"/>
            </a:ext>
          </a:extLst>
        </xdr:cNvPr>
        <xdr:cNvSpPr txBox="1">
          <a:spLocks noChangeArrowheads="1"/>
        </xdr:cNvSpPr>
      </xdr:nvSpPr>
      <xdr:spPr bwMode="auto">
        <a:xfrm>
          <a:off x="3867150" y="16868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78</xdr:row>
      <xdr:rowOff>165207</xdr:rowOff>
    </xdr:from>
    <xdr:to>
      <xdr:col>5</xdr:col>
      <xdr:colOff>628650</xdr:colOff>
      <xdr:row>82</xdr:row>
      <xdr:rowOff>146157</xdr:rowOff>
    </xdr:to>
    <xdr:sp macro="" textlink="">
      <xdr:nvSpPr>
        <xdr:cNvPr id="300047" name="Text Box 15" hidden="1">
          <a:extLst>
            <a:ext uri="{FF2B5EF4-FFF2-40B4-BE49-F238E27FC236}">
              <a16:creationId xmlns:a16="http://schemas.microsoft.com/office/drawing/2014/main" id="{5C87EFF0-85BD-4421-98EC-90C0F2D62D79}"/>
            </a:ext>
          </a:extLst>
        </xdr:cNvPr>
        <xdr:cNvSpPr txBox="1">
          <a:spLocks noChangeArrowheads="1"/>
        </xdr:cNvSpPr>
      </xdr:nvSpPr>
      <xdr:spPr bwMode="auto">
        <a:xfrm>
          <a:off x="3867150" y="16678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81</xdr:row>
      <xdr:rowOff>114407</xdr:rowOff>
    </xdr:from>
    <xdr:to>
      <xdr:col>5</xdr:col>
      <xdr:colOff>628650</xdr:colOff>
      <xdr:row>85</xdr:row>
      <xdr:rowOff>146157</xdr:rowOff>
    </xdr:to>
    <xdr:sp macro="" textlink="">
      <xdr:nvSpPr>
        <xdr:cNvPr id="300046" name="Text Box 14" hidden="1">
          <a:extLst>
            <a:ext uri="{FF2B5EF4-FFF2-40B4-BE49-F238E27FC236}">
              <a16:creationId xmlns:a16="http://schemas.microsoft.com/office/drawing/2014/main" id="{20349603-CCD6-401E-95C1-1635ABF1AF15}"/>
            </a:ext>
          </a:extLst>
        </xdr:cNvPr>
        <xdr:cNvSpPr txBox="1">
          <a:spLocks noChangeArrowheads="1"/>
        </xdr:cNvSpPr>
      </xdr:nvSpPr>
      <xdr:spPr bwMode="auto">
        <a:xfrm>
          <a:off x="3867150" y="17249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80</xdr:row>
      <xdr:rowOff>139808</xdr:rowOff>
    </xdr:from>
    <xdr:to>
      <xdr:col>5</xdr:col>
      <xdr:colOff>628650</xdr:colOff>
      <xdr:row>84</xdr:row>
      <xdr:rowOff>146157</xdr:rowOff>
    </xdr:to>
    <xdr:sp macro="" textlink="">
      <xdr:nvSpPr>
        <xdr:cNvPr id="300045" name="Text Box 13" hidden="1">
          <a:extLst>
            <a:ext uri="{FF2B5EF4-FFF2-40B4-BE49-F238E27FC236}">
              <a16:creationId xmlns:a16="http://schemas.microsoft.com/office/drawing/2014/main" id="{C032CFE3-F78F-42C9-8A83-483E0616EE49}"/>
            </a:ext>
          </a:extLst>
        </xdr:cNvPr>
        <xdr:cNvSpPr txBox="1">
          <a:spLocks noChangeArrowheads="1"/>
        </xdr:cNvSpPr>
      </xdr:nvSpPr>
      <xdr:spPr bwMode="auto">
        <a:xfrm>
          <a:off x="3867150" y="17059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83</xdr:row>
      <xdr:rowOff>89007</xdr:rowOff>
    </xdr:from>
    <xdr:to>
      <xdr:col>5</xdr:col>
      <xdr:colOff>628650</xdr:colOff>
      <xdr:row>87</xdr:row>
      <xdr:rowOff>146157</xdr:rowOff>
    </xdr:to>
    <xdr:sp macro="" textlink="">
      <xdr:nvSpPr>
        <xdr:cNvPr id="300044" name="Text Box 12" hidden="1">
          <a:extLst>
            <a:ext uri="{FF2B5EF4-FFF2-40B4-BE49-F238E27FC236}">
              <a16:creationId xmlns:a16="http://schemas.microsoft.com/office/drawing/2014/main" id="{AB393682-27BA-42EB-823A-00D1C5E8FA49}"/>
            </a:ext>
          </a:extLst>
        </xdr:cNvPr>
        <xdr:cNvSpPr txBox="1">
          <a:spLocks noChangeArrowheads="1"/>
        </xdr:cNvSpPr>
      </xdr:nvSpPr>
      <xdr:spPr bwMode="auto">
        <a:xfrm>
          <a:off x="3867150" y="17630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82</xdr:row>
      <xdr:rowOff>89007</xdr:rowOff>
    </xdr:from>
    <xdr:to>
      <xdr:col>5</xdr:col>
      <xdr:colOff>628650</xdr:colOff>
      <xdr:row>86</xdr:row>
      <xdr:rowOff>146157</xdr:rowOff>
    </xdr:to>
    <xdr:sp macro="" textlink="">
      <xdr:nvSpPr>
        <xdr:cNvPr id="300043" name="Text Box 11" hidden="1">
          <a:extLst>
            <a:ext uri="{FF2B5EF4-FFF2-40B4-BE49-F238E27FC236}">
              <a16:creationId xmlns:a16="http://schemas.microsoft.com/office/drawing/2014/main" id="{67AC52D4-0614-4FF4-BDB7-7F0555CE6CFA}"/>
            </a:ext>
          </a:extLst>
        </xdr:cNvPr>
        <xdr:cNvSpPr txBox="1">
          <a:spLocks noChangeArrowheads="1"/>
        </xdr:cNvSpPr>
      </xdr:nvSpPr>
      <xdr:spPr bwMode="auto">
        <a:xfrm>
          <a:off x="3867150" y="17440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85</xdr:row>
      <xdr:rowOff>89007</xdr:rowOff>
    </xdr:from>
    <xdr:to>
      <xdr:col>5</xdr:col>
      <xdr:colOff>628650</xdr:colOff>
      <xdr:row>89</xdr:row>
      <xdr:rowOff>111232</xdr:rowOff>
    </xdr:to>
    <xdr:sp macro="" textlink="">
      <xdr:nvSpPr>
        <xdr:cNvPr id="300042" name="Text Box 10" hidden="1">
          <a:extLst>
            <a:ext uri="{FF2B5EF4-FFF2-40B4-BE49-F238E27FC236}">
              <a16:creationId xmlns:a16="http://schemas.microsoft.com/office/drawing/2014/main" id="{9608D9C4-D502-43F4-982E-ACF297B239BD}"/>
            </a:ext>
          </a:extLst>
        </xdr:cNvPr>
        <xdr:cNvSpPr txBox="1">
          <a:spLocks noChangeArrowheads="1"/>
        </xdr:cNvSpPr>
      </xdr:nvSpPr>
      <xdr:spPr bwMode="auto">
        <a:xfrm>
          <a:off x="3867150" y="18011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84</xdr:row>
      <xdr:rowOff>89007</xdr:rowOff>
    </xdr:from>
    <xdr:to>
      <xdr:col>5</xdr:col>
      <xdr:colOff>628650</xdr:colOff>
      <xdr:row>88</xdr:row>
      <xdr:rowOff>146157</xdr:rowOff>
    </xdr:to>
    <xdr:sp macro="" textlink="">
      <xdr:nvSpPr>
        <xdr:cNvPr id="300041" name="Text Box 9" hidden="1">
          <a:extLst>
            <a:ext uri="{FF2B5EF4-FFF2-40B4-BE49-F238E27FC236}">
              <a16:creationId xmlns:a16="http://schemas.microsoft.com/office/drawing/2014/main" id="{B67385A1-0DF2-45E3-9CC1-93E7B4E4F974}"/>
            </a:ext>
          </a:extLst>
        </xdr:cNvPr>
        <xdr:cNvSpPr txBox="1">
          <a:spLocks noChangeArrowheads="1"/>
        </xdr:cNvSpPr>
      </xdr:nvSpPr>
      <xdr:spPr bwMode="auto">
        <a:xfrm>
          <a:off x="3867150" y="17821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107</xdr:row>
      <xdr:rowOff>154290</xdr:rowOff>
    </xdr:from>
    <xdr:to>
      <xdr:col>5</xdr:col>
      <xdr:colOff>628650</xdr:colOff>
      <xdr:row>112</xdr:row>
      <xdr:rowOff>20798</xdr:rowOff>
    </xdr:to>
    <xdr:sp macro="" textlink="">
      <xdr:nvSpPr>
        <xdr:cNvPr id="300040" name="Text Box 8" hidden="1">
          <a:extLst>
            <a:ext uri="{FF2B5EF4-FFF2-40B4-BE49-F238E27FC236}">
              <a16:creationId xmlns:a16="http://schemas.microsoft.com/office/drawing/2014/main" id="{F4381B5D-8E63-4203-A6CE-99AE7DC92C9B}"/>
            </a:ext>
          </a:extLst>
        </xdr:cNvPr>
        <xdr:cNvSpPr txBox="1">
          <a:spLocks noChangeArrowheads="1"/>
        </xdr:cNvSpPr>
      </xdr:nvSpPr>
      <xdr:spPr bwMode="auto">
        <a:xfrm>
          <a:off x="3867150" y="224123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106</xdr:row>
      <xdr:rowOff>154292</xdr:rowOff>
    </xdr:from>
    <xdr:to>
      <xdr:col>5</xdr:col>
      <xdr:colOff>628650</xdr:colOff>
      <xdr:row>111</xdr:row>
      <xdr:rowOff>20798</xdr:rowOff>
    </xdr:to>
    <xdr:sp macro="" textlink="">
      <xdr:nvSpPr>
        <xdr:cNvPr id="300039" name="Text Box 7" hidden="1">
          <a:extLst>
            <a:ext uri="{FF2B5EF4-FFF2-40B4-BE49-F238E27FC236}">
              <a16:creationId xmlns:a16="http://schemas.microsoft.com/office/drawing/2014/main" id="{391FCC8D-4A91-4315-ACE6-BA5D10D2E5C3}"/>
            </a:ext>
          </a:extLst>
        </xdr:cNvPr>
        <xdr:cNvSpPr txBox="1">
          <a:spLocks noChangeArrowheads="1"/>
        </xdr:cNvSpPr>
      </xdr:nvSpPr>
      <xdr:spPr bwMode="auto">
        <a:xfrm>
          <a:off x="3867150" y="222218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109</xdr:row>
      <xdr:rowOff>155324</xdr:rowOff>
    </xdr:from>
    <xdr:to>
      <xdr:col>5</xdr:col>
      <xdr:colOff>628650</xdr:colOff>
      <xdr:row>113</xdr:row>
      <xdr:rowOff>198598</xdr:rowOff>
    </xdr:to>
    <xdr:sp macro="" textlink="">
      <xdr:nvSpPr>
        <xdr:cNvPr id="300038" name="Text Box 6" hidden="1">
          <a:extLst>
            <a:ext uri="{FF2B5EF4-FFF2-40B4-BE49-F238E27FC236}">
              <a16:creationId xmlns:a16="http://schemas.microsoft.com/office/drawing/2014/main" id="{6B6CB448-5BFA-40B1-8232-A7ADD37956DA}"/>
            </a:ext>
          </a:extLst>
        </xdr:cNvPr>
        <xdr:cNvSpPr txBox="1">
          <a:spLocks noChangeArrowheads="1"/>
        </xdr:cNvSpPr>
      </xdr:nvSpPr>
      <xdr:spPr bwMode="auto">
        <a:xfrm>
          <a:off x="3867150" y="227933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108</xdr:row>
      <xdr:rowOff>154291</xdr:rowOff>
    </xdr:from>
    <xdr:to>
      <xdr:col>5</xdr:col>
      <xdr:colOff>628650</xdr:colOff>
      <xdr:row>113</xdr:row>
      <xdr:rowOff>20798</xdr:rowOff>
    </xdr:to>
    <xdr:sp macro="" textlink="">
      <xdr:nvSpPr>
        <xdr:cNvPr id="300037" name="Text Box 5" hidden="1">
          <a:extLst>
            <a:ext uri="{FF2B5EF4-FFF2-40B4-BE49-F238E27FC236}">
              <a16:creationId xmlns:a16="http://schemas.microsoft.com/office/drawing/2014/main" id="{22373A8D-FB45-4FF1-9AC6-477B184EE4DF}"/>
            </a:ext>
          </a:extLst>
        </xdr:cNvPr>
        <xdr:cNvSpPr txBox="1">
          <a:spLocks noChangeArrowheads="1"/>
        </xdr:cNvSpPr>
      </xdr:nvSpPr>
      <xdr:spPr bwMode="auto">
        <a:xfrm>
          <a:off x="3867150" y="226028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111</xdr:row>
      <xdr:rowOff>154291</xdr:rowOff>
    </xdr:from>
    <xdr:to>
      <xdr:col>5</xdr:col>
      <xdr:colOff>628650</xdr:colOff>
      <xdr:row>115</xdr:row>
      <xdr:rowOff>41382</xdr:rowOff>
    </xdr:to>
    <xdr:sp macro="" textlink="">
      <xdr:nvSpPr>
        <xdr:cNvPr id="300036" name="Text Box 4" hidden="1">
          <a:extLst>
            <a:ext uri="{FF2B5EF4-FFF2-40B4-BE49-F238E27FC236}">
              <a16:creationId xmlns:a16="http://schemas.microsoft.com/office/drawing/2014/main" id="{43C31BDD-7946-42D7-80C1-5F30CEE98BCD}"/>
            </a:ext>
          </a:extLst>
        </xdr:cNvPr>
        <xdr:cNvSpPr txBox="1">
          <a:spLocks noChangeArrowheads="1"/>
        </xdr:cNvSpPr>
      </xdr:nvSpPr>
      <xdr:spPr bwMode="auto">
        <a:xfrm>
          <a:off x="3867150" y="23174325"/>
          <a:ext cx="127635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110</xdr:row>
      <xdr:rowOff>154291</xdr:rowOff>
    </xdr:from>
    <xdr:to>
      <xdr:col>5</xdr:col>
      <xdr:colOff>628650</xdr:colOff>
      <xdr:row>114</xdr:row>
      <xdr:rowOff>101707</xdr:rowOff>
    </xdr:to>
    <xdr:sp macro="" textlink="">
      <xdr:nvSpPr>
        <xdr:cNvPr id="300035" name="Text Box 3" hidden="1">
          <a:extLst>
            <a:ext uri="{FF2B5EF4-FFF2-40B4-BE49-F238E27FC236}">
              <a16:creationId xmlns:a16="http://schemas.microsoft.com/office/drawing/2014/main" id="{CEAF0B29-BA76-4B9C-A63B-58662ABF3457}"/>
            </a:ext>
          </a:extLst>
        </xdr:cNvPr>
        <xdr:cNvSpPr txBox="1">
          <a:spLocks noChangeArrowheads="1"/>
        </xdr:cNvSpPr>
      </xdr:nvSpPr>
      <xdr:spPr bwMode="auto">
        <a:xfrm>
          <a:off x="3867150" y="22983825"/>
          <a:ext cx="127635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113</xdr:row>
      <xdr:rowOff>154291</xdr:rowOff>
    </xdr:from>
    <xdr:to>
      <xdr:col>5</xdr:col>
      <xdr:colOff>628650</xdr:colOff>
      <xdr:row>116</xdr:row>
      <xdr:rowOff>155219</xdr:rowOff>
    </xdr:to>
    <xdr:sp macro="" textlink="">
      <xdr:nvSpPr>
        <xdr:cNvPr id="300034" name="Text Box 2" hidden="1">
          <a:extLst>
            <a:ext uri="{FF2B5EF4-FFF2-40B4-BE49-F238E27FC236}">
              <a16:creationId xmlns:a16="http://schemas.microsoft.com/office/drawing/2014/main" id="{4736866A-A446-4717-A69A-FA0E4EA2A7EE}"/>
            </a:ext>
          </a:extLst>
        </xdr:cNvPr>
        <xdr:cNvSpPr txBox="1">
          <a:spLocks noChangeArrowheads="1"/>
        </xdr:cNvSpPr>
      </xdr:nvSpPr>
      <xdr:spPr bwMode="auto">
        <a:xfrm>
          <a:off x="3867150" y="2355532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112</xdr:row>
      <xdr:rowOff>154290</xdr:rowOff>
    </xdr:from>
    <xdr:to>
      <xdr:col>5</xdr:col>
      <xdr:colOff>628650</xdr:colOff>
      <xdr:row>115</xdr:row>
      <xdr:rowOff>218718</xdr:rowOff>
    </xdr:to>
    <xdr:sp macro="" textlink="">
      <xdr:nvSpPr>
        <xdr:cNvPr id="300033" name="Text Box 1" hidden="1">
          <a:extLst>
            <a:ext uri="{FF2B5EF4-FFF2-40B4-BE49-F238E27FC236}">
              <a16:creationId xmlns:a16="http://schemas.microsoft.com/office/drawing/2014/main" id="{CD4BD002-5CEA-4DA3-8FEF-438D7AD8A6B6}"/>
            </a:ext>
          </a:extLst>
        </xdr:cNvPr>
        <xdr:cNvSpPr txBox="1">
          <a:spLocks noChangeArrowheads="1"/>
        </xdr:cNvSpPr>
      </xdr:nvSpPr>
      <xdr:spPr bwMode="auto">
        <a:xfrm>
          <a:off x="3867150" y="2336482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300104" name="Text Box 72" hidden="1">
          <a:extLst>
            <a:ext uri="{FF2B5EF4-FFF2-40B4-BE49-F238E27FC236}">
              <a16:creationId xmlns:a16="http://schemas.microsoft.com/office/drawing/2014/main" id="{0B5F090E-F772-4990-AFE9-C2ADD1C767C7}"/>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213</xdr:row>
      <xdr:rowOff>49266</xdr:rowOff>
    </xdr:from>
    <xdr:to>
      <xdr:col>5</xdr:col>
      <xdr:colOff>609600</xdr:colOff>
      <xdr:row>236</xdr:row>
      <xdr:rowOff>68316</xdr:rowOff>
    </xdr:to>
    <xdr:sp macro="" textlink="">
      <xdr:nvSpPr>
        <xdr:cNvPr id="300103" name="Text Box 71" hidden="1">
          <a:extLst>
            <a:ext uri="{FF2B5EF4-FFF2-40B4-BE49-F238E27FC236}">
              <a16:creationId xmlns:a16="http://schemas.microsoft.com/office/drawing/2014/main" id="{89AF8C66-5462-40B4-BEF8-20C2050FF369}"/>
            </a:ext>
          </a:extLst>
        </xdr:cNvPr>
        <xdr:cNvSpPr txBox="1">
          <a:spLocks noChangeArrowheads="1"/>
        </xdr:cNvSpPr>
      </xdr:nvSpPr>
      <xdr:spPr bwMode="auto">
        <a:xfrm>
          <a:off x="3848100" y="43434000"/>
          <a:ext cx="1276350" cy="440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215</xdr:row>
      <xdr:rowOff>30216</xdr:rowOff>
    </xdr:from>
    <xdr:to>
      <xdr:col>5</xdr:col>
      <xdr:colOff>609600</xdr:colOff>
      <xdr:row>235</xdr:row>
      <xdr:rowOff>168881</xdr:rowOff>
    </xdr:to>
    <xdr:sp macro="" textlink="">
      <xdr:nvSpPr>
        <xdr:cNvPr id="300102" name="Text Box 70" hidden="1">
          <a:extLst>
            <a:ext uri="{FF2B5EF4-FFF2-40B4-BE49-F238E27FC236}">
              <a16:creationId xmlns:a16="http://schemas.microsoft.com/office/drawing/2014/main" id="{F72AFC20-E7B5-40FE-A2D4-DF190CEB456A}"/>
            </a:ext>
          </a:extLst>
        </xdr:cNvPr>
        <xdr:cNvSpPr txBox="1">
          <a:spLocks noChangeArrowheads="1"/>
        </xdr:cNvSpPr>
      </xdr:nvSpPr>
      <xdr:spPr bwMode="auto">
        <a:xfrm>
          <a:off x="3848100" y="43795950"/>
          <a:ext cx="1276350" cy="394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218</xdr:row>
      <xdr:rowOff>606</xdr:rowOff>
    </xdr:from>
    <xdr:to>
      <xdr:col>5</xdr:col>
      <xdr:colOff>609600</xdr:colOff>
      <xdr:row>237</xdr:row>
      <xdr:rowOff>68316</xdr:rowOff>
    </xdr:to>
    <xdr:sp macro="" textlink="">
      <xdr:nvSpPr>
        <xdr:cNvPr id="300101" name="Text Box 69" hidden="1">
          <a:extLst>
            <a:ext uri="{FF2B5EF4-FFF2-40B4-BE49-F238E27FC236}">
              <a16:creationId xmlns:a16="http://schemas.microsoft.com/office/drawing/2014/main" id="{45DF8012-7DA8-4A2C-9147-B15614AA0F0F}"/>
            </a:ext>
          </a:extLst>
        </xdr:cNvPr>
        <xdr:cNvSpPr txBox="1">
          <a:spLocks noChangeArrowheads="1"/>
        </xdr:cNvSpPr>
      </xdr:nvSpPr>
      <xdr:spPr bwMode="auto">
        <a:xfrm>
          <a:off x="3848100" y="44329350"/>
          <a:ext cx="1276350" cy="3695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219</xdr:row>
      <xdr:rowOff>606</xdr:rowOff>
    </xdr:from>
    <xdr:to>
      <xdr:col>5</xdr:col>
      <xdr:colOff>609600</xdr:colOff>
      <xdr:row>225</xdr:row>
      <xdr:rowOff>606</xdr:rowOff>
    </xdr:to>
    <xdr:sp macro="" textlink="">
      <xdr:nvSpPr>
        <xdr:cNvPr id="300100" name="Text Box 68" hidden="1">
          <a:extLst>
            <a:ext uri="{FF2B5EF4-FFF2-40B4-BE49-F238E27FC236}">
              <a16:creationId xmlns:a16="http://schemas.microsoft.com/office/drawing/2014/main" id="{134FABD4-10C9-496E-B4FD-ED5521389170}"/>
            </a:ext>
          </a:extLst>
        </xdr:cNvPr>
        <xdr:cNvSpPr txBox="1">
          <a:spLocks noChangeArrowheads="1"/>
        </xdr:cNvSpPr>
      </xdr:nvSpPr>
      <xdr:spPr bwMode="auto">
        <a:xfrm>
          <a:off x="3848100" y="44519850"/>
          <a:ext cx="12763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195</xdr:row>
      <xdr:rowOff>149831</xdr:rowOff>
    </xdr:from>
    <xdr:to>
      <xdr:col>5</xdr:col>
      <xdr:colOff>609600</xdr:colOff>
      <xdr:row>201</xdr:row>
      <xdr:rowOff>168882</xdr:rowOff>
    </xdr:to>
    <xdr:sp macro="" textlink="">
      <xdr:nvSpPr>
        <xdr:cNvPr id="300099" name="Text Box 67" hidden="1">
          <a:extLst>
            <a:ext uri="{FF2B5EF4-FFF2-40B4-BE49-F238E27FC236}">
              <a16:creationId xmlns:a16="http://schemas.microsoft.com/office/drawing/2014/main" id="{0ED48BC4-0495-47F6-8E2B-B46B9029C726}"/>
            </a:ext>
          </a:extLst>
        </xdr:cNvPr>
        <xdr:cNvSpPr txBox="1">
          <a:spLocks noChangeArrowheads="1"/>
        </xdr:cNvSpPr>
      </xdr:nvSpPr>
      <xdr:spPr bwMode="auto">
        <a:xfrm>
          <a:off x="3848100" y="40100250"/>
          <a:ext cx="1276350" cy="1162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198</xdr:row>
      <xdr:rowOff>606</xdr:rowOff>
    </xdr:from>
    <xdr:to>
      <xdr:col>5</xdr:col>
      <xdr:colOff>609600</xdr:colOff>
      <xdr:row>203</xdr:row>
      <xdr:rowOff>11166</xdr:rowOff>
    </xdr:to>
    <xdr:sp macro="" textlink="">
      <xdr:nvSpPr>
        <xdr:cNvPr id="300098" name="Text Box 66" hidden="1">
          <a:extLst>
            <a:ext uri="{FF2B5EF4-FFF2-40B4-BE49-F238E27FC236}">
              <a16:creationId xmlns:a16="http://schemas.microsoft.com/office/drawing/2014/main" id="{8FA31345-BCF0-4B85-8671-15E391750CCC}"/>
            </a:ext>
          </a:extLst>
        </xdr:cNvPr>
        <xdr:cNvSpPr txBox="1">
          <a:spLocks noChangeArrowheads="1"/>
        </xdr:cNvSpPr>
      </xdr:nvSpPr>
      <xdr:spPr bwMode="auto">
        <a:xfrm>
          <a:off x="3848100" y="40519350"/>
          <a:ext cx="1276350"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607</xdr:rowOff>
    </xdr:from>
    <xdr:to>
      <xdr:col>5</xdr:col>
      <xdr:colOff>609600</xdr:colOff>
      <xdr:row>204</xdr:row>
      <xdr:rowOff>68316</xdr:rowOff>
    </xdr:to>
    <xdr:sp macro="" textlink="">
      <xdr:nvSpPr>
        <xdr:cNvPr id="300097" name="Text Box 65" hidden="1">
          <a:extLst>
            <a:ext uri="{FF2B5EF4-FFF2-40B4-BE49-F238E27FC236}">
              <a16:creationId xmlns:a16="http://schemas.microsoft.com/office/drawing/2014/main" id="{8F698467-02C2-4527-BA18-6D30498FCA44}"/>
            </a:ext>
          </a:extLst>
        </xdr:cNvPr>
        <xdr:cNvSpPr txBox="1">
          <a:spLocks noChangeArrowheads="1"/>
        </xdr:cNvSpPr>
      </xdr:nvSpPr>
      <xdr:spPr bwMode="auto">
        <a:xfrm>
          <a:off x="3848100" y="40900350"/>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202</xdr:row>
      <xdr:rowOff>607</xdr:rowOff>
    </xdr:from>
    <xdr:to>
      <xdr:col>5</xdr:col>
      <xdr:colOff>609600</xdr:colOff>
      <xdr:row>211</xdr:row>
      <xdr:rowOff>30216</xdr:rowOff>
    </xdr:to>
    <xdr:sp macro="" textlink="">
      <xdr:nvSpPr>
        <xdr:cNvPr id="300096" name="Text Box 64" hidden="1">
          <a:extLst>
            <a:ext uri="{FF2B5EF4-FFF2-40B4-BE49-F238E27FC236}">
              <a16:creationId xmlns:a16="http://schemas.microsoft.com/office/drawing/2014/main" id="{1E8CC488-45A7-4000-A729-622F8B63155B}"/>
            </a:ext>
          </a:extLst>
        </xdr:cNvPr>
        <xdr:cNvSpPr txBox="1">
          <a:spLocks noChangeArrowheads="1"/>
        </xdr:cNvSpPr>
      </xdr:nvSpPr>
      <xdr:spPr bwMode="auto">
        <a:xfrm>
          <a:off x="3848100" y="41281350"/>
          <a:ext cx="1276350"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152400</xdr:rowOff>
    </xdr:to>
    <xdr:sp macro="" textlink="">
      <xdr:nvSpPr>
        <xdr:cNvPr id="300095" name="Text Box 63" hidden="1">
          <a:extLst>
            <a:ext uri="{FF2B5EF4-FFF2-40B4-BE49-F238E27FC236}">
              <a16:creationId xmlns:a16="http://schemas.microsoft.com/office/drawing/2014/main" id="{CC5A3910-AA8E-492E-9081-94BBEF8369FA}"/>
            </a:ext>
          </a:extLst>
        </xdr:cNvPr>
        <xdr:cNvSpPr txBox="1">
          <a:spLocks noChangeArrowheads="1"/>
        </xdr:cNvSpPr>
      </xdr:nvSpPr>
      <xdr:spPr bwMode="auto">
        <a:xfrm>
          <a:off x="3848100" y="269557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53</xdr:row>
      <xdr:rowOff>151579</xdr:rowOff>
    </xdr:from>
    <xdr:to>
      <xdr:col>5</xdr:col>
      <xdr:colOff>628650</xdr:colOff>
      <xdr:row>58</xdr:row>
      <xdr:rowOff>33284</xdr:rowOff>
    </xdr:to>
    <xdr:sp macro="" textlink="">
      <xdr:nvSpPr>
        <xdr:cNvPr id="300094" name="Text Box 62" hidden="1">
          <a:extLst>
            <a:ext uri="{FF2B5EF4-FFF2-40B4-BE49-F238E27FC236}">
              <a16:creationId xmlns:a16="http://schemas.microsoft.com/office/drawing/2014/main" id="{0BA7CA8F-9D2C-481A-BB12-0DF9FE15AB64}"/>
            </a:ext>
          </a:extLst>
        </xdr:cNvPr>
        <xdr:cNvSpPr txBox="1">
          <a:spLocks noChangeArrowheads="1"/>
        </xdr:cNvSpPr>
      </xdr:nvSpPr>
      <xdr:spPr bwMode="auto">
        <a:xfrm>
          <a:off x="3867150" y="11153775"/>
          <a:ext cx="12763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51</xdr:row>
      <xdr:rowOff>131209</xdr:rowOff>
    </xdr:from>
    <xdr:to>
      <xdr:col>5</xdr:col>
      <xdr:colOff>628650</xdr:colOff>
      <xdr:row>56</xdr:row>
      <xdr:rowOff>21405</xdr:rowOff>
    </xdr:to>
    <xdr:sp macro="" textlink="">
      <xdr:nvSpPr>
        <xdr:cNvPr id="300093" name="Text Box 61" hidden="1">
          <a:extLst>
            <a:ext uri="{FF2B5EF4-FFF2-40B4-BE49-F238E27FC236}">
              <a16:creationId xmlns:a16="http://schemas.microsoft.com/office/drawing/2014/main" id="{2F630881-EE41-4D97-BAF3-14534000091A}"/>
            </a:ext>
          </a:extLst>
        </xdr:cNvPr>
        <xdr:cNvSpPr txBox="1">
          <a:spLocks noChangeArrowheads="1"/>
        </xdr:cNvSpPr>
      </xdr:nvSpPr>
      <xdr:spPr bwMode="auto">
        <a:xfrm>
          <a:off x="3867150" y="107823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56</xdr:row>
      <xdr:rowOff>59505</xdr:rowOff>
    </xdr:from>
    <xdr:to>
      <xdr:col>5</xdr:col>
      <xdr:colOff>628650</xdr:colOff>
      <xdr:row>60</xdr:row>
      <xdr:rowOff>80909</xdr:rowOff>
    </xdr:to>
    <xdr:sp macro="" textlink="">
      <xdr:nvSpPr>
        <xdr:cNvPr id="300092" name="Text Box 60" hidden="1">
          <a:extLst>
            <a:ext uri="{FF2B5EF4-FFF2-40B4-BE49-F238E27FC236}">
              <a16:creationId xmlns:a16="http://schemas.microsoft.com/office/drawing/2014/main" id="{4694531C-B886-409E-BE6E-B00A45214DA2}"/>
            </a:ext>
          </a:extLst>
        </xdr:cNvPr>
        <xdr:cNvSpPr txBox="1">
          <a:spLocks noChangeArrowheads="1"/>
        </xdr:cNvSpPr>
      </xdr:nvSpPr>
      <xdr:spPr bwMode="auto">
        <a:xfrm>
          <a:off x="3867150" y="116014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55</xdr:row>
      <xdr:rowOff>15054</xdr:rowOff>
    </xdr:from>
    <xdr:to>
      <xdr:col>5</xdr:col>
      <xdr:colOff>628650</xdr:colOff>
      <xdr:row>59</xdr:row>
      <xdr:rowOff>55509</xdr:rowOff>
    </xdr:to>
    <xdr:sp macro="" textlink="">
      <xdr:nvSpPr>
        <xdr:cNvPr id="300091" name="Text Box 59" hidden="1">
          <a:extLst>
            <a:ext uri="{FF2B5EF4-FFF2-40B4-BE49-F238E27FC236}">
              <a16:creationId xmlns:a16="http://schemas.microsoft.com/office/drawing/2014/main" id="{54B861E1-588E-4EB8-AD3D-F4E0615BA004}"/>
            </a:ext>
          </a:extLst>
        </xdr:cNvPr>
        <xdr:cNvSpPr txBox="1">
          <a:spLocks noChangeArrowheads="1"/>
        </xdr:cNvSpPr>
      </xdr:nvSpPr>
      <xdr:spPr bwMode="auto">
        <a:xfrm>
          <a:off x="3867150" y="11382375"/>
          <a:ext cx="12763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59</xdr:row>
      <xdr:rowOff>74559</xdr:rowOff>
    </xdr:from>
    <xdr:to>
      <xdr:col>5</xdr:col>
      <xdr:colOff>628650</xdr:colOff>
      <xdr:row>63</xdr:row>
      <xdr:rowOff>103134</xdr:rowOff>
    </xdr:to>
    <xdr:sp macro="" textlink="">
      <xdr:nvSpPr>
        <xdr:cNvPr id="300090" name="Text Box 58" hidden="1">
          <a:extLst>
            <a:ext uri="{FF2B5EF4-FFF2-40B4-BE49-F238E27FC236}">
              <a16:creationId xmlns:a16="http://schemas.microsoft.com/office/drawing/2014/main" id="{57441789-8374-4728-AE65-7057A4FAAE05}"/>
            </a:ext>
          </a:extLst>
        </xdr:cNvPr>
        <xdr:cNvSpPr txBox="1">
          <a:spLocks noChangeArrowheads="1"/>
        </xdr:cNvSpPr>
      </xdr:nvSpPr>
      <xdr:spPr bwMode="auto">
        <a:xfrm>
          <a:off x="3867150" y="1217295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58</xdr:row>
      <xdr:rowOff>71384</xdr:rowOff>
    </xdr:from>
    <xdr:to>
      <xdr:col>5</xdr:col>
      <xdr:colOff>628650</xdr:colOff>
      <xdr:row>62</xdr:row>
      <xdr:rowOff>103955</xdr:rowOff>
    </xdr:to>
    <xdr:sp macro="" textlink="">
      <xdr:nvSpPr>
        <xdr:cNvPr id="300089" name="Text Box 57" hidden="1">
          <a:extLst>
            <a:ext uri="{FF2B5EF4-FFF2-40B4-BE49-F238E27FC236}">
              <a16:creationId xmlns:a16="http://schemas.microsoft.com/office/drawing/2014/main" id="{D2E66206-BC2B-479D-908B-4FED8BDC9CC7}"/>
            </a:ext>
          </a:extLst>
        </xdr:cNvPr>
        <xdr:cNvSpPr txBox="1">
          <a:spLocks noChangeArrowheads="1"/>
        </xdr:cNvSpPr>
      </xdr:nvSpPr>
      <xdr:spPr bwMode="auto">
        <a:xfrm>
          <a:off x="3867150" y="1198245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61</xdr:row>
      <xdr:rowOff>142055</xdr:rowOff>
    </xdr:from>
    <xdr:to>
      <xdr:col>5</xdr:col>
      <xdr:colOff>628650</xdr:colOff>
      <xdr:row>65</xdr:row>
      <xdr:rowOff>159820</xdr:rowOff>
    </xdr:to>
    <xdr:sp macro="" textlink="">
      <xdr:nvSpPr>
        <xdr:cNvPr id="300088" name="Text Box 56" hidden="1">
          <a:extLst>
            <a:ext uri="{FF2B5EF4-FFF2-40B4-BE49-F238E27FC236}">
              <a16:creationId xmlns:a16="http://schemas.microsoft.com/office/drawing/2014/main" id="{B9F49866-69F1-4737-BC3C-C861A28096A8}"/>
            </a:ext>
          </a:extLst>
        </xdr:cNvPr>
        <xdr:cNvSpPr txBox="1">
          <a:spLocks noChangeArrowheads="1"/>
        </xdr:cNvSpPr>
      </xdr:nvSpPr>
      <xdr:spPr bwMode="auto">
        <a:xfrm>
          <a:off x="3867150" y="1261110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60</xdr:row>
      <xdr:rowOff>99959</xdr:rowOff>
    </xdr:from>
    <xdr:to>
      <xdr:col>5</xdr:col>
      <xdr:colOff>628650</xdr:colOff>
      <xdr:row>64</xdr:row>
      <xdr:rowOff>138416</xdr:rowOff>
    </xdr:to>
    <xdr:sp macro="" textlink="">
      <xdr:nvSpPr>
        <xdr:cNvPr id="300087" name="Text Box 55" hidden="1">
          <a:extLst>
            <a:ext uri="{FF2B5EF4-FFF2-40B4-BE49-F238E27FC236}">
              <a16:creationId xmlns:a16="http://schemas.microsoft.com/office/drawing/2014/main" id="{228B0179-8685-4538-AC16-36CBAB9B368C}"/>
            </a:ext>
          </a:extLst>
        </xdr:cNvPr>
        <xdr:cNvSpPr txBox="1">
          <a:spLocks noChangeArrowheads="1"/>
        </xdr:cNvSpPr>
      </xdr:nvSpPr>
      <xdr:spPr bwMode="auto">
        <a:xfrm>
          <a:off x="3867150" y="123825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63</xdr:row>
      <xdr:rowOff>175196</xdr:rowOff>
    </xdr:from>
    <xdr:to>
      <xdr:col>5</xdr:col>
      <xdr:colOff>628650</xdr:colOff>
      <xdr:row>68</xdr:row>
      <xdr:rowOff>15162</xdr:rowOff>
    </xdr:to>
    <xdr:sp macro="" textlink="">
      <xdr:nvSpPr>
        <xdr:cNvPr id="300086" name="Text Box 54" hidden="1">
          <a:extLst>
            <a:ext uri="{FF2B5EF4-FFF2-40B4-BE49-F238E27FC236}">
              <a16:creationId xmlns:a16="http://schemas.microsoft.com/office/drawing/2014/main" id="{C63403D3-5E9E-45BF-94F1-2B1A325E02FC}"/>
            </a:ext>
          </a:extLst>
        </xdr:cNvPr>
        <xdr:cNvSpPr txBox="1">
          <a:spLocks noChangeArrowheads="1"/>
        </xdr:cNvSpPr>
      </xdr:nvSpPr>
      <xdr:spPr bwMode="auto">
        <a:xfrm>
          <a:off x="3867150" y="1303020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62</xdr:row>
      <xdr:rowOff>161105</xdr:rowOff>
    </xdr:from>
    <xdr:to>
      <xdr:col>5</xdr:col>
      <xdr:colOff>628650</xdr:colOff>
      <xdr:row>66</xdr:row>
      <xdr:rowOff>165349</xdr:rowOff>
    </xdr:to>
    <xdr:sp macro="" textlink="">
      <xdr:nvSpPr>
        <xdr:cNvPr id="300085" name="Text Box 53" hidden="1">
          <a:extLst>
            <a:ext uri="{FF2B5EF4-FFF2-40B4-BE49-F238E27FC236}">
              <a16:creationId xmlns:a16="http://schemas.microsoft.com/office/drawing/2014/main" id="{2EB7743A-F8AE-4E72-8375-4E568B25D36E}"/>
            </a:ext>
          </a:extLst>
        </xdr:cNvPr>
        <xdr:cNvSpPr txBox="1">
          <a:spLocks noChangeArrowheads="1"/>
        </xdr:cNvSpPr>
      </xdr:nvSpPr>
      <xdr:spPr bwMode="auto">
        <a:xfrm>
          <a:off x="3867150" y="128206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79</xdr:row>
      <xdr:rowOff>165207</xdr:rowOff>
    </xdr:from>
    <xdr:to>
      <xdr:col>5</xdr:col>
      <xdr:colOff>628650</xdr:colOff>
      <xdr:row>83</xdr:row>
      <xdr:rowOff>146157</xdr:rowOff>
    </xdr:to>
    <xdr:sp macro="" textlink="">
      <xdr:nvSpPr>
        <xdr:cNvPr id="300084" name="Text Box 52" hidden="1">
          <a:extLst>
            <a:ext uri="{FF2B5EF4-FFF2-40B4-BE49-F238E27FC236}">
              <a16:creationId xmlns:a16="http://schemas.microsoft.com/office/drawing/2014/main" id="{C51A4BDA-4F21-4A35-B3D6-7C4E8A7FF0E5}"/>
            </a:ext>
          </a:extLst>
        </xdr:cNvPr>
        <xdr:cNvSpPr txBox="1">
          <a:spLocks noChangeArrowheads="1"/>
        </xdr:cNvSpPr>
      </xdr:nvSpPr>
      <xdr:spPr bwMode="auto">
        <a:xfrm>
          <a:off x="3867150" y="16868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78</xdr:row>
      <xdr:rowOff>165207</xdr:rowOff>
    </xdr:from>
    <xdr:to>
      <xdr:col>5</xdr:col>
      <xdr:colOff>628650</xdr:colOff>
      <xdr:row>82</xdr:row>
      <xdr:rowOff>146157</xdr:rowOff>
    </xdr:to>
    <xdr:sp macro="" textlink="">
      <xdr:nvSpPr>
        <xdr:cNvPr id="300083" name="Text Box 51" hidden="1">
          <a:extLst>
            <a:ext uri="{FF2B5EF4-FFF2-40B4-BE49-F238E27FC236}">
              <a16:creationId xmlns:a16="http://schemas.microsoft.com/office/drawing/2014/main" id="{B1F5BD9D-26A2-4E0B-AA0B-EB74DC30D470}"/>
            </a:ext>
          </a:extLst>
        </xdr:cNvPr>
        <xdr:cNvSpPr txBox="1">
          <a:spLocks noChangeArrowheads="1"/>
        </xdr:cNvSpPr>
      </xdr:nvSpPr>
      <xdr:spPr bwMode="auto">
        <a:xfrm>
          <a:off x="3867150" y="16678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81</xdr:row>
      <xdr:rowOff>114407</xdr:rowOff>
    </xdr:from>
    <xdr:to>
      <xdr:col>5</xdr:col>
      <xdr:colOff>628650</xdr:colOff>
      <xdr:row>85</xdr:row>
      <xdr:rowOff>146157</xdr:rowOff>
    </xdr:to>
    <xdr:sp macro="" textlink="">
      <xdr:nvSpPr>
        <xdr:cNvPr id="300082" name="Text Box 50" hidden="1">
          <a:extLst>
            <a:ext uri="{FF2B5EF4-FFF2-40B4-BE49-F238E27FC236}">
              <a16:creationId xmlns:a16="http://schemas.microsoft.com/office/drawing/2014/main" id="{05B30AE9-70BE-4C80-8CA8-12B27F590741}"/>
            </a:ext>
          </a:extLst>
        </xdr:cNvPr>
        <xdr:cNvSpPr txBox="1">
          <a:spLocks noChangeArrowheads="1"/>
        </xdr:cNvSpPr>
      </xdr:nvSpPr>
      <xdr:spPr bwMode="auto">
        <a:xfrm>
          <a:off x="3867150" y="17249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80</xdr:row>
      <xdr:rowOff>139808</xdr:rowOff>
    </xdr:from>
    <xdr:to>
      <xdr:col>5</xdr:col>
      <xdr:colOff>628650</xdr:colOff>
      <xdr:row>84</xdr:row>
      <xdr:rowOff>146157</xdr:rowOff>
    </xdr:to>
    <xdr:sp macro="" textlink="">
      <xdr:nvSpPr>
        <xdr:cNvPr id="300081" name="Text Box 49" hidden="1">
          <a:extLst>
            <a:ext uri="{FF2B5EF4-FFF2-40B4-BE49-F238E27FC236}">
              <a16:creationId xmlns:a16="http://schemas.microsoft.com/office/drawing/2014/main" id="{BAA25053-C368-48D2-9FF8-AE7FD46870FE}"/>
            </a:ext>
          </a:extLst>
        </xdr:cNvPr>
        <xdr:cNvSpPr txBox="1">
          <a:spLocks noChangeArrowheads="1"/>
        </xdr:cNvSpPr>
      </xdr:nvSpPr>
      <xdr:spPr bwMode="auto">
        <a:xfrm>
          <a:off x="3867150" y="17059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83</xdr:row>
      <xdr:rowOff>89007</xdr:rowOff>
    </xdr:from>
    <xdr:to>
      <xdr:col>5</xdr:col>
      <xdr:colOff>628650</xdr:colOff>
      <xdr:row>87</xdr:row>
      <xdr:rowOff>146157</xdr:rowOff>
    </xdr:to>
    <xdr:sp macro="" textlink="">
      <xdr:nvSpPr>
        <xdr:cNvPr id="300080" name="Text Box 48" hidden="1">
          <a:extLst>
            <a:ext uri="{FF2B5EF4-FFF2-40B4-BE49-F238E27FC236}">
              <a16:creationId xmlns:a16="http://schemas.microsoft.com/office/drawing/2014/main" id="{8B9B018E-4265-4FE4-A002-161666D26455}"/>
            </a:ext>
          </a:extLst>
        </xdr:cNvPr>
        <xdr:cNvSpPr txBox="1">
          <a:spLocks noChangeArrowheads="1"/>
        </xdr:cNvSpPr>
      </xdr:nvSpPr>
      <xdr:spPr bwMode="auto">
        <a:xfrm>
          <a:off x="3867150" y="17630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82</xdr:row>
      <xdr:rowOff>89007</xdr:rowOff>
    </xdr:from>
    <xdr:to>
      <xdr:col>5</xdr:col>
      <xdr:colOff>628650</xdr:colOff>
      <xdr:row>86</xdr:row>
      <xdr:rowOff>146157</xdr:rowOff>
    </xdr:to>
    <xdr:sp macro="" textlink="">
      <xdr:nvSpPr>
        <xdr:cNvPr id="300079" name="Text Box 47" hidden="1">
          <a:extLst>
            <a:ext uri="{FF2B5EF4-FFF2-40B4-BE49-F238E27FC236}">
              <a16:creationId xmlns:a16="http://schemas.microsoft.com/office/drawing/2014/main" id="{D1C2A618-EB2D-4D38-B3ED-BAE72003FF25}"/>
            </a:ext>
          </a:extLst>
        </xdr:cNvPr>
        <xdr:cNvSpPr txBox="1">
          <a:spLocks noChangeArrowheads="1"/>
        </xdr:cNvSpPr>
      </xdr:nvSpPr>
      <xdr:spPr bwMode="auto">
        <a:xfrm>
          <a:off x="3867150" y="17440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85</xdr:row>
      <xdr:rowOff>89007</xdr:rowOff>
    </xdr:from>
    <xdr:to>
      <xdr:col>5</xdr:col>
      <xdr:colOff>628650</xdr:colOff>
      <xdr:row>89</xdr:row>
      <xdr:rowOff>111232</xdr:rowOff>
    </xdr:to>
    <xdr:sp macro="" textlink="">
      <xdr:nvSpPr>
        <xdr:cNvPr id="300078" name="Text Box 46" hidden="1">
          <a:extLst>
            <a:ext uri="{FF2B5EF4-FFF2-40B4-BE49-F238E27FC236}">
              <a16:creationId xmlns:a16="http://schemas.microsoft.com/office/drawing/2014/main" id="{7EC4670D-1BFC-4431-A51C-BFAB6608E617}"/>
            </a:ext>
          </a:extLst>
        </xdr:cNvPr>
        <xdr:cNvSpPr txBox="1">
          <a:spLocks noChangeArrowheads="1"/>
        </xdr:cNvSpPr>
      </xdr:nvSpPr>
      <xdr:spPr bwMode="auto">
        <a:xfrm>
          <a:off x="3867150" y="18011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84</xdr:row>
      <xdr:rowOff>89007</xdr:rowOff>
    </xdr:from>
    <xdr:to>
      <xdr:col>5</xdr:col>
      <xdr:colOff>628650</xdr:colOff>
      <xdr:row>88</xdr:row>
      <xdr:rowOff>146157</xdr:rowOff>
    </xdr:to>
    <xdr:sp macro="" textlink="">
      <xdr:nvSpPr>
        <xdr:cNvPr id="300077" name="Text Box 45" hidden="1">
          <a:extLst>
            <a:ext uri="{FF2B5EF4-FFF2-40B4-BE49-F238E27FC236}">
              <a16:creationId xmlns:a16="http://schemas.microsoft.com/office/drawing/2014/main" id="{35E81BB0-F6C1-4A1D-9544-853FFFE20FCA}"/>
            </a:ext>
          </a:extLst>
        </xdr:cNvPr>
        <xdr:cNvSpPr txBox="1">
          <a:spLocks noChangeArrowheads="1"/>
        </xdr:cNvSpPr>
      </xdr:nvSpPr>
      <xdr:spPr bwMode="auto">
        <a:xfrm>
          <a:off x="3867150" y="17821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107</xdr:row>
      <xdr:rowOff>154290</xdr:rowOff>
    </xdr:from>
    <xdr:to>
      <xdr:col>5</xdr:col>
      <xdr:colOff>628650</xdr:colOff>
      <xdr:row>112</xdr:row>
      <xdr:rowOff>20798</xdr:rowOff>
    </xdr:to>
    <xdr:sp macro="" textlink="">
      <xdr:nvSpPr>
        <xdr:cNvPr id="300076" name="Text Box 44" hidden="1">
          <a:extLst>
            <a:ext uri="{FF2B5EF4-FFF2-40B4-BE49-F238E27FC236}">
              <a16:creationId xmlns:a16="http://schemas.microsoft.com/office/drawing/2014/main" id="{7D96E04B-DB01-4037-96D6-8077271B4026}"/>
            </a:ext>
          </a:extLst>
        </xdr:cNvPr>
        <xdr:cNvSpPr txBox="1">
          <a:spLocks noChangeArrowheads="1"/>
        </xdr:cNvSpPr>
      </xdr:nvSpPr>
      <xdr:spPr bwMode="auto">
        <a:xfrm>
          <a:off x="3867150" y="224123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106</xdr:row>
      <xdr:rowOff>154292</xdr:rowOff>
    </xdr:from>
    <xdr:to>
      <xdr:col>5</xdr:col>
      <xdr:colOff>628650</xdr:colOff>
      <xdr:row>111</xdr:row>
      <xdr:rowOff>20798</xdr:rowOff>
    </xdr:to>
    <xdr:sp macro="" textlink="">
      <xdr:nvSpPr>
        <xdr:cNvPr id="300075" name="Text Box 43" hidden="1">
          <a:extLst>
            <a:ext uri="{FF2B5EF4-FFF2-40B4-BE49-F238E27FC236}">
              <a16:creationId xmlns:a16="http://schemas.microsoft.com/office/drawing/2014/main" id="{D700D34C-E1AE-4FD4-A31D-3986A9277779}"/>
            </a:ext>
          </a:extLst>
        </xdr:cNvPr>
        <xdr:cNvSpPr txBox="1">
          <a:spLocks noChangeArrowheads="1"/>
        </xdr:cNvSpPr>
      </xdr:nvSpPr>
      <xdr:spPr bwMode="auto">
        <a:xfrm>
          <a:off x="3867150" y="222218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109</xdr:row>
      <xdr:rowOff>155324</xdr:rowOff>
    </xdr:from>
    <xdr:to>
      <xdr:col>5</xdr:col>
      <xdr:colOff>628650</xdr:colOff>
      <xdr:row>113</xdr:row>
      <xdr:rowOff>198598</xdr:rowOff>
    </xdr:to>
    <xdr:sp macro="" textlink="">
      <xdr:nvSpPr>
        <xdr:cNvPr id="300074" name="Text Box 42" hidden="1">
          <a:extLst>
            <a:ext uri="{FF2B5EF4-FFF2-40B4-BE49-F238E27FC236}">
              <a16:creationId xmlns:a16="http://schemas.microsoft.com/office/drawing/2014/main" id="{C26BD84E-3B54-4DAA-B28E-88C530CBA82B}"/>
            </a:ext>
          </a:extLst>
        </xdr:cNvPr>
        <xdr:cNvSpPr txBox="1">
          <a:spLocks noChangeArrowheads="1"/>
        </xdr:cNvSpPr>
      </xdr:nvSpPr>
      <xdr:spPr bwMode="auto">
        <a:xfrm>
          <a:off x="3867150" y="227933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108</xdr:row>
      <xdr:rowOff>154291</xdr:rowOff>
    </xdr:from>
    <xdr:to>
      <xdr:col>5</xdr:col>
      <xdr:colOff>628650</xdr:colOff>
      <xdr:row>113</xdr:row>
      <xdr:rowOff>20798</xdr:rowOff>
    </xdr:to>
    <xdr:sp macro="" textlink="">
      <xdr:nvSpPr>
        <xdr:cNvPr id="300073" name="Text Box 41" hidden="1">
          <a:extLst>
            <a:ext uri="{FF2B5EF4-FFF2-40B4-BE49-F238E27FC236}">
              <a16:creationId xmlns:a16="http://schemas.microsoft.com/office/drawing/2014/main" id="{F3A64A61-EBC3-44CF-819C-CF1C7B9758A7}"/>
            </a:ext>
          </a:extLst>
        </xdr:cNvPr>
        <xdr:cNvSpPr txBox="1">
          <a:spLocks noChangeArrowheads="1"/>
        </xdr:cNvSpPr>
      </xdr:nvSpPr>
      <xdr:spPr bwMode="auto">
        <a:xfrm>
          <a:off x="3867150" y="226028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111</xdr:row>
      <xdr:rowOff>154291</xdr:rowOff>
    </xdr:from>
    <xdr:to>
      <xdr:col>5</xdr:col>
      <xdr:colOff>628650</xdr:colOff>
      <xdr:row>115</xdr:row>
      <xdr:rowOff>41382</xdr:rowOff>
    </xdr:to>
    <xdr:sp macro="" textlink="">
      <xdr:nvSpPr>
        <xdr:cNvPr id="300072" name="Text Box 40" hidden="1">
          <a:extLst>
            <a:ext uri="{FF2B5EF4-FFF2-40B4-BE49-F238E27FC236}">
              <a16:creationId xmlns:a16="http://schemas.microsoft.com/office/drawing/2014/main" id="{7F0A336A-E3A5-4E5D-B44C-0C7BC86D4CF1}"/>
            </a:ext>
          </a:extLst>
        </xdr:cNvPr>
        <xdr:cNvSpPr txBox="1">
          <a:spLocks noChangeArrowheads="1"/>
        </xdr:cNvSpPr>
      </xdr:nvSpPr>
      <xdr:spPr bwMode="auto">
        <a:xfrm>
          <a:off x="3867150" y="23174325"/>
          <a:ext cx="127635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110</xdr:row>
      <xdr:rowOff>154291</xdr:rowOff>
    </xdr:from>
    <xdr:to>
      <xdr:col>5</xdr:col>
      <xdr:colOff>628650</xdr:colOff>
      <xdr:row>114</xdr:row>
      <xdr:rowOff>101707</xdr:rowOff>
    </xdr:to>
    <xdr:sp macro="" textlink="">
      <xdr:nvSpPr>
        <xdr:cNvPr id="300071" name="Text Box 39" hidden="1">
          <a:extLst>
            <a:ext uri="{FF2B5EF4-FFF2-40B4-BE49-F238E27FC236}">
              <a16:creationId xmlns:a16="http://schemas.microsoft.com/office/drawing/2014/main" id="{E329A78D-9921-4D56-8AEE-1C11BB64FCD5}"/>
            </a:ext>
          </a:extLst>
        </xdr:cNvPr>
        <xdr:cNvSpPr txBox="1">
          <a:spLocks noChangeArrowheads="1"/>
        </xdr:cNvSpPr>
      </xdr:nvSpPr>
      <xdr:spPr bwMode="auto">
        <a:xfrm>
          <a:off x="3867150" y="22983825"/>
          <a:ext cx="127635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113</xdr:row>
      <xdr:rowOff>154291</xdr:rowOff>
    </xdr:from>
    <xdr:to>
      <xdr:col>5</xdr:col>
      <xdr:colOff>628650</xdr:colOff>
      <xdr:row>116</xdr:row>
      <xdr:rowOff>155219</xdr:rowOff>
    </xdr:to>
    <xdr:sp macro="" textlink="">
      <xdr:nvSpPr>
        <xdr:cNvPr id="300070" name="Text Box 38" hidden="1">
          <a:extLst>
            <a:ext uri="{FF2B5EF4-FFF2-40B4-BE49-F238E27FC236}">
              <a16:creationId xmlns:a16="http://schemas.microsoft.com/office/drawing/2014/main" id="{E19ABFDF-539F-4B94-B64B-2AF8B8215533}"/>
            </a:ext>
          </a:extLst>
        </xdr:cNvPr>
        <xdr:cNvSpPr txBox="1">
          <a:spLocks noChangeArrowheads="1"/>
        </xdr:cNvSpPr>
      </xdr:nvSpPr>
      <xdr:spPr bwMode="auto">
        <a:xfrm>
          <a:off x="3867150" y="2355532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112</xdr:row>
      <xdr:rowOff>154290</xdr:rowOff>
    </xdr:from>
    <xdr:to>
      <xdr:col>5</xdr:col>
      <xdr:colOff>628650</xdr:colOff>
      <xdr:row>115</xdr:row>
      <xdr:rowOff>218718</xdr:rowOff>
    </xdr:to>
    <xdr:sp macro="" textlink="">
      <xdr:nvSpPr>
        <xdr:cNvPr id="300069" name="Text Box 37" hidden="1">
          <a:extLst>
            <a:ext uri="{FF2B5EF4-FFF2-40B4-BE49-F238E27FC236}">
              <a16:creationId xmlns:a16="http://schemas.microsoft.com/office/drawing/2014/main" id="{52BB9A55-0A6C-4E74-9757-EEDC0230A7A5}"/>
            </a:ext>
          </a:extLst>
        </xdr:cNvPr>
        <xdr:cNvSpPr txBox="1">
          <a:spLocks noChangeArrowheads="1"/>
        </xdr:cNvSpPr>
      </xdr:nvSpPr>
      <xdr:spPr bwMode="auto">
        <a:xfrm>
          <a:off x="3867150" y="2336482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300140" name="Text Box 108" hidden="1">
          <a:extLst>
            <a:ext uri="{FF2B5EF4-FFF2-40B4-BE49-F238E27FC236}">
              <a16:creationId xmlns:a16="http://schemas.microsoft.com/office/drawing/2014/main" id="{38C66A34-27C0-4A31-8D76-E77852569DE6}"/>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47625</xdr:rowOff>
    </xdr:from>
    <xdr:to>
      <xdr:col>5</xdr:col>
      <xdr:colOff>609600</xdr:colOff>
      <xdr:row>223</xdr:row>
      <xdr:rowOff>57150</xdr:rowOff>
    </xdr:to>
    <xdr:sp macro="" textlink="">
      <xdr:nvSpPr>
        <xdr:cNvPr id="300139" name="Text Box 107" hidden="1">
          <a:extLst>
            <a:ext uri="{FF2B5EF4-FFF2-40B4-BE49-F238E27FC236}">
              <a16:creationId xmlns:a16="http://schemas.microsoft.com/office/drawing/2014/main" id="{58C4CAB6-6814-4CEC-AF54-AB1374CD57F5}"/>
            </a:ext>
          </a:extLst>
        </xdr:cNvPr>
        <xdr:cNvSpPr txBox="1">
          <a:spLocks noChangeArrowheads="1"/>
        </xdr:cNvSpPr>
      </xdr:nvSpPr>
      <xdr:spPr bwMode="auto">
        <a:xfrm>
          <a:off x="3994150" y="40144700"/>
          <a:ext cx="1314450" cy="4248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202</xdr:row>
      <xdr:rowOff>28575</xdr:rowOff>
    </xdr:from>
    <xdr:to>
      <xdr:col>5</xdr:col>
      <xdr:colOff>609600</xdr:colOff>
      <xdr:row>222</xdr:row>
      <xdr:rowOff>161925</xdr:rowOff>
    </xdr:to>
    <xdr:sp macro="" textlink="">
      <xdr:nvSpPr>
        <xdr:cNvPr id="300138" name="Text Box 106" hidden="1">
          <a:extLst>
            <a:ext uri="{FF2B5EF4-FFF2-40B4-BE49-F238E27FC236}">
              <a16:creationId xmlns:a16="http://schemas.microsoft.com/office/drawing/2014/main" id="{E896DD59-C8D7-4845-8240-56424F69F7B4}"/>
            </a:ext>
          </a:extLst>
        </xdr:cNvPr>
        <xdr:cNvSpPr txBox="1">
          <a:spLocks noChangeArrowheads="1"/>
        </xdr:cNvSpPr>
      </xdr:nvSpPr>
      <xdr:spPr bwMode="auto">
        <a:xfrm>
          <a:off x="3994150" y="40493950"/>
          <a:ext cx="1314450" cy="3816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205</xdr:row>
      <xdr:rowOff>1178</xdr:rowOff>
    </xdr:from>
    <xdr:to>
      <xdr:col>5</xdr:col>
      <xdr:colOff>609600</xdr:colOff>
      <xdr:row>224</xdr:row>
      <xdr:rowOff>57150</xdr:rowOff>
    </xdr:to>
    <xdr:sp macro="" textlink="">
      <xdr:nvSpPr>
        <xdr:cNvPr id="300137" name="Text Box 105" hidden="1">
          <a:extLst>
            <a:ext uri="{FF2B5EF4-FFF2-40B4-BE49-F238E27FC236}">
              <a16:creationId xmlns:a16="http://schemas.microsoft.com/office/drawing/2014/main" id="{075BBCD3-9147-4A20-AB44-F9DD873505D8}"/>
            </a:ext>
          </a:extLst>
        </xdr:cNvPr>
        <xdr:cNvSpPr txBox="1">
          <a:spLocks noChangeArrowheads="1"/>
        </xdr:cNvSpPr>
      </xdr:nvSpPr>
      <xdr:spPr bwMode="auto">
        <a:xfrm>
          <a:off x="3994150" y="41014650"/>
          <a:ext cx="1314450" cy="3562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206</xdr:row>
      <xdr:rowOff>1177</xdr:rowOff>
    </xdr:from>
    <xdr:to>
      <xdr:col>5</xdr:col>
      <xdr:colOff>609600</xdr:colOff>
      <xdr:row>211</xdr:row>
      <xdr:rowOff>171450</xdr:rowOff>
    </xdr:to>
    <xdr:sp macro="" textlink="">
      <xdr:nvSpPr>
        <xdr:cNvPr id="300136" name="Text Box 104" hidden="1">
          <a:extLst>
            <a:ext uri="{FF2B5EF4-FFF2-40B4-BE49-F238E27FC236}">
              <a16:creationId xmlns:a16="http://schemas.microsoft.com/office/drawing/2014/main" id="{623427C2-CB9E-4A06-8BD5-85B943819154}"/>
            </a:ext>
          </a:extLst>
        </xdr:cNvPr>
        <xdr:cNvSpPr txBox="1">
          <a:spLocks noChangeArrowheads="1"/>
        </xdr:cNvSpPr>
      </xdr:nvSpPr>
      <xdr:spPr bwMode="auto">
        <a:xfrm>
          <a:off x="3994150" y="41198800"/>
          <a:ext cx="1314450" cy="1098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184</xdr:row>
      <xdr:rowOff>142875</xdr:rowOff>
    </xdr:from>
    <xdr:to>
      <xdr:col>5</xdr:col>
      <xdr:colOff>609600</xdr:colOff>
      <xdr:row>188</xdr:row>
      <xdr:rowOff>161925</xdr:rowOff>
    </xdr:to>
    <xdr:sp macro="" textlink="">
      <xdr:nvSpPr>
        <xdr:cNvPr id="300135" name="Text Box 103" hidden="1">
          <a:extLst>
            <a:ext uri="{FF2B5EF4-FFF2-40B4-BE49-F238E27FC236}">
              <a16:creationId xmlns:a16="http://schemas.microsoft.com/office/drawing/2014/main" id="{49F7F916-DCC8-43CB-8DD7-EC00D96056C1}"/>
            </a:ext>
          </a:extLst>
        </xdr:cNvPr>
        <xdr:cNvSpPr txBox="1">
          <a:spLocks noChangeArrowheads="1"/>
        </xdr:cNvSpPr>
      </xdr:nvSpPr>
      <xdr:spPr bwMode="auto">
        <a:xfrm>
          <a:off x="3994150" y="36925250"/>
          <a:ext cx="1314450" cy="1123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185</xdr:row>
      <xdr:rowOff>178978</xdr:rowOff>
    </xdr:from>
    <xdr:to>
      <xdr:col>5</xdr:col>
      <xdr:colOff>609600</xdr:colOff>
      <xdr:row>190</xdr:row>
      <xdr:rowOff>0</xdr:rowOff>
    </xdr:to>
    <xdr:sp macro="" textlink="">
      <xdr:nvSpPr>
        <xdr:cNvPr id="300134" name="Text Box 102" hidden="1">
          <a:extLst>
            <a:ext uri="{FF2B5EF4-FFF2-40B4-BE49-F238E27FC236}">
              <a16:creationId xmlns:a16="http://schemas.microsoft.com/office/drawing/2014/main" id="{A9B4626F-2285-46E4-A5EB-8D13E1093BA9}"/>
            </a:ext>
          </a:extLst>
        </xdr:cNvPr>
        <xdr:cNvSpPr txBox="1">
          <a:spLocks noChangeArrowheads="1"/>
        </xdr:cNvSpPr>
      </xdr:nvSpPr>
      <xdr:spPr bwMode="auto">
        <a:xfrm>
          <a:off x="3994150" y="37331650"/>
          <a:ext cx="1314450" cy="927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187</xdr:row>
      <xdr:rowOff>1177</xdr:rowOff>
    </xdr:from>
    <xdr:to>
      <xdr:col>5</xdr:col>
      <xdr:colOff>609600</xdr:colOff>
      <xdr:row>191</xdr:row>
      <xdr:rowOff>57150</xdr:rowOff>
    </xdr:to>
    <xdr:sp macro="" textlink="">
      <xdr:nvSpPr>
        <xdr:cNvPr id="300133" name="Text Box 101" hidden="1">
          <a:extLst>
            <a:ext uri="{FF2B5EF4-FFF2-40B4-BE49-F238E27FC236}">
              <a16:creationId xmlns:a16="http://schemas.microsoft.com/office/drawing/2014/main" id="{DC437AB9-8ABF-4A32-8580-8CC4B062683A}"/>
            </a:ext>
          </a:extLst>
        </xdr:cNvPr>
        <xdr:cNvSpPr txBox="1">
          <a:spLocks noChangeArrowheads="1"/>
        </xdr:cNvSpPr>
      </xdr:nvSpPr>
      <xdr:spPr bwMode="auto">
        <a:xfrm>
          <a:off x="3994150" y="37699950"/>
          <a:ext cx="13144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189</xdr:row>
      <xdr:rowOff>1178</xdr:rowOff>
    </xdr:from>
    <xdr:to>
      <xdr:col>5</xdr:col>
      <xdr:colOff>609600</xdr:colOff>
      <xdr:row>198</xdr:row>
      <xdr:rowOff>19050</xdr:rowOff>
    </xdr:to>
    <xdr:sp macro="" textlink="">
      <xdr:nvSpPr>
        <xdr:cNvPr id="300132" name="Text Box 100" hidden="1">
          <a:extLst>
            <a:ext uri="{FF2B5EF4-FFF2-40B4-BE49-F238E27FC236}">
              <a16:creationId xmlns:a16="http://schemas.microsoft.com/office/drawing/2014/main" id="{8FDFF0FB-C8E7-48A0-B16F-BFC915DF4B6F}"/>
            </a:ext>
          </a:extLst>
        </xdr:cNvPr>
        <xdr:cNvSpPr txBox="1">
          <a:spLocks noChangeArrowheads="1"/>
        </xdr:cNvSpPr>
      </xdr:nvSpPr>
      <xdr:spPr bwMode="auto">
        <a:xfrm>
          <a:off x="3994150" y="38068250"/>
          <a:ext cx="1314450" cy="1682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152400</xdr:rowOff>
    </xdr:to>
    <xdr:sp macro="" textlink="">
      <xdr:nvSpPr>
        <xdr:cNvPr id="300131" name="Text Box 99" hidden="1">
          <a:extLst>
            <a:ext uri="{FF2B5EF4-FFF2-40B4-BE49-F238E27FC236}">
              <a16:creationId xmlns:a16="http://schemas.microsoft.com/office/drawing/2014/main" id="{49165951-EDCA-4682-97B8-5C9FB5B4A1E8}"/>
            </a:ext>
          </a:extLst>
        </xdr:cNvPr>
        <xdr:cNvSpPr txBox="1">
          <a:spLocks noChangeArrowheads="1"/>
        </xdr:cNvSpPr>
      </xdr:nvSpPr>
      <xdr:spPr bwMode="auto">
        <a:xfrm>
          <a:off x="3994150" y="2654300"/>
          <a:ext cx="13144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51</xdr:row>
      <xdr:rowOff>112159</xdr:rowOff>
    </xdr:from>
    <xdr:to>
      <xdr:col>5</xdr:col>
      <xdr:colOff>628650</xdr:colOff>
      <xdr:row>56</xdr:row>
      <xdr:rowOff>21405</xdr:rowOff>
    </xdr:to>
    <xdr:sp macro="" textlink="">
      <xdr:nvSpPr>
        <xdr:cNvPr id="300130" name="Text Box 98" hidden="1">
          <a:extLst>
            <a:ext uri="{FF2B5EF4-FFF2-40B4-BE49-F238E27FC236}">
              <a16:creationId xmlns:a16="http://schemas.microsoft.com/office/drawing/2014/main" id="{02882E38-BC26-4930-9755-E23E5684D1FF}"/>
            </a:ext>
          </a:extLst>
        </xdr:cNvPr>
        <xdr:cNvSpPr txBox="1">
          <a:spLocks noChangeArrowheads="1"/>
        </xdr:cNvSpPr>
      </xdr:nvSpPr>
      <xdr:spPr bwMode="auto">
        <a:xfrm>
          <a:off x="4013200" y="107315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52</xdr:row>
      <xdr:rowOff>154540</xdr:rowOff>
    </xdr:from>
    <xdr:to>
      <xdr:col>5</xdr:col>
      <xdr:colOff>628650</xdr:colOff>
      <xdr:row>57</xdr:row>
      <xdr:rowOff>53975</xdr:rowOff>
    </xdr:to>
    <xdr:sp macro="" textlink="">
      <xdr:nvSpPr>
        <xdr:cNvPr id="300128" name="Text Box 96" hidden="1">
          <a:extLst>
            <a:ext uri="{FF2B5EF4-FFF2-40B4-BE49-F238E27FC236}">
              <a16:creationId xmlns:a16="http://schemas.microsoft.com/office/drawing/2014/main" id="{0135D526-0EFD-4B5F-9141-4FCE9BB65587}"/>
            </a:ext>
          </a:extLst>
        </xdr:cNvPr>
        <xdr:cNvSpPr txBox="1">
          <a:spLocks noChangeArrowheads="1"/>
        </xdr:cNvSpPr>
      </xdr:nvSpPr>
      <xdr:spPr bwMode="auto">
        <a:xfrm>
          <a:off x="4013200" y="1096645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56</xdr:row>
      <xdr:rowOff>21405</xdr:rowOff>
    </xdr:from>
    <xdr:to>
      <xdr:col>5</xdr:col>
      <xdr:colOff>628650</xdr:colOff>
      <xdr:row>60</xdr:row>
      <xdr:rowOff>59505</xdr:rowOff>
    </xdr:to>
    <xdr:sp macro="" textlink="">
      <xdr:nvSpPr>
        <xdr:cNvPr id="300126" name="Text Box 94" hidden="1">
          <a:extLst>
            <a:ext uri="{FF2B5EF4-FFF2-40B4-BE49-F238E27FC236}">
              <a16:creationId xmlns:a16="http://schemas.microsoft.com/office/drawing/2014/main" id="{3176FBF5-BA1E-491B-AA18-15963A4667E3}"/>
            </a:ext>
          </a:extLst>
        </xdr:cNvPr>
        <xdr:cNvSpPr txBox="1">
          <a:spLocks noChangeArrowheads="1"/>
        </xdr:cNvSpPr>
      </xdr:nvSpPr>
      <xdr:spPr bwMode="auto">
        <a:xfrm>
          <a:off x="4013200" y="1152525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57</xdr:row>
      <xdr:rowOff>63500</xdr:rowOff>
    </xdr:from>
    <xdr:to>
      <xdr:col>5</xdr:col>
      <xdr:colOff>628650</xdr:colOff>
      <xdr:row>61</xdr:row>
      <xdr:rowOff>84905</xdr:rowOff>
    </xdr:to>
    <xdr:sp macro="" textlink="">
      <xdr:nvSpPr>
        <xdr:cNvPr id="300124" name="Text Box 92" hidden="1">
          <a:extLst>
            <a:ext uri="{FF2B5EF4-FFF2-40B4-BE49-F238E27FC236}">
              <a16:creationId xmlns:a16="http://schemas.microsoft.com/office/drawing/2014/main" id="{A674E3A3-A515-4319-A233-75052BF29969}"/>
            </a:ext>
          </a:extLst>
        </xdr:cNvPr>
        <xdr:cNvSpPr txBox="1">
          <a:spLocks noChangeArrowheads="1"/>
        </xdr:cNvSpPr>
      </xdr:nvSpPr>
      <xdr:spPr bwMode="auto">
        <a:xfrm>
          <a:off x="4013200" y="11747500"/>
          <a:ext cx="13144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58</xdr:row>
      <xdr:rowOff>63500</xdr:rowOff>
    </xdr:from>
    <xdr:to>
      <xdr:col>5</xdr:col>
      <xdr:colOff>628650</xdr:colOff>
      <xdr:row>62</xdr:row>
      <xdr:rowOff>82550</xdr:rowOff>
    </xdr:to>
    <xdr:sp macro="" textlink="">
      <xdr:nvSpPr>
        <xdr:cNvPr id="300122" name="Text Box 90" hidden="1">
          <a:extLst>
            <a:ext uri="{FF2B5EF4-FFF2-40B4-BE49-F238E27FC236}">
              <a16:creationId xmlns:a16="http://schemas.microsoft.com/office/drawing/2014/main" id="{0B346EC8-B51C-4398-A01F-7C6E455460A9}"/>
            </a:ext>
          </a:extLst>
        </xdr:cNvPr>
        <xdr:cNvSpPr txBox="1">
          <a:spLocks noChangeArrowheads="1"/>
        </xdr:cNvSpPr>
      </xdr:nvSpPr>
      <xdr:spPr bwMode="auto">
        <a:xfrm>
          <a:off x="4013200" y="11931650"/>
          <a:ext cx="13144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75</xdr:row>
      <xdr:rowOff>44450</xdr:rowOff>
    </xdr:from>
    <xdr:to>
      <xdr:col>5</xdr:col>
      <xdr:colOff>628650</xdr:colOff>
      <xdr:row>78</xdr:row>
      <xdr:rowOff>38100</xdr:rowOff>
    </xdr:to>
    <xdr:sp macro="" textlink="">
      <xdr:nvSpPr>
        <xdr:cNvPr id="300120" name="Text Box 88" hidden="1">
          <a:extLst>
            <a:ext uri="{FF2B5EF4-FFF2-40B4-BE49-F238E27FC236}">
              <a16:creationId xmlns:a16="http://schemas.microsoft.com/office/drawing/2014/main" id="{945468BA-A230-4E8C-961D-FF4A2B658026}"/>
            </a:ext>
          </a:extLst>
        </xdr:cNvPr>
        <xdr:cNvSpPr txBox="1">
          <a:spLocks noChangeArrowheads="1"/>
        </xdr:cNvSpPr>
      </xdr:nvSpPr>
      <xdr:spPr bwMode="auto">
        <a:xfrm>
          <a:off x="4013200" y="1560195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75</xdr:row>
      <xdr:rowOff>222250</xdr:rowOff>
    </xdr:from>
    <xdr:to>
      <xdr:col>5</xdr:col>
      <xdr:colOff>628650</xdr:colOff>
      <xdr:row>79</xdr:row>
      <xdr:rowOff>38100</xdr:rowOff>
    </xdr:to>
    <xdr:sp macro="" textlink="">
      <xdr:nvSpPr>
        <xdr:cNvPr id="300118" name="Text Box 86" hidden="1">
          <a:extLst>
            <a:ext uri="{FF2B5EF4-FFF2-40B4-BE49-F238E27FC236}">
              <a16:creationId xmlns:a16="http://schemas.microsoft.com/office/drawing/2014/main" id="{5C597347-32B1-4AC8-848F-3A45124595FD}"/>
            </a:ext>
          </a:extLst>
        </xdr:cNvPr>
        <xdr:cNvSpPr txBox="1">
          <a:spLocks noChangeArrowheads="1"/>
        </xdr:cNvSpPr>
      </xdr:nvSpPr>
      <xdr:spPr bwMode="auto">
        <a:xfrm>
          <a:off x="4013200" y="157861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76</xdr:row>
      <xdr:rowOff>6350</xdr:rowOff>
    </xdr:from>
    <xdr:to>
      <xdr:col>5</xdr:col>
      <xdr:colOff>628650</xdr:colOff>
      <xdr:row>80</xdr:row>
      <xdr:rowOff>12700</xdr:rowOff>
    </xdr:to>
    <xdr:sp macro="" textlink="">
      <xdr:nvSpPr>
        <xdr:cNvPr id="300116" name="Text Box 84" hidden="1">
          <a:extLst>
            <a:ext uri="{FF2B5EF4-FFF2-40B4-BE49-F238E27FC236}">
              <a16:creationId xmlns:a16="http://schemas.microsoft.com/office/drawing/2014/main" id="{FDE75D3B-80B5-4902-93B2-199A545F8258}"/>
            </a:ext>
          </a:extLst>
        </xdr:cNvPr>
        <xdr:cNvSpPr txBox="1">
          <a:spLocks noChangeArrowheads="1"/>
        </xdr:cNvSpPr>
      </xdr:nvSpPr>
      <xdr:spPr bwMode="auto">
        <a:xfrm>
          <a:off x="4013200" y="1597025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76</xdr:row>
      <xdr:rowOff>184150</xdr:rowOff>
    </xdr:from>
    <xdr:to>
      <xdr:col>5</xdr:col>
      <xdr:colOff>628650</xdr:colOff>
      <xdr:row>80</xdr:row>
      <xdr:rowOff>190500</xdr:rowOff>
    </xdr:to>
    <xdr:sp macro="" textlink="">
      <xdr:nvSpPr>
        <xdr:cNvPr id="300114" name="Text Box 82" hidden="1">
          <a:extLst>
            <a:ext uri="{FF2B5EF4-FFF2-40B4-BE49-F238E27FC236}">
              <a16:creationId xmlns:a16="http://schemas.microsoft.com/office/drawing/2014/main" id="{03440DA4-955E-48A0-B3A2-3A69ACF75FE8}"/>
            </a:ext>
          </a:extLst>
        </xdr:cNvPr>
        <xdr:cNvSpPr txBox="1">
          <a:spLocks noChangeArrowheads="1"/>
        </xdr:cNvSpPr>
      </xdr:nvSpPr>
      <xdr:spPr bwMode="auto">
        <a:xfrm>
          <a:off x="4013200" y="161544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97</xdr:row>
      <xdr:rowOff>107950</xdr:rowOff>
    </xdr:from>
    <xdr:to>
      <xdr:col>5</xdr:col>
      <xdr:colOff>628650</xdr:colOff>
      <xdr:row>101</xdr:row>
      <xdr:rowOff>165100</xdr:rowOff>
    </xdr:to>
    <xdr:sp macro="" textlink="">
      <xdr:nvSpPr>
        <xdr:cNvPr id="300112" name="Text Box 80" hidden="1">
          <a:extLst>
            <a:ext uri="{FF2B5EF4-FFF2-40B4-BE49-F238E27FC236}">
              <a16:creationId xmlns:a16="http://schemas.microsoft.com/office/drawing/2014/main" id="{5EF2C906-EFF7-4289-9335-C6BFE7FF7815}"/>
            </a:ext>
          </a:extLst>
        </xdr:cNvPr>
        <xdr:cNvSpPr txBox="1">
          <a:spLocks noChangeArrowheads="1"/>
        </xdr:cNvSpPr>
      </xdr:nvSpPr>
      <xdr:spPr bwMode="auto">
        <a:xfrm>
          <a:off x="4013200" y="202565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98</xdr:row>
      <xdr:rowOff>95250</xdr:rowOff>
    </xdr:from>
    <xdr:to>
      <xdr:col>5</xdr:col>
      <xdr:colOff>628650</xdr:colOff>
      <xdr:row>102</xdr:row>
      <xdr:rowOff>124859</xdr:rowOff>
    </xdr:to>
    <xdr:sp macro="" textlink="">
      <xdr:nvSpPr>
        <xdr:cNvPr id="300110" name="Text Box 78" hidden="1">
          <a:extLst>
            <a:ext uri="{FF2B5EF4-FFF2-40B4-BE49-F238E27FC236}">
              <a16:creationId xmlns:a16="http://schemas.microsoft.com/office/drawing/2014/main" id="{C3818618-EC4F-4BEA-886B-9EED6FA6E6C3}"/>
            </a:ext>
          </a:extLst>
        </xdr:cNvPr>
        <xdr:cNvSpPr txBox="1">
          <a:spLocks noChangeArrowheads="1"/>
        </xdr:cNvSpPr>
      </xdr:nvSpPr>
      <xdr:spPr bwMode="auto">
        <a:xfrm>
          <a:off x="4013200" y="20440650"/>
          <a:ext cx="13144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99</xdr:row>
      <xdr:rowOff>107950</xdr:rowOff>
    </xdr:from>
    <xdr:to>
      <xdr:col>5</xdr:col>
      <xdr:colOff>628650</xdr:colOff>
      <xdr:row>103</xdr:row>
      <xdr:rowOff>131709</xdr:rowOff>
    </xdr:to>
    <xdr:sp macro="" textlink="">
      <xdr:nvSpPr>
        <xdr:cNvPr id="300108" name="Text Box 76" hidden="1">
          <a:extLst>
            <a:ext uri="{FF2B5EF4-FFF2-40B4-BE49-F238E27FC236}">
              <a16:creationId xmlns:a16="http://schemas.microsoft.com/office/drawing/2014/main" id="{5B8FFE5B-CC86-4099-B7D8-9A9701999521}"/>
            </a:ext>
          </a:extLst>
        </xdr:cNvPr>
        <xdr:cNvSpPr txBox="1">
          <a:spLocks noChangeArrowheads="1"/>
        </xdr:cNvSpPr>
      </xdr:nvSpPr>
      <xdr:spPr bwMode="auto">
        <a:xfrm>
          <a:off x="4013200" y="20624800"/>
          <a:ext cx="13144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99</xdr:row>
      <xdr:rowOff>91112</xdr:rowOff>
    </xdr:from>
    <xdr:to>
      <xdr:col>5</xdr:col>
      <xdr:colOff>628650</xdr:colOff>
      <xdr:row>103</xdr:row>
      <xdr:rowOff>168275</xdr:rowOff>
    </xdr:to>
    <xdr:sp macro="" textlink="">
      <xdr:nvSpPr>
        <xdr:cNvPr id="300106" name="Text Box 74" hidden="1">
          <a:extLst>
            <a:ext uri="{FF2B5EF4-FFF2-40B4-BE49-F238E27FC236}">
              <a16:creationId xmlns:a16="http://schemas.microsoft.com/office/drawing/2014/main" id="{4D9CB830-1705-4F66-829B-5206664B81B3}"/>
            </a:ext>
          </a:extLst>
        </xdr:cNvPr>
        <xdr:cNvSpPr txBox="1">
          <a:spLocks noChangeArrowheads="1"/>
        </xdr:cNvSpPr>
      </xdr:nvSpPr>
      <xdr:spPr bwMode="auto">
        <a:xfrm>
          <a:off x="4013200" y="2060575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300163" name="Text Box 131" hidden="1">
          <a:extLst>
            <a:ext uri="{FF2B5EF4-FFF2-40B4-BE49-F238E27FC236}">
              <a16:creationId xmlns:a16="http://schemas.microsoft.com/office/drawing/2014/main" id="{5FC51EFE-B5A7-49EF-9DA7-79E00A8B610D}"/>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38100</xdr:rowOff>
    </xdr:from>
    <xdr:to>
      <xdr:col>5</xdr:col>
      <xdr:colOff>609600</xdr:colOff>
      <xdr:row>223</xdr:row>
      <xdr:rowOff>38100</xdr:rowOff>
    </xdr:to>
    <xdr:sp macro="" textlink="">
      <xdr:nvSpPr>
        <xdr:cNvPr id="300162" name="Text Box 130" hidden="1">
          <a:extLst>
            <a:ext uri="{FF2B5EF4-FFF2-40B4-BE49-F238E27FC236}">
              <a16:creationId xmlns:a16="http://schemas.microsoft.com/office/drawing/2014/main" id="{11303ADD-0A57-46B9-92BE-56E7D36E75AC}"/>
            </a:ext>
          </a:extLst>
        </xdr:cNvPr>
        <xdr:cNvSpPr txBox="1">
          <a:spLocks noChangeArrowheads="1"/>
        </xdr:cNvSpPr>
      </xdr:nvSpPr>
      <xdr:spPr bwMode="auto">
        <a:xfrm>
          <a:off x="3994150" y="4013835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202</xdr:row>
      <xdr:rowOff>0</xdr:rowOff>
    </xdr:from>
    <xdr:to>
      <xdr:col>5</xdr:col>
      <xdr:colOff>609600</xdr:colOff>
      <xdr:row>222</xdr:row>
      <xdr:rowOff>152400</xdr:rowOff>
    </xdr:to>
    <xdr:sp macro="" textlink="">
      <xdr:nvSpPr>
        <xdr:cNvPr id="300161" name="Text Box 129" hidden="1">
          <a:extLst>
            <a:ext uri="{FF2B5EF4-FFF2-40B4-BE49-F238E27FC236}">
              <a16:creationId xmlns:a16="http://schemas.microsoft.com/office/drawing/2014/main" id="{8BAB0457-EDF8-4EF8-BB10-FAA02F246C3A}"/>
            </a:ext>
          </a:extLst>
        </xdr:cNvPr>
        <xdr:cNvSpPr txBox="1">
          <a:spLocks noChangeArrowheads="1"/>
        </xdr:cNvSpPr>
      </xdr:nvSpPr>
      <xdr:spPr bwMode="auto">
        <a:xfrm>
          <a:off x="3994150" y="40468550"/>
          <a:ext cx="1314450" cy="3835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205</xdr:row>
      <xdr:rowOff>0</xdr:rowOff>
    </xdr:from>
    <xdr:to>
      <xdr:col>5</xdr:col>
      <xdr:colOff>609600</xdr:colOff>
      <xdr:row>224</xdr:row>
      <xdr:rowOff>38100</xdr:rowOff>
    </xdr:to>
    <xdr:sp macro="" textlink="">
      <xdr:nvSpPr>
        <xdr:cNvPr id="300160" name="Text Box 128" hidden="1">
          <a:extLst>
            <a:ext uri="{FF2B5EF4-FFF2-40B4-BE49-F238E27FC236}">
              <a16:creationId xmlns:a16="http://schemas.microsoft.com/office/drawing/2014/main" id="{52FE8961-3689-4384-8C90-82320F42F33C}"/>
            </a:ext>
          </a:extLst>
        </xdr:cNvPr>
        <xdr:cNvSpPr txBox="1">
          <a:spLocks noChangeArrowheads="1"/>
        </xdr:cNvSpPr>
      </xdr:nvSpPr>
      <xdr:spPr bwMode="auto">
        <a:xfrm>
          <a:off x="3994150" y="41021000"/>
          <a:ext cx="1314450" cy="353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206</xdr:row>
      <xdr:rowOff>0</xdr:rowOff>
    </xdr:from>
    <xdr:to>
      <xdr:col>5</xdr:col>
      <xdr:colOff>609600</xdr:colOff>
      <xdr:row>211</xdr:row>
      <xdr:rowOff>152400</xdr:rowOff>
    </xdr:to>
    <xdr:sp macro="" textlink="">
      <xdr:nvSpPr>
        <xdr:cNvPr id="300159" name="Text Box 127" hidden="1">
          <a:extLst>
            <a:ext uri="{FF2B5EF4-FFF2-40B4-BE49-F238E27FC236}">
              <a16:creationId xmlns:a16="http://schemas.microsoft.com/office/drawing/2014/main" id="{757330FA-8BA6-4D5B-BB34-B83E3E9286C7}"/>
            </a:ext>
          </a:extLst>
        </xdr:cNvPr>
        <xdr:cNvSpPr txBox="1">
          <a:spLocks noChangeArrowheads="1"/>
        </xdr:cNvSpPr>
      </xdr:nvSpPr>
      <xdr:spPr bwMode="auto">
        <a:xfrm>
          <a:off x="3994150" y="41205150"/>
          <a:ext cx="1314450" cy="1073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184</xdr:row>
      <xdr:rowOff>114300</xdr:rowOff>
    </xdr:from>
    <xdr:to>
      <xdr:col>5</xdr:col>
      <xdr:colOff>609600</xdr:colOff>
      <xdr:row>188</xdr:row>
      <xdr:rowOff>152400</xdr:rowOff>
    </xdr:to>
    <xdr:sp macro="" textlink="">
      <xdr:nvSpPr>
        <xdr:cNvPr id="300158" name="Text Box 126" hidden="1">
          <a:extLst>
            <a:ext uri="{FF2B5EF4-FFF2-40B4-BE49-F238E27FC236}">
              <a16:creationId xmlns:a16="http://schemas.microsoft.com/office/drawing/2014/main" id="{A2D741AB-96E8-4C07-832D-F229F02B42FD}"/>
            </a:ext>
          </a:extLst>
        </xdr:cNvPr>
        <xdr:cNvSpPr txBox="1">
          <a:spLocks noChangeArrowheads="1"/>
        </xdr:cNvSpPr>
      </xdr:nvSpPr>
      <xdr:spPr bwMode="auto">
        <a:xfrm>
          <a:off x="3994150" y="36899850"/>
          <a:ext cx="13144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185</xdr:row>
      <xdr:rowOff>177800</xdr:rowOff>
    </xdr:from>
    <xdr:to>
      <xdr:col>5</xdr:col>
      <xdr:colOff>609600</xdr:colOff>
      <xdr:row>190</xdr:row>
      <xdr:rowOff>0</xdr:rowOff>
    </xdr:to>
    <xdr:sp macro="" textlink="">
      <xdr:nvSpPr>
        <xdr:cNvPr id="300157" name="Text Box 125" hidden="1">
          <a:extLst>
            <a:ext uri="{FF2B5EF4-FFF2-40B4-BE49-F238E27FC236}">
              <a16:creationId xmlns:a16="http://schemas.microsoft.com/office/drawing/2014/main" id="{ADFB33F6-3A05-4E00-967D-96FA60E68E62}"/>
            </a:ext>
          </a:extLst>
        </xdr:cNvPr>
        <xdr:cNvSpPr txBox="1">
          <a:spLocks noChangeArrowheads="1"/>
        </xdr:cNvSpPr>
      </xdr:nvSpPr>
      <xdr:spPr bwMode="auto">
        <a:xfrm>
          <a:off x="3994150" y="37338000"/>
          <a:ext cx="1314450" cy="920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187</xdr:row>
      <xdr:rowOff>0</xdr:rowOff>
    </xdr:from>
    <xdr:to>
      <xdr:col>5</xdr:col>
      <xdr:colOff>609600</xdr:colOff>
      <xdr:row>191</xdr:row>
      <xdr:rowOff>38100</xdr:rowOff>
    </xdr:to>
    <xdr:sp macro="" textlink="">
      <xdr:nvSpPr>
        <xdr:cNvPr id="300156" name="Text Box 124" hidden="1">
          <a:extLst>
            <a:ext uri="{FF2B5EF4-FFF2-40B4-BE49-F238E27FC236}">
              <a16:creationId xmlns:a16="http://schemas.microsoft.com/office/drawing/2014/main" id="{4972ADF8-134C-477C-A3CF-140B17884474}"/>
            </a:ext>
          </a:extLst>
        </xdr:cNvPr>
        <xdr:cNvSpPr txBox="1">
          <a:spLocks noChangeArrowheads="1"/>
        </xdr:cNvSpPr>
      </xdr:nvSpPr>
      <xdr:spPr bwMode="auto">
        <a:xfrm>
          <a:off x="3994150" y="377063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189</xdr:row>
      <xdr:rowOff>0</xdr:rowOff>
    </xdr:from>
    <xdr:to>
      <xdr:col>5</xdr:col>
      <xdr:colOff>609600</xdr:colOff>
      <xdr:row>198</xdr:row>
      <xdr:rowOff>0</xdr:rowOff>
    </xdr:to>
    <xdr:sp macro="" textlink="">
      <xdr:nvSpPr>
        <xdr:cNvPr id="300155" name="Text Box 123" hidden="1">
          <a:extLst>
            <a:ext uri="{FF2B5EF4-FFF2-40B4-BE49-F238E27FC236}">
              <a16:creationId xmlns:a16="http://schemas.microsoft.com/office/drawing/2014/main" id="{72AFF5F6-8541-459F-BB00-6F0F1B60882F}"/>
            </a:ext>
          </a:extLst>
        </xdr:cNvPr>
        <xdr:cNvSpPr txBox="1">
          <a:spLocks noChangeArrowheads="1"/>
        </xdr:cNvSpPr>
      </xdr:nvSpPr>
      <xdr:spPr bwMode="auto">
        <a:xfrm>
          <a:off x="3994150" y="38074600"/>
          <a:ext cx="1314450" cy="1657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152400</xdr:rowOff>
    </xdr:to>
    <xdr:sp macro="" textlink="">
      <xdr:nvSpPr>
        <xdr:cNvPr id="300154" name="Text Box 122" hidden="1">
          <a:extLst>
            <a:ext uri="{FF2B5EF4-FFF2-40B4-BE49-F238E27FC236}">
              <a16:creationId xmlns:a16="http://schemas.microsoft.com/office/drawing/2014/main" id="{D343C7E4-BB51-4F2C-84F8-C29285C309D3}"/>
            </a:ext>
          </a:extLst>
        </xdr:cNvPr>
        <xdr:cNvSpPr txBox="1">
          <a:spLocks noChangeArrowheads="1"/>
        </xdr:cNvSpPr>
      </xdr:nvSpPr>
      <xdr:spPr bwMode="auto">
        <a:xfrm>
          <a:off x="3994150" y="2654300"/>
          <a:ext cx="13144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50</xdr:row>
      <xdr:rowOff>166134</xdr:rowOff>
    </xdr:from>
    <xdr:to>
      <xdr:col>5</xdr:col>
      <xdr:colOff>609600</xdr:colOff>
      <xdr:row>52</xdr:row>
      <xdr:rowOff>2140</xdr:rowOff>
    </xdr:to>
    <xdr:sp macro="" textlink="">
      <xdr:nvSpPr>
        <xdr:cNvPr id="300153" name="Text Box 121" hidden="1">
          <a:extLst>
            <a:ext uri="{FF2B5EF4-FFF2-40B4-BE49-F238E27FC236}">
              <a16:creationId xmlns:a16="http://schemas.microsoft.com/office/drawing/2014/main" id="{031F7546-36A8-417B-B27A-4E949A618587}"/>
            </a:ext>
          </a:extLst>
        </xdr:cNvPr>
        <xdr:cNvSpPr txBox="1">
          <a:spLocks noChangeArrowheads="1"/>
        </xdr:cNvSpPr>
      </xdr:nvSpPr>
      <xdr:spPr bwMode="auto">
        <a:xfrm>
          <a:off x="3994150" y="10617200"/>
          <a:ext cx="1314450" cy="196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52</xdr:row>
      <xdr:rowOff>154540</xdr:rowOff>
    </xdr:from>
    <xdr:to>
      <xdr:col>5</xdr:col>
      <xdr:colOff>609600</xdr:colOff>
      <xdr:row>54</xdr:row>
      <xdr:rowOff>78340</xdr:rowOff>
    </xdr:to>
    <xdr:sp macro="" textlink="">
      <xdr:nvSpPr>
        <xdr:cNvPr id="300152" name="Text Box 120" hidden="1">
          <a:extLst>
            <a:ext uri="{FF2B5EF4-FFF2-40B4-BE49-F238E27FC236}">
              <a16:creationId xmlns:a16="http://schemas.microsoft.com/office/drawing/2014/main" id="{8638A1AB-F3F5-447F-A0A3-B04791768E64}"/>
            </a:ext>
          </a:extLst>
        </xdr:cNvPr>
        <xdr:cNvSpPr txBox="1">
          <a:spLocks noChangeArrowheads="1"/>
        </xdr:cNvSpPr>
      </xdr:nvSpPr>
      <xdr:spPr bwMode="auto">
        <a:xfrm>
          <a:off x="3994150" y="10966450"/>
          <a:ext cx="1314450" cy="273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56</xdr:row>
      <xdr:rowOff>21405</xdr:rowOff>
    </xdr:from>
    <xdr:to>
      <xdr:col>5</xdr:col>
      <xdr:colOff>609600</xdr:colOff>
      <xdr:row>61</xdr:row>
      <xdr:rowOff>59505</xdr:rowOff>
    </xdr:to>
    <xdr:sp macro="" textlink="">
      <xdr:nvSpPr>
        <xdr:cNvPr id="300151" name="Text Box 119" hidden="1">
          <a:extLst>
            <a:ext uri="{FF2B5EF4-FFF2-40B4-BE49-F238E27FC236}">
              <a16:creationId xmlns:a16="http://schemas.microsoft.com/office/drawing/2014/main" id="{5C8A115F-6FA1-451F-BD5C-7B171D9EBA6F}"/>
            </a:ext>
          </a:extLst>
        </xdr:cNvPr>
        <xdr:cNvSpPr txBox="1">
          <a:spLocks noChangeArrowheads="1"/>
        </xdr:cNvSpPr>
      </xdr:nvSpPr>
      <xdr:spPr bwMode="auto">
        <a:xfrm>
          <a:off x="3994150" y="11525250"/>
          <a:ext cx="1314450" cy="958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57</xdr:row>
      <xdr:rowOff>25400</xdr:rowOff>
    </xdr:from>
    <xdr:to>
      <xdr:col>5</xdr:col>
      <xdr:colOff>609600</xdr:colOff>
      <xdr:row>64</xdr:row>
      <xdr:rowOff>101600</xdr:rowOff>
    </xdr:to>
    <xdr:sp macro="" textlink="">
      <xdr:nvSpPr>
        <xdr:cNvPr id="300150" name="Text Box 118" hidden="1">
          <a:extLst>
            <a:ext uri="{FF2B5EF4-FFF2-40B4-BE49-F238E27FC236}">
              <a16:creationId xmlns:a16="http://schemas.microsoft.com/office/drawing/2014/main" id="{01492D36-B812-49BE-AF1F-F53ECA0D5B01}"/>
            </a:ext>
          </a:extLst>
        </xdr:cNvPr>
        <xdr:cNvSpPr txBox="1">
          <a:spLocks noChangeArrowheads="1"/>
        </xdr:cNvSpPr>
      </xdr:nvSpPr>
      <xdr:spPr bwMode="auto">
        <a:xfrm>
          <a:off x="3994150" y="11709400"/>
          <a:ext cx="1314450" cy="136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58</xdr:row>
      <xdr:rowOff>63500</xdr:rowOff>
    </xdr:from>
    <xdr:to>
      <xdr:col>5</xdr:col>
      <xdr:colOff>609600</xdr:colOff>
      <xdr:row>66</xdr:row>
      <xdr:rowOff>139700</xdr:rowOff>
    </xdr:to>
    <xdr:sp macro="" textlink="">
      <xdr:nvSpPr>
        <xdr:cNvPr id="300149" name="Text Box 117" hidden="1">
          <a:extLst>
            <a:ext uri="{FF2B5EF4-FFF2-40B4-BE49-F238E27FC236}">
              <a16:creationId xmlns:a16="http://schemas.microsoft.com/office/drawing/2014/main" id="{D1787A2E-D454-4951-9015-099D2FE99609}"/>
            </a:ext>
          </a:extLst>
        </xdr:cNvPr>
        <xdr:cNvSpPr txBox="1">
          <a:spLocks noChangeArrowheads="1"/>
        </xdr:cNvSpPr>
      </xdr:nvSpPr>
      <xdr:spPr bwMode="auto">
        <a:xfrm>
          <a:off x="3994150" y="11931650"/>
          <a:ext cx="1314450" cy="154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75</xdr:row>
      <xdr:rowOff>25400</xdr:rowOff>
    </xdr:from>
    <xdr:to>
      <xdr:col>5</xdr:col>
      <xdr:colOff>609600</xdr:colOff>
      <xdr:row>78</xdr:row>
      <xdr:rowOff>38100</xdr:rowOff>
    </xdr:to>
    <xdr:sp macro="" textlink="">
      <xdr:nvSpPr>
        <xdr:cNvPr id="300148" name="Text Box 116" hidden="1">
          <a:extLst>
            <a:ext uri="{FF2B5EF4-FFF2-40B4-BE49-F238E27FC236}">
              <a16:creationId xmlns:a16="http://schemas.microsoft.com/office/drawing/2014/main" id="{2549166D-1EE4-48A9-AB4F-DFDEAF6B9D1E}"/>
            </a:ext>
          </a:extLst>
        </xdr:cNvPr>
        <xdr:cNvSpPr txBox="1">
          <a:spLocks noChangeArrowheads="1"/>
        </xdr:cNvSpPr>
      </xdr:nvSpPr>
      <xdr:spPr bwMode="auto">
        <a:xfrm>
          <a:off x="3994150" y="155829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75</xdr:row>
      <xdr:rowOff>203200</xdr:rowOff>
    </xdr:from>
    <xdr:to>
      <xdr:col>5</xdr:col>
      <xdr:colOff>609600</xdr:colOff>
      <xdr:row>79</xdr:row>
      <xdr:rowOff>38100</xdr:rowOff>
    </xdr:to>
    <xdr:sp macro="" textlink="">
      <xdr:nvSpPr>
        <xdr:cNvPr id="300147" name="Text Box 115" hidden="1">
          <a:extLst>
            <a:ext uri="{FF2B5EF4-FFF2-40B4-BE49-F238E27FC236}">
              <a16:creationId xmlns:a16="http://schemas.microsoft.com/office/drawing/2014/main" id="{CB452094-E929-47CE-BE87-EF9E7FC09CC8}"/>
            </a:ext>
          </a:extLst>
        </xdr:cNvPr>
        <xdr:cNvSpPr txBox="1">
          <a:spLocks noChangeArrowheads="1"/>
        </xdr:cNvSpPr>
      </xdr:nvSpPr>
      <xdr:spPr bwMode="auto">
        <a:xfrm>
          <a:off x="3994150" y="1576705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75</xdr:row>
      <xdr:rowOff>381000</xdr:rowOff>
    </xdr:from>
    <xdr:to>
      <xdr:col>5</xdr:col>
      <xdr:colOff>609600</xdr:colOff>
      <xdr:row>80</xdr:row>
      <xdr:rowOff>12700</xdr:rowOff>
    </xdr:to>
    <xdr:sp macro="" textlink="">
      <xdr:nvSpPr>
        <xdr:cNvPr id="300146" name="Text Box 114" hidden="1">
          <a:extLst>
            <a:ext uri="{FF2B5EF4-FFF2-40B4-BE49-F238E27FC236}">
              <a16:creationId xmlns:a16="http://schemas.microsoft.com/office/drawing/2014/main" id="{C0EC714C-A61A-4753-A6B1-18277BF14981}"/>
            </a:ext>
          </a:extLst>
        </xdr:cNvPr>
        <xdr:cNvSpPr txBox="1">
          <a:spLocks noChangeArrowheads="1"/>
        </xdr:cNvSpPr>
      </xdr:nvSpPr>
      <xdr:spPr bwMode="auto">
        <a:xfrm>
          <a:off x="3994150" y="159512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76</xdr:row>
      <xdr:rowOff>165100</xdr:rowOff>
    </xdr:from>
    <xdr:to>
      <xdr:col>5</xdr:col>
      <xdr:colOff>609600</xdr:colOff>
      <xdr:row>80</xdr:row>
      <xdr:rowOff>190500</xdr:rowOff>
    </xdr:to>
    <xdr:sp macro="" textlink="">
      <xdr:nvSpPr>
        <xdr:cNvPr id="300145" name="Text Box 113" hidden="1">
          <a:extLst>
            <a:ext uri="{FF2B5EF4-FFF2-40B4-BE49-F238E27FC236}">
              <a16:creationId xmlns:a16="http://schemas.microsoft.com/office/drawing/2014/main" id="{B3045FF9-E015-4CCE-B099-1A2CEE408061}"/>
            </a:ext>
          </a:extLst>
        </xdr:cNvPr>
        <xdr:cNvSpPr txBox="1">
          <a:spLocks noChangeArrowheads="1"/>
        </xdr:cNvSpPr>
      </xdr:nvSpPr>
      <xdr:spPr bwMode="auto">
        <a:xfrm>
          <a:off x="3994150" y="1613535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97</xdr:row>
      <xdr:rowOff>88900</xdr:rowOff>
    </xdr:from>
    <xdr:to>
      <xdr:col>5</xdr:col>
      <xdr:colOff>609600</xdr:colOff>
      <xdr:row>102</xdr:row>
      <xdr:rowOff>63500</xdr:rowOff>
    </xdr:to>
    <xdr:sp macro="" textlink="">
      <xdr:nvSpPr>
        <xdr:cNvPr id="300144" name="Text Box 112" hidden="1">
          <a:extLst>
            <a:ext uri="{FF2B5EF4-FFF2-40B4-BE49-F238E27FC236}">
              <a16:creationId xmlns:a16="http://schemas.microsoft.com/office/drawing/2014/main" id="{5D03C6E5-05D5-416B-BEDA-C75901EB4969}"/>
            </a:ext>
          </a:extLst>
        </xdr:cNvPr>
        <xdr:cNvSpPr txBox="1">
          <a:spLocks noChangeArrowheads="1"/>
        </xdr:cNvSpPr>
      </xdr:nvSpPr>
      <xdr:spPr bwMode="auto">
        <a:xfrm>
          <a:off x="3994150" y="20237450"/>
          <a:ext cx="1314450" cy="889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98</xdr:row>
      <xdr:rowOff>88900</xdr:rowOff>
    </xdr:from>
    <xdr:to>
      <xdr:col>5</xdr:col>
      <xdr:colOff>609600</xdr:colOff>
      <xdr:row>102</xdr:row>
      <xdr:rowOff>63500</xdr:rowOff>
    </xdr:to>
    <xdr:sp macro="" textlink="">
      <xdr:nvSpPr>
        <xdr:cNvPr id="300143" name="Text Box 111" hidden="1">
          <a:extLst>
            <a:ext uri="{FF2B5EF4-FFF2-40B4-BE49-F238E27FC236}">
              <a16:creationId xmlns:a16="http://schemas.microsoft.com/office/drawing/2014/main" id="{E954E1BE-8ABB-40E1-8BA1-335B604FB26B}"/>
            </a:ext>
          </a:extLst>
        </xdr:cNvPr>
        <xdr:cNvSpPr txBox="1">
          <a:spLocks noChangeArrowheads="1"/>
        </xdr:cNvSpPr>
      </xdr:nvSpPr>
      <xdr:spPr bwMode="auto">
        <a:xfrm>
          <a:off x="3994150" y="20421600"/>
          <a:ext cx="1314450"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88900</xdr:rowOff>
    </xdr:from>
    <xdr:to>
      <xdr:col>5</xdr:col>
      <xdr:colOff>609600</xdr:colOff>
      <xdr:row>102</xdr:row>
      <xdr:rowOff>176159</xdr:rowOff>
    </xdr:to>
    <xdr:sp macro="" textlink="">
      <xdr:nvSpPr>
        <xdr:cNvPr id="300142" name="Text Box 110" hidden="1">
          <a:extLst>
            <a:ext uri="{FF2B5EF4-FFF2-40B4-BE49-F238E27FC236}">
              <a16:creationId xmlns:a16="http://schemas.microsoft.com/office/drawing/2014/main" id="{37B59FD8-C20C-4D92-B543-5E861AA06164}"/>
            </a:ext>
          </a:extLst>
        </xdr:cNvPr>
        <xdr:cNvSpPr txBox="1">
          <a:spLocks noChangeArrowheads="1"/>
        </xdr:cNvSpPr>
      </xdr:nvSpPr>
      <xdr:spPr bwMode="auto">
        <a:xfrm>
          <a:off x="3994150" y="20605750"/>
          <a:ext cx="1314450" cy="641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63500</xdr:rowOff>
    </xdr:from>
    <xdr:to>
      <xdr:col>5</xdr:col>
      <xdr:colOff>609600</xdr:colOff>
      <xdr:row>103</xdr:row>
      <xdr:rowOff>74559</xdr:rowOff>
    </xdr:to>
    <xdr:sp macro="" textlink="">
      <xdr:nvSpPr>
        <xdr:cNvPr id="300141" name="Text Box 109" hidden="1">
          <a:extLst>
            <a:ext uri="{FF2B5EF4-FFF2-40B4-BE49-F238E27FC236}">
              <a16:creationId xmlns:a16="http://schemas.microsoft.com/office/drawing/2014/main" id="{B6FF44E3-492B-435C-B780-DBD8B1B9DC70}"/>
            </a:ext>
          </a:extLst>
        </xdr:cNvPr>
        <xdr:cNvSpPr txBox="1">
          <a:spLocks noChangeArrowheads="1"/>
        </xdr:cNvSpPr>
      </xdr:nvSpPr>
      <xdr:spPr bwMode="auto">
        <a:xfrm>
          <a:off x="3994150" y="20574000"/>
          <a:ext cx="13144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300186" name="Text Box 154" hidden="1">
          <a:extLst>
            <a:ext uri="{FF2B5EF4-FFF2-40B4-BE49-F238E27FC236}">
              <a16:creationId xmlns:a16="http://schemas.microsoft.com/office/drawing/2014/main" id="{7D335DC8-0572-46C7-8399-FA67069490C1}"/>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201</xdr:row>
      <xdr:rowOff>38100</xdr:rowOff>
    </xdr:from>
    <xdr:to>
      <xdr:col>5</xdr:col>
      <xdr:colOff>609600</xdr:colOff>
      <xdr:row>224</xdr:row>
      <xdr:rowOff>38100</xdr:rowOff>
    </xdr:to>
    <xdr:sp macro="" textlink="">
      <xdr:nvSpPr>
        <xdr:cNvPr id="300185" name="Text Box 153" hidden="1">
          <a:extLst>
            <a:ext uri="{FF2B5EF4-FFF2-40B4-BE49-F238E27FC236}">
              <a16:creationId xmlns:a16="http://schemas.microsoft.com/office/drawing/2014/main" id="{7817C20E-9289-4D5C-9AB4-0D28C84248F3}"/>
            </a:ext>
          </a:extLst>
        </xdr:cNvPr>
        <xdr:cNvSpPr txBox="1">
          <a:spLocks noChangeArrowheads="1"/>
        </xdr:cNvSpPr>
      </xdr:nvSpPr>
      <xdr:spPr bwMode="auto">
        <a:xfrm>
          <a:off x="3848100" y="41138475"/>
          <a:ext cx="1276350" cy="438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203</xdr:row>
      <xdr:rowOff>0</xdr:rowOff>
    </xdr:from>
    <xdr:to>
      <xdr:col>5</xdr:col>
      <xdr:colOff>609600</xdr:colOff>
      <xdr:row>223</xdr:row>
      <xdr:rowOff>152400</xdr:rowOff>
    </xdr:to>
    <xdr:sp macro="" textlink="">
      <xdr:nvSpPr>
        <xdr:cNvPr id="300184" name="Text Box 152" hidden="1">
          <a:extLst>
            <a:ext uri="{FF2B5EF4-FFF2-40B4-BE49-F238E27FC236}">
              <a16:creationId xmlns:a16="http://schemas.microsoft.com/office/drawing/2014/main" id="{64159A84-6DBD-4972-87A8-70A5B75389B7}"/>
            </a:ext>
          </a:extLst>
        </xdr:cNvPr>
        <xdr:cNvSpPr txBox="1">
          <a:spLocks noChangeArrowheads="1"/>
        </xdr:cNvSpPr>
      </xdr:nvSpPr>
      <xdr:spPr bwMode="auto">
        <a:xfrm>
          <a:off x="3848100" y="41481375"/>
          <a:ext cx="1276350" cy="3962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206</xdr:row>
      <xdr:rowOff>0</xdr:rowOff>
    </xdr:from>
    <xdr:to>
      <xdr:col>5</xdr:col>
      <xdr:colOff>609600</xdr:colOff>
      <xdr:row>225</xdr:row>
      <xdr:rowOff>38100</xdr:rowOff>
    </xdr:to>
    <xdr:sp macro="" textlink="">
      <xdr:nvSpPr>
        <xdr:cNvPr id="300183" name="Text Box 151" hidden="1">
          <a:extLst>
            <a:ext uri="{FF2B5EF4-FFF2-40B4-BE49-F238E27FC236}">
              <a16:creationId xmlns:a16="http://schemas.microsoft.com/office/drawing/2014/main" id="{7A26B745-AA0B-4A61-9A0D-64E9AF7393C9}"/>
            </a:ext>
          </a:extLst>
        </xdr:cNvPr>
        <xdr:cNvSpPr txBox="1">
          <a:spLocks noChangeArrowheads="1"/>
        </xdr:cNvSpPr>
      </xdr:nvSpPr>
      <xdr:spPr bwMode="auto">
        <a:xfrm>
          <a:off x="3848100" y="42052875"/>
          <a:ext cx="1276350" cy="3657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207</xdr:row>
      <xdr:rowOff>0</xdr:rowOff>
    </xdr:from>
    <xdr:to>
      <xdr:col>5</xdr:col>
      <xdr:colOff>609600</xdr:colOff>
      <xdr:row>212</xdr:row>
      <xdr:rowOff>152400</xdr:rowOff>
    </xdr:to>
    <xdr:sp macro="" textlink="">
      <xdr:nvSpPr>
        <xdr:cNvPr id="300182" name="Text Box 150" hidden="1">
          <a:extLst>
            <a:ext uri="{FF2B5EF4-FFF2-40B4-BE49-F238E27FC236}">
              <a16:creationId xmlns:a16="http://schemas.microsoft.com/office/drawing/2014/main" id="{3DD44C58-C1CF-4611-A02F-70376414B574}"/>
            </a:ext>
          </a:extLst>
        </xdr:cNvPr>
        <xdr:cNvSpPr txBox="1">
          <a:spLocks noChangeArrowheads="1"/>
        </xdr:cNvSpPr>
      </xdr:nvSpPr>
      <xdr:spPr bwMode="auto">
        <a:xfrm>
          <a:off x="3848100" y="42243375"/>
          <a:ext cx="1276350" cy="1104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184</xdr:row>
      <xdr:rowOff>292100</xdr:rowOff>
    </xdr:from>
    <xdr:to>
      <xdr:col>5</xdr:col>
      <xdr:colOff>609600</xdr:colOff>
      <xdr:row>189</xdr:row>
      <xdr:rowOff>152400</xdr:rowOff>
    </xdr:to>
    <xdr:sp macro="" textlink="">
      <xdr:nvSpPr>
        <xdr:cNvPr id="300181" name="Text Box 149" hidden="1">
          <a:extLst>
            <a:ext uri="{FF2B5EF4-FFF2-40B4-BE49-F238E27FC236}">
              <a16:creationId xmlns:a16="http://schemas.microsoft.com/office/drawing/2014/main" id="{787EFC1A-0432-406B-8676-E8B2B79773FB}"/>
            </a:ext>
          </a:extLst>
        </xdr:cNvPr>
        <xdr:cNvSpPr txBox="1">
          <a:spLocks noChangeArrowheads="1"/>
        </xdr:cNvSpPr>
      </xdr:nvSpPr>
      <xdr:spPr bwMode="auto">
        <a:xfrm>
          <a:off x="3848100" y="37785675"/>
          <a:ext cx="127635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186</xdr:row>
      <xdr:rowOff>0</xdr:rowOff>
    </xdr:from>
    <xdr:to>
      <xdr:col>5</xdr:col>
      <xdr:colOff>609600</xdr:colOff>
      <xdr:row>191</xdr:row>
      <xdr:rowOff>0</xdr:rowOff>
    </xdr:to>
    <xdr:sp macro="" textlink="">
      <xdr:nvSpPr>
        <xdr:cNvPr id="300180" name="Text Box 148" hidden="1">
          <a:extLst>
            <a:ext uri="{FF2B5EF4-FFF2-40B4-BE49-F238E27FC236}">
              <a16:creationId xmlns:a16="http://schemas.microsoft.com/office/drawing/2014/main" id="{B159C490-05FE-44C6-AB18-872C83BE1829}"/>
            </a:ext>
          </a:extLst>
        </xdr:cNvPr>
        <xdr:cNvSpPr txBox="1">
          <a:spLocks noChangeArrowheads="1"/>
        </xdr:cNvSpPr>
      </xdr:nvSpPr>
      <xdr:spPr bwMode="auto">
        <a:xfrm>
          <a:off x="3848100" y="38242875"/>
          <a:ext cx="1276350" cy="952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188</xdr:row>
      <xdr:rowOff>0</xdr:rowOff>
    </xdr:from>
    <xdr:to>
      <xdr:col>5</xdr:col>
      <xdr:colOff>609600</xdr:colOff>
      <xdr:row>192</xdr:row>
      <xdr:rowOff>38100</xdr:rowOff>
    </xdr:to>
    <xdr:sp macro="" textlink="">
      <xdr:nvSpPr>
        <xdr:cNvPr id="300179" name="Text Box 147" hidden="1">
          <a:extLst>
            <a:ext uri="{FF2B5EF4-FFF2-40B4-BE49-F238E27FC236}">
              <a16:creationId xmlns:a16="http://schemas.microsoft.com/office/drawing/2014/main" id="{91ECDA2E-3AAB-4E3C-9E22-269D26FBCE75}"/>
            </a:ext>
          </a:extLst>
        </xdr:cNvPr>
        <xdr:cNvSpPr txBox="1">
          <a:spLocks noChangeArrowheads="1"/>
        </xdr:cNvSpPr>
      </xdr:nvSpPr>
      <xdr:spPr bwMode="auto">
        <a:xfrm>
          <a:off x="3848100" y="3862387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0</xdr:rowOff>
    </xdr:from>
    <xdr:to>
      <xdr:col>5</xdr:col>
      <xdr:colOff>609600</xdr:colOff>
      <xdr:row>199</xdr:row>
      <xdr:rowOff>0</xdr:rowOff>
    </xdr:to>
    <xdr:sp macro="" textlink="">
      <xdr:nvSpPr>
        <xdr:cNvPr id="300178" name="Text Box 146" hidden="1">
          <a:extLst>
            <a:ext uri="{FF2B5EF4-FFF2-40B4-BE49-F238E27FC236}">
              <a16:creationId xmlns:a16="http://schemas.microsoft.com/office/drawing/2014/main" id="{8FEAFFF0-EAFC-4F83-A14C-D30830CBD65F}"/>
            </a:ext>
          </a:extLst>
        </xdr:cNvPr>
        <xdr:cNvSpPr txBox="1">
          <a:spLocks noChangeArrowheads="1"/>
        </xdr:cNvSpPr>
      </xdr:nvSpPr>
      <xdr:spPr bwMode="auto">
        <a:xfrm>
          <a:off x="3848100" y="39004875"/>
          <a:ext cx="1276350" cy="171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152400</xdr:rowOff>
    </xdr:to>
    <xdr:sp macro="" textlink="">
      <xdr:nvSpPr>
        <xdr:cNvPr id="300177" name="Text Box 145" hidden="1">
          <a:extLst>
            <a:ext uri="{FF2B5EF4-FFF2-40B4-BE49-F238E27FC236}">
              <a16:creationId xmlns:a16="http://schemas.microsoft.com/office/drawing/2014/main" id="{49E1267C-F12A-4407-97DA-03037EEC5E1E}"/>
            </a:ext>
          </a:extLst>
        </xdr:cNvPr>
        <xdr:cNvSpPr txBox="1">
          <a:spLocks noChangeArrowheads="1"/>
        </xdr:cNvSpPr>
      </xdr:nvSpPr>
      <xdr:spPr bwMode="auto">
        <a:xfrm>
          <a:off x="3848100" y="269557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53</xdr:row>
      <xdr:rowOff>25400</xdr:rowOff>
    </xdr:from>
    <xdr:to>
      <xdr:col>5</xdr:col>
      <xdr:colOff>609600</xdr:colOff>
      <xdr:row>55</xdr:row>
      <xdr:rowOff>12700</xdr:rowOff>
    </xdr:to>
    <xdr:sp macro="" textlink="">
      <xdr:nvSpPr>
        <xdr:cNvPr id="300176" name="Text Box 144" hidden="1">
          <a:extLst>
            <a:ext uri="{FF2B5EF4-FFF2-40B4-BE49-F238E27FC236}">
              <a16:creationId xmlns:a16="http://schemas.microsoft.com/office/drawing/2014/main" id="{F2B56962-4DAE-45BB-B439-206271EF856C}"/>
            </a:ext>
          </a:extLst>
        </xdr:cNvPr>
        <xdr:cNvSpPr txBox="1">
          <a:spLocks noChangeArrowheads="1"/>
        </xdr:cNvSpPr>
      </xdr:nvSpPr>
      <xdr:spPr bwMode="auto">
        <a:xfrm>
          <a:off x="3848100" y="11039475"/>
          <a:ext cx="1276350" cy="342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55</xdr:row>
      <xdr:rowOff>12700</xdr:rowOff>
    </xdr:from>
    <xdr:to>
      <xdr:col>5</xdr:col>
      <xdr:colOff>609600</xdr:colOff>
      <xdr:row>55</xdr:row>
      <xdr:rowOff>120650</xdr:rowOff>
    </xdr:to>
    <xdr:sp macro="" textlink="">
      <xdr:nvSpPr>
        <xdr:cNvPr id="300175" name="Text Box 143" hidden="1">
          <a:extLst>
            <a:ext uri="{FF2B5EF4-FFF2-40B4-BE49-F238E27FC236}">
              <a16:creationId xmlns:a16="http://schemas.microsoft.com/office/drawing/2014/main" id="{8DFC739B-B5A4-45F8-86B8-EF9F5B8F86B9}"/>
            </a:ext>
          </a:extLst>
        </xdr:cNvPr>
        <xdr:cNvSpPr txBox="1">
          <a:spLocks noChangeArrowheads="1"/>
        </xdr:cNvSpPr>
      </xdr:nvSpPr>
      <xdr:spPr bwMode="auto">
        <a:xfrm>
          <a:off x="3848100" y="11382375"/>
          <a:ext cx="1276350" cy="104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57</xdr:row>
      <xdr:rowOff>25400</xdr:rowOff>
    </xdr:from>
    <xdr:to>
      <xdr:col>5</xdr:col>
      <xdr:colOff>609600</xdr:colOff>
      <xdr:row>62</xdr:row>
      <xdr:rowOff>63500</xdr:rowOff>
    </xdr:to>
    <xdr:sp macro="" textlink="">
      <xdr:nvSpPr>
        <xdr:cNvPr id="300174" name="Text Box 142" hidden="1">
          <a:extLst>
            <a:ext uri="{FF2B5EF4-FFF2-40B4-BE49-F238E27FC236}">
              <a16:creationId xmlns:a16="http://schemas.microsoft.com/office/drawing/2014/main" id="{B0AD930A-69A8-4E39-B0EF-7935D16E9D1A}"/>
            </a:ext>
          </a:extLst>
        </xdr:cNvPr>
        <xdr:cNvSpPr txBox="1">
          <a:spLocks noChangeArrowheads="1"/>
        </xdr:cNvSpPr>
      </xdr:nvSpPr>
      <xdr:spPr bwMode="auto">
        <a:xfrm>
          <a:off x="3848100" y="11753850"/>
          <a:ext cx="1276350"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58</xdr:row>
      <xdr:rowOff>25400</xdr:rowOff>
    </xdr:from>
    <xdr:to>
      <xdr:col>5</xdr:col>
      <xdr:colOff>609600</xdr:colOff>
      <xdr:row>65</xdr:row>
      <xdr:rowOff>101600</xdr:rowOff>
    </xdr:to>
    <xdr:sp macro="" textlink="">
      <xdr:nvSpPr>
        <xdr:cNvPr id="300173" name="Text Box 141" hidden="1">
          <a:extLst>
            <a:ext uri="{FF2B5EF4-FFF2-40B4-BE49-F238E27FC236}">
              <a16:creationId xmlns:a16="http://schemas.microsoft.com/office/drawing/2014/main" id="{24FAB9A6-BA8D-40DF-B3E3-84AF9F0AE6F0}"/>
            </a:ext>
          </a:extLst>
        </xdr:cNvPr>
        <xdr:cNvSpPr txBox="1">
          <a:spLocks noChangeArrowheads="1"/>
        </xdr:cNvSpPr>
      </xdr:nvSpPr>
      <xdr:spPr bwMode="auto">
        <a:xfrm>
          <a:off x="3848100" y="11944350"/>
          <a:ext cx="1276350" cy="1381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59</xdr:row>
      <xdr:rowOff>82550</xdr:rowOff>
    </xdr:from>
    <xdr:to>
      <xdr:col>5</xdr:col>
      <xdr:colOff>609600</xdr:colOff>
      <xdr:row>67</xdr:row>
      <xdr:rowOff>120650</xdr:rowOff>
    </xdr:to>
    <xdr:sp macro="" textlink="">
      <xdr:nvSpPr>
        <xdr:cNvPr id="300172" name="Text Box 140" hidden="1">
          <a:extLst>
            <a:ext uri="{FF2B5EF4-FFF2-40B4-BE49-F238E27FC236}">
              <a16:creationId xmlns:a16="http://schemas.microsoft.com/office/drawing/2014/main" id="{E2D28B84-888E-4655-8B0F-C7CC26EC4E9C}"/>
            </a:ext>
          </a:extLst>
        </xdr:cNvPr>
        <xdr:cNvSpPr txBox="1">
          <a:spLocks noChangeArrowheads="1"/>
        </xdr:cNvSpPr>
      </xdr:nvSpPr>
      <xdr:spPr bwMode="auto">
        <a:xfrm>
          <a:off x="3848100" y="12192000"/>
          <a:ext cx="1276350" cy="1533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75</xdr:row>
      <xdr:rowOff>203200</xdr:rowOff>
    </xdr:from>
    <xdr:to>
      <xdr:col>5</xdr:col>
      <xdr:colOff>609600</xdr:colOff>
      <xdr:row>79</xdr:row>
      <xdr:rowOff>38100</xdr:rowOff>
    </xdr:to>
    <xdr:sp macro="" textlink="">
      <xdr:nvSpPr>
        <xdr:cNvPr id="300171" name="Text Box 139" hidden="1">
          <a:extLst>
            <a:ext uri="{FF2B5EF4-FFF2-40B4-BE49-F238E27FC236}">
              <a16:creationId xmlns:a16="http://schemas.microsoft.com/office/drawing/2014/main" id="{265EF26C-9A18-4919-BFBD-9DB62C1DA74C}"/>
            </a:ext>
          </a:extLst>
        </xdr:cNvPr>
        <xdr:cNvSpPr txBox="1">
          <a:spLocks noChangeArrowheads="1"/>
        </xdr:cNvSpPr>
      </xdr:nvSpPr>
      <xdr:spPr bwMode="auto">
        <a:xfrm>
          <a:off x="3848100" y="15897225"/>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75</xdr:row>
      <xdr:rowOff>381000</xdr:rowOff>
    </xdr:from>
    <xdr:to>
      <xdr:col>5</xdr:col>
      <xdr:colOff>609600</xdr:colOff>
      <xdr:row>80</xdr:row>
      <xdr:rowOff>12700</xdr:rowOff>
    </xdr:to>
    <xdr:sp macro="" textlink="">
      <xdr:nvSpPr>
        <xdr:cNvPr id="300170" name="Text Box 138" hidden="1">
          <a:extLst>
            <a:ext uri="{FF2B5EF4-FFF2-40B4-BE49-F238E27FC236}">
              <a16:creationId xmlns:a16="http://schemas.microsoft.com/office/drawing/2014/main" id="{F2951846-6E73-4A22-B379-405CB7411D62}"/>
            </a:ext>
          </a:extLst>
        </xdr:cNvPr>
        <xdr:cNvSpPr txBox="1">
          <a:spLocks noChangeArrowheads="1"/>
        </xdr:cNvSpPr>
      </xdr:nvSpPr>
      <xdr:spPr bwMode="auto">
        <a:xfrm>
          <a:off x="3848100" y="16087725"/>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76</xdr:row>
      <xdr:rowOff>165100</xdr:rowOff>
    </xdr:from>
    <xdr:to>
      <xdr:col>5</xdr:col>
      <xdr:colOff>609600</xdr:colOff>
      <xdr:row>80</xdr:row>
      <xdr:rowOff>190500</xdr:rowOff>
    </xdr:to>
    <xdr:sp macro="" textlink="">
      <xdr:nvSpPr>
        <xdr:cNvPr id="300169" name="Text Box 137" hidden="1">
          <a:extLst>
            <a:ext uri="{FF2B5EF4-FFF2-40B4-BE49-F238E27FC236}">
              <a16:creationId xmlns:a16="http://schemas.microsoft.com/office/drawing/2014/main" id="{A2655596-A238-4D5A-882C-DBF44CED545A}"/>
            </a:ext>
          </a:extLst>
        </xdr:cNvPr>
        <xdr:cNvSpPr txBox="1">
          <a:spLocks noChangeArrowheads="1"/>
        </xdr:cNvSpPr>
      </xdr:nvSpPr>
      <xdr:spPr bwMode="auto">
        <a:xfrm>
          <a:off x="3848100" y="16278225"/>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77</xdr:row>
      <xdr:rowOff>139700</xdr:rowOff>
    </xdr:from>
    <xdr:to>
      <xdr:col>5</xdr:col>
      <xdr:colOff>609600</xdr:colOff>
      <xdr:row>81</xdr:row>
      <xdr:rowOff>165100</xdr:rowOff>
    </xdr:to>
    <xdr:sp macro="" textlink="">
      <xdr:nvSpPr>
        <xdr:cNvPr id="300168" name="Text Box 136" hidden="1">
          <a:extLst>
            <a:ext uri="{FF2B5EF4-FFF2-40B4-BE49-F238E27FC236}">
              <a16:creationId xmlns:a16="http://schemas.microsoft.com/office/drawing/2014/main" id="{62B212E0-400C-4C28-B416-F520FFA76BB7}"/>
            </a:ext>
          </a:extLst>
        </xdr:cNvPr>
        <xdr:cNvSpPr txBox="1">
          <a:spLocks noChangeArrowheads="1"/>
        </xdr:cNvSpPr>
      </xdr:nvSpPr>
      <xdr:spPr bwMode="auto">
        <a:xfrm>
          <a:off x="3848100" y="16468725"/>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98</xdr:row>
      <xdr:rowOff>88900</xdr:rowOff>
    </xdr:from>
    <xdr:to>
      <xdr:col>5</xdr:col>
      <xdr:colOff>609600</xdr:colOff>
      <xdr:row>103</xdr:row>
      <xdr:rowOff>101600</xdr:rowOff>
    </xdr:to>
    <xdr:sp macro="" textlink="">
      <xdr:nvSpPr>
        <xdr:cNvPr id="300167" name="Text Box 135" hidden="1">
          <a:extLst>
            <a:ext uri="{FF2B5EF4-FFF2-40B4-BE49-F238E27FC236}">
              <a16:creationId xmlns:a16="http://schemas.microsoft.com/office/drawing/2014/main" id="{6D19925F-5AAB-4507-BD73-36EED6014229}"/>
            </a:ext>
          </a:extLst>
        </xdr:cNvPr>
        <xdr:cNvSpPr txBox="1">
          <a:spLocks noChangeArrowheads="1"/>
        </xdr:cNvSpPr>
      </xdr:nvSpPr>
      <xdr:spPr bwMode="auto">
        <a:xfrm>
          <a:off x="3848100" y="20678775"/>
          <a:ext cx="1276350" cy="952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88900</xdr:rowOff>
    </xdr:from>
    <xdr:to>
      <xdr:col>5</xdr:col>
      <xdr:colOff>609600</xdr:colOff>
      <xdr:row>103</xdr:row>
      <xdr:rowOff>101600</xdr:rowOff>
    </xdr:to>
    <xdr:sp macro="" textlink="">
      <xdr:nvSpPr>
        <xdr:cNvPr id="300166" name="Text Box 134" hidden="1">
          <a:extLst>
            <a:ext uri="{FF2B5EF4-FFF2-40B4-BE49-F238E27FC236}">
              <a16:creationId xmlns:a16="http://schemas.microsoft.com/office/drawing/2014/main" id="{A669C438-4134-412C-9C85-FF1ADE3A954C}"/>
            </a:ext>
          </a:extLst>
        </xdr:cNvPr>
        <xdr:cNvSpPr txBox="1">
          <a:spLocks noChangeArrowheads="1"/>
        </xdr:cNvSpPr>
      </xdr:nvSpPr>
      <xdr:spPr bwMode="auto">
        <a:xfrm>
          <a:off x="3848100" y="20869275"/>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88900</xdr:rowOff>
    </xdr:from>
    <xdr:to>
      <xdr:col>5</xdr:col>
      <xdr:colOff>609600</xdr:colOff>
      <xdr:row>103</xdr:row>
      <xdr:rowOff>152400</xdr:rowOff>
    </xdr:to>
    <xdr:sp macro="" textlink="">
      <xdr:nvSpPr>
        <xdr:cNvPr id="300165" name="Text Box 133" hidden="1">
          <a:extLst>
            <a:ext uri="{FF2B5EF4-FFF2-40B4-BE49-F238E27FC236}">
              <a16:creationId xmlns:a16="http://schemas.microsoft.com/office/drawing/2014/main" id="{A3238887-8DE3-466D-AA6C-8325B7333505}"/>
            </a:ext>
          </a:extLst>
        </xdr:cNvPr>
        <xdr:cNvSpPr txBox="1">
          <a:spLocks noChangeArrowheads="1"/>
        </xdr:cNvSpPr>
      </xdr:nvSpPr>
      <xdr:spPr bwMode="auto">
        <a:xfrm>
          <a:off x="3848100" y="21059775"/>
          <a:ext cx="1276350" cy="619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63500</xdr:rowOff>
    </xdr:from>
    <xdr:to>
      <xdr:col>5</xdr:col>
      <xdr:colOff>609600</xdr:colOff>
      <xdr:row>104</xdr:row>
      <xdr:rowOff>50800</xdr:rowOff>
    </xdr:to>
    <xdr:sp macro="" textlink="">
      <xdr:nvSpPr>
        <xdr:cNvPr id="300164" name="Text Box 132" hidden="1">
          <a:extLst>
            <a:ext uri="{FF2B5EF4-FFF2-40B4-BE49-F238E27FC236}">
              <a16:creationId xmlns:a16="http://schemas.microsoft.com/office/drawing/2014/main" id="{034A9325-B1E8-4168-BE79-A6D894C6B7CF}"/>
            </a:ext>
          </a:extLst>
        </xdr:cNvPr>
        <xdr:cNvSpPr txBox="1">
          <a:spLocks noChangeArrowheads="1"/>
        </xdr:cNvSpPr>
      </xdr:nvSpPr>
      <xdr:spPr bwMode="auto">
        <a:xfrm>
          <a:off x="3848100" y="21021675"/>
          <a:ext cx="1276350" cy="733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133350</xdr:colOff>
      <xdr:row>8</xdr:row>
      <xdr:rowOff>76200</xdr:rowOff>
    </xdr:from>
    <xdr:to>
      <xdr:col>23</xdr:col>
      <xdr:colOff>57150</xdr:colOff>
      <xdr:row>12</xdr:row>
      <xdr:rowOff>76200</xdr:rowOff>
    </xdr:to>
    <xdr:sp macro="" textlink="">
      <xdr:nvSpPr>
        <xdr:cNvPr id="300187" name="Text Box 155" hidden="1">
          <a:extLst>
            <a:ext uri="{FF2B5EF4-FFF2-40B4-BE49-F238E27FC236}">
              <a16:creationId xmlns:a16="http://schemas.microsoft.com/office/drawing/2014/main" id="{342BBCE1-6545-4617-9C75-9F51804FF4A1}"/>
            </a:ext>
          </a:extLst>
        </xdr:cNvPr>
        <xdr:cNvSpPr txBox="1">
          <a:spLocks noChangeArrowheads="1"/>
        </xdr:cNvSpPr>
      </xdr:nvSpPr>
      <xdr:spPr bwMode="auto">
        <a:xfrm>
          <a:off x="17192625" y="2476500"/>
          <a:ext cx="14478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13</xdr:row>
      <xdr:rowOff>114300</xdr:rowOff>
    </xdr:from>
    <xdr:to>
      <xdr:col>22</xdr:col>
      <xdr:colOff>647700</xdr:colOff>
      <xdr:row>17</xdr:row>
      <xdr:rowOff>152400</xdr:rowOff>
    </xdr:to>
    <xdr:sp macro="" textlink="">
      <xdr:nvSpPr>
        <xdr:cNvPr id="300188" name="Text Box 156" hidden="1">
          <a:extLst>
            <a:ext uri="{FF2B5EF4-FFF2-40B4-BE49-F238E27FC236}">
              <a16:creationId xmlns:a16="http://schemas.microsoft.com/office/drawing/2014/main" id="{E1A16396-85F9-4121-BDD2-9FD5192C8013}"/>
            </a:ext>
          </a:extLst>
        </xdr:cNvPr>
        <xdr:cNvSpPr txBox="1">
          <a:spLocks noChangeArrowheads="1"/>
        </xdr:cNvSpPr>
      </xdr:nvSpPr>
      <xdr:spPr bwMode="auto">
        <a:xfrm>
          <a:off x="17154525" y="3457575"/>
          <a:ext cx="13144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24</xdr:row>
      <xdr:rowOff>114300</xdr:rowOff>
    </xdr:from>
    <xdr:to>
      <xdr:col>22</xdr:col>
      <xdr:colOff>647700</xdr:colOff>
      <xdr:row>28</xdr:row>
      <xdr:rowOff>152400</xdr:rowOff>
    </xdr:to>
    <xdr:sp macro="" textlink="">
      <xdr:nvSpPr>
        <xdr:cNvPr id="300189" name="Text Box 157" hidden="1">
          <a:extLst>
            <a:ext uri="{FF2B5EF4-FFF2-40B4-BE49-F238E27FC236}">
              <a16:creationId xmlns:a16="http://schemas.microsoft.com/office/drawing/2014/main" id="{B72126FC-B130-4C94-959E-3307E1A10C21}"/>
            </a:ext>
          </a:extLst>
        </xdr:cNvPr>
        <xdr:cNvSpPr txBox="1">
          <a:spLocks noChangeArrowheads="1"/>
        </xdr:cNvSpPr>
      </xdr:nvSpPr>
      <xdr:spPr bwMode="auto">
        <a:xfrm>
          <a:off x="17154525" y="5867400"/>
          <a:ext cx="131445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123</xdr:row>
      <xdr:rowOff>0</xdr:rowOff>
    </xdr:from>
    <xdr:to>
      <xdr:col>22</xdr:col>
      <xdr:colOff>647700</xdr:colOff>
      <xdr:row>126</xdr:row>
      <xdr:rowOff>215900</xdr:rowOff>
    </xdr:to>
    <xdr:sp macro="" textlink="">
      <xdr:nvSpPr>
        <xdr:cNvPr id="300196" name="Text Box 164" hidden="1">
          <a:extLst>
            <a:ext uri="{FF2B5EF4-FFF2-40B4-BE49-F238E27FC236}">
              <a16:creationId xmlns:a16="http://schemas.microsoft.com/office/drawing/2014/main" id="{DFC68AE1-8461-4AAB-A7FA-65D4CA4D36B9}"/>
            </a:ext>
          </a:extLst>
        </xdr:cNvPr>
        <xdr:cNvSpPr txBox="1">
          <a:spLocks noChangeArrowheads="1"/>
        </xdr:cNvSpPr>
      </xdr:nvSpPr>
      <xdr:spPr bwMode="auto">
        <a:xfrm>
          <a:off x="17154525" y="25593675"/>
          <a:ext cx="13144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12.xml><?xml version="1.0" encoding="utf-8"?>
<xdr:wsDr xmlns:xdr="http://schemas.openxmlformats.org/drawingml/2006/spreadsheetDrawing" xmlns:a="http://schemas.openxmlformats.org/drawingml/2006/main">
  <xdr:twoCellAnchor editAs="absolute">
    <xdr:from>
      <xdr:col>18</xdr:col>
      <xdr:colOff>114300</xdr:colOff>
      <xdr:row>12</xdr:row>
      <xdr:rowOff>457200</xdr:rowOff>
    </xdr:from>
    <xdr:to>
      <xdr:col>20</xdr:col>
      <xdr:colOff>419100</xdr:colOff>
      <xdr:row>16</xdr:row>
      <xdr:rowOff>83704</xdr:rowOff>
    </xdr:to>
    <xdr:sp macro="" textlink="">
      <xdr:nvSpPr>
        <xdr:cNvPr id="250883" name="Text Box 1027" hidden="1">
          <a:extLst>
            <a:ext uri="{FF2B5EF4-FFF2-40B4-BE49-F238E27FC236}">
              <a16:creationId xmlns:a16="http://schemas.microsoft.com/office/drawing/2014/main" id="{1188A251-9838-4F62-9E65-14B2C672C074}"/>
            </a:ext>
          </a:extLst>
        </xdr:cNvPr>
        <xdr:cNvSpPr txBox="1">
          <a:spLocks noChangeArrowheads="1"/>
        </xdr:cNvSpPr>
      </xdr:nvSpPr>
      <xdr:spPr bwMode="auto">
        <a:xfrm>
          <a:off x="12961620" y="3017520"/>
          <a:ext cx="128016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145415</xdr:colOff>
      <xdr:row>13</xdr:row>
      <xdr:rowOff>31635</xdr:rowOff>
    </xdr:from>
    <xdr:to>
      <xdr:col>20</xdr:col>
      <xdr:colOff>564515</xdr:colOff>
      <xdr:row>17</xdr:row>
      <xdr:rowOff>31634</xdr:rowOff>
    </xdr:to>
    <xdr:sp macro="" textlink="">
      <xdr:nvSpPr>
        <xdr:cNvPr id="3074" name="Text Box 1026" hidden="1">
          <a:extLst>
            <a:ext uri="{FF2B5EF4-FFF2-40B4-BE49-F238E27FC236}">
              <a16:creationId xmlns:a16="http://schemas.microsoft.com/office/drawing/2014/main" id="{C7808545-A7FB-4251-A7D2-05E26F9F72EC}"/>
            </a:ext>
          </a:extLst>
        </xdr:cNvPr>
        <xdr:cNvSpPr txBox="1">
          <a:spLocks noChangeArrowheads="1"/>
        </xdr:cNvSpPr>
      </xdr:nvSpPr>
      <xdr:spPr bwMode="auto">
        <a:xfrm>
          <a:off x="12639675" y="32480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13.xml><?xml version="1.0" encoding="utf-8"?>
<xdr:wsDr xmlns:xdr="http://schemas.openxmlformats.org/drawingml/2006/spreadsheetDrawing" xmlns:a="http://schemas.openxmlformats.org/drawingml/2006/main">
  <xdr:twoCellAnchor editAs="absolute">
    <xdr:from>
      <xdr:col>4</xdr:col>
      <xdr:colOff>2590800</xdr:colOff>
      <xdr:row>2</xdr:row>
      <xdr:rowOff>114300</xdr:rowOff>
    </xdr:from>
    <xdr:to>
      <xdr:col>5</xdr:col>
      <xdr:colOff>76200</xdr:colOff>
      <xdr:row>7</xdr:row>
      <xdr:rowOff>76200</xdr:rowOff>
    </xdr:to>
    <xdr:sp macro="" textlink="">
      <xdr:nvSpPr>
        <xdr:cNvPr id="86017" name="Text Box 1" hidden="1">
          <a:extLst>
            <a:ext uri="{FF2B5EF4-FFF2-40B4-BE49-F238E27FC236}">
              <a16:creationId xmlns:a16="http://schemas.microsoft.com/office/drawing/2014/main" id="{60D1D001-1046-4533-9C45-39F857D1A743}"/>
            </a:ext>
          </a:extLst>
        </xdr:cNvPr>
        <xdr:cNvSpPr txBox="1">
          <a:spLocks noChangeArrowheads="1"/>
        </xdr:cNvSpPr>
      </xdr:nvSpPr>
      <xdr:spPr bwMode="auto">
        <a:xfrm>
          <a:off x="10919460" y="556260"/>
          <a:ext cx="76200" cy="8763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3" name="Text Box 1" hidden="1">
          <a:extLst>
            <a:ext uri="{FF2B5EF4-FFF2-40B4-BE49-F238E27FC236}">
              <a16:creationId xmlns:a16="http://schemas.microsoft.com/office/drawing/2014/main" id="{8E661AB1-576B-4F12-9088-16C83BBC6925}"/>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4" name="Text Box 2" hidden="1">
          <a:extLst>
            <a:ext uri="{FF2B5EF4-FFF2-40B4-BE49-F238E27FC236}">
              <a16:creationId xmlns:a16="http://schemas.microsoft.com/office/drawing/2014/main" id="{5D64C7B4-6B60-4D68-8748-DDB4737632B0}"/>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5" name="Text Box 3" hidden="1">
          <a:extLst>
            <a:ext uri="{FF2B5EF4-FFF2-40B4-BE49-F238E27FC236}">
              <a16:creationId xmlns:a16="http://schemas.microsoft.com/office/drawing/2014/main" id="{9F50BCF7-9A6F-4377-895F-D27D853E989E}"/>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6" name="Text Box 4" hidden="1">
          <a:extLst>
            <a:ext uri="{FF2B5EF4-FFF2-40B4-BE49-F238E27FC236}">
              <a16:creationId xmlns:a16="http://schemas.microsoft.com/office/drawing/2014/main" id="{5B1E0600-AA2B-4FD7-8092-70B9E83AEB60}"/>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7" name="Text Box 5" hidden="1">
          <a:extLst>
            <a:ext uri="{FF2B5EF4-FFF2-40B4-BE49-F238E27FC236}">
              <a16:creationId xmlns:a16="http://schemas.microsoft.com/office/drawing/2014/main" id="{553F7E12-35A7-4787-9C0D-072ECE7197B9}"/>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8" name="Text Box 6" hidden="1">
          <a:extLst>
            <a:ext uri="{FF2B5EF4-FFF2-40B4-BE49-F238E27FC236}">
              <a16:creationId xmlns:a16="http://schemas.microsoft.com/office/drawing/2014/main" id="{4BC926D3-F2F6-4D7A-8C1E-8AA1153C9347}"/>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9" name="Text Box 7" hidden="1">
          <a:extLst>
            <a:ext uri="{FF2B5EF4-FFF2-40B4-BE49-F238E27FC236}">
              <a16:creationId xmlns:a16="http://schemas.microsoft.com/office/drawing/2014/main" id="{E449CD3A-4189-42AF-BFE6-D40FFD3D2A01}"/>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0" name="Text Box 8" hidden="1">
          <a:extLst>
            <a:ext uri="{FF2B5EF4-FFF2-40B4-BE49-F238E27FC236}">
              <a16:creationId xmlns:a16="http://schemas.microsoft.com/office/drawing/2014/main" id="{E485E787-FDAC-468C-AA1A-21FDE0A2DE0C}"/>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1" name="Text Box 9" hidden="1">
          <a:extLst>
            <a:ext uri="{FF2B5EF4-FFF2-40B4-BE49-F238E27FC236}">
              <a16:creationId xmlns:a16="http://schemas.microsoft.com/office/drawing/2014/main" id="{3A65C4C9-C601-48D1-AD7F-3A1DA6670B5E}"/>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2" name="Text Box 10" hidden="1">
          <a:extLst>
            <a:ext uri="{FF2B5EF4-FFF2-40B4-BE49-F238E27FC236}">
              <a16:creationId xmlns:a16="http://schemas.microsoft.com/office/drawing/2014/main" id="{C2073405-0020-4D2C-A7D1-6A83FDCF5C43}"/>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3" name="Text Box 11" hidden="1">
          <a:extLst>
            <a:ext uri="{FF2B5EF4-FFF2-40B4-BE49-F238E27FC236}">
              <a16:creationId xmlns:a16="http://schemas.microsoft.com/office/drawing/2014/main" id="{D3AA2167-6008-460B-9757-8AD482AD2669}"/>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4" name="Text Box 12" hidden="1">
          <a:extLst>
            <a:ext uri="{FF2B5EF4-FFF2-40B4-BE49-F238E27FC236}">
              <a16:creationId xmlns:a16="http://schemas.microsoft.com/office/drawing/2014/main" id="{FB7C1B62-F32A-41AA-8ABE-9B45DAE0B898}"/>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5" name="Text Box 13" hidden="1">
          <a:extLst>
            <a:ext uri="{FF2B5EF4-FFF2-40B4-BE49-F238E27FC236}">
              <a16:creationId xmlns:a16="http://schemas.microsoft.com/office/drawing/2014/main" id="{F1F7C83E-E071-422D-8F57-C1DBA1C30867}"/>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6" name="Text Box 14" hidden="1">
          <a:extLst>
            <a:ext uri="{FF2B5EF4-FFF2-40B4-BE49-F238E27FC236}">
              <a16:creationId xmlns:a16="http://schemas.microsoft.com/office/drawing/2014/main" id="{51D3E228-EBB3-4C39-AA80-DFE2828B9174}"/>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7" name="Text Box 15" hidden="1">
          <a:extLst>
            <a:ext uri="{FF2B5EF4-FFF2-40B4-BE49-F238E27FC236}">
              <a16:creationId xmlns:a16="http://schemas.microsoft.com/office/drawing/2014/main" id="{F01774BB-07A7-4F96-A4E7-8E19E829691E}"/>
            </a:ext>
          </a:extLst>
        </xdr:cNvPr>
        <xdr:cNvSpPr txBox="1">
          <a:spLocks noChangeArrowheads="1"/>
        </xdr:cNvSpPr>
      </xdr:nvSpPr>
      <xdr:spPr bwMode="auto">
        <a:xfrm>
          <a:off x="1101090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8" name="Text Box 16" hidden="1">
          <a:extLst>
            <a:ext uri="{FF2B5EF4-FFF2-40B4-BE49-F238E27FC236}">
              <a16:creationId xmlns:a16="http://schemas.microsoft.com/office/drawing/2014/main" id="{36E2E032-FA8C-4003-A868-1703E6A9CCB7}"/>
            </a:ext>
          </a:extLst>
        </xdr:cNvPr>
        <xdr:cNvSpPr txBox="1">
          <a:spLocks noChangeArrowheads="1"/>
        </xdr:cNvSpPr>
      </xdr:nvSpPr>
      <xdr:spPr bwMode="auto">
        <a:xfrm>
          <a:off x="1101090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9" name="Text Box 17" hidden="1">
          <a:extLst>
            <a:ext uri="{FF2B5EF4-FFF2-40B4-BE49-F238E27FC236}">
              <a16:creationId xmlns:a16="http://schemas.microsoft.com/office/drawing/2014/main" id="{7C35EC14-1BEF-4237-8543-91B180B44F1D}"/>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0" name="Text Box 18" hidden="1">
          <a:extLst>
            <a:ext uri="{FF2B5EF4-FFF2-40B4-BE49-F238E27FC236}">
              <a16:creationId xmlns:a16="http://schemas.microsoft.com/office/drawing/2014/main" id="{775EAFF3-8D53-4508-A335-2995A1FB88DB}"/>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1" name="Text Box 19" hidden="1">
          <a:extLst>
            <a:ext uri="{FF2B5EF4-FFF2-40B4-BE49-F238E27FC236}">
              <a16:creationId xmlns:a16="http://schemas.microsoft.com/office/drawing/2014/main" id="{E852218D-64AE-4597-B3F5-8C999A20A7C3}"/>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4" name="Text Box 22" hidden="1">
          <a:extLst>
            <a:ext uri="{FF2B5EF4-FFF2-40B4-BE49-F238E27FC236}">
              <a16:creationId xmlns:a16="http://schemas.microsoft.com/office/drawing/2014/main" id="{29B1FFF8-54BF-4CEC-BFD1-40A5A7F4009D}"/>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3" name="Text Box 21" hidden="1">
          <a:extLst>
            <a:ext uri="{FF2B5EF4-FFF2-40B4-BE49-F238E27FC236}">
              <a16:creationId xmlns:a16="http://schemas.microsoft.com/office/drawing/2014/main" id="{094D811A-31FC-4B5A-BDBD-EB84307AB687}"/>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2" name="Text Box 20" hidden="1">
          <a:extLst>
            <a:ext uri="{FF2B5EF4-FFF2-40B4-BE49-F238E27FC236}">
              <a16:creationId xmlns:a16="http://schemas.microsoft.com/office/drawing/2014/main" id="{CB2EE6E9-1456-4B4C-839C-41267FA8BD09}"/>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7" name="Text Box 25" hidden="1">
          <a:extLst>
            <a:ext uri="{FF2B5EF4-FFF2-40B4-BE49-F238E27FC236}">
              <a16:creationId xmlns:a16="http://schemas.microsoft.com/office/drawing/2014/main" id="{B1700CDE-C5BB-45DE-8F78-7404C7039F30}"/>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6" name="Text Box 24" hidden="1">
          <a:extLst>
            <a:ext uri="{FF2B5EF4-FFF2-40B4-BE49-F238E27FC236}">
              <a16:creationId xmlns:a16="http://schemas.microsoft.com/office/drawing/2014/main" id="{ED235D96-60B7-474D-842B-6FBD69058C7C}"/>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5" name="Text Box 23" hidden="1">
          <a:extLst>
            <a:ext uri="{FF2B5EF4-FFF2-40B4-BE49-F238E27FC236}">
              <a16:creationId xmlns:a16="http://schemas.microsoft.com/office/drawing/2014/main" id="{7496C537-960A-4255-A451-35CC29AA8318}"/>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8" name="Text Box 26" hidden="1">
          <a:extLst>
            <a:ext uri="{FF2B5EF4-FFF2-40B4-BE49-F238E27FC236}">
              <a16:creationId xmlns:a16="http://schemas.microsoft.com/office/drawing/2014/main" id="{8BCD07F9-E7CE-43EE-AB7D-902F5A077D62}"/>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1" name="Text Box 1" hidden="1">
          <a:extLst>
            <a:ext uri="{FF2B5EF4-FFF2-40B4-BE49-F238E27FC236}">
              <a16:creationId xmlns:a16="http://schemas.microsoft.com/office/drawing/2014/main" id="{09B212A1-707D-4891-9F8F-6A510532FA97}"/>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2" name="Text Box 2" hidden="1">
          <a:extLst>
            <a:ext uri="{FF2B5EF4-FFF2-40B4-BE49-F238E27FC236}">
              <a16:creationId xmlns:a16="http://schemas.microsoft.com/office/drawing/2014/main" id="{00D604D2-1890-4D6A-AD43-36E12625A3E5}"/>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3" name="Text Box 3" hidden="1">
          <a:extLst>
            <a:ext uri="{FF2B5EF4-FFF2-40B4-BE49-F238E27FC236}">
              <a16:creationId xmlns:a16="http://schemas.microsoft.com/office/drawing/2014/main" id="{3D5D7153-8C87-486D-9BCC-B60E91591DFA}"/>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4" name="Text Box 4" hidden="1">
          <a:extLst>
            <a:ext uri="{FF2B5EF4-FFF2-40B4-BE49-F238E27FC236}">
              <a16:creationId xmlns:a16="http://schemas.microsoft.com/office/drawing/2014/main" id="{9F452F40-0D7F-4F4A-A02A-3AD56583DD03}"/>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5" name="Text Box 5" hidden="1">
          <a:extLst>
            <a:ext uri="{FF2B5EF4-FFF2-40B4-BE49-F238E27FC236}">
              <a16:creationId xmlns:a16="http://schemas.microsoft.com/office/drawing/2014/main" id="{DB7D560E-6C96-48AB-B198-12B67FDCD070}"/>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03105" name="Text Box 1" hidden="1">
          <a:extLst>
            <a:ext uri="{FF2B5EF4-FFF2-40B4-BE49-F238E27FC236}">
              <a16:creationId xmlns:a16="http://schemas.microsoft.com/office/drawing/2014/main" id="{9528CDB7-A845-4D45-B1BF-58029DF36872}"/>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03106" name="Text Box 2" hidden="1">
          <a:extLst>
            <a:ext uri="{FF2B5EF4-FFF2-40B4-BE49-F238E27FC236}">
              <a16:creationId xmlns:a16="http://schemas.microsoft.com/office/drawing/2014/main" id="{5B425DA4-2721-4980-9017-436CAA169B06}"/>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03107" name="Text Box 3" hidden="1">
          <a:extLst>
            <a:ext uri="{FF2B5EF4-FFF2-40B4-BE49-F238E27FC236}">
              <a16:creationId xmlns:a16="http://schemas.microsoft.com/office/drawing/2014/main" id="{52F0AF23-7A81-4CD8-AAF6-8FA6110C6571}"/>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03108" name="Text Box 4" hidden="1">
          <a:extLst>
            <a:ext uri="{FF2B5EF4-FFF2-40B4-BE49-F238E27FC236}">
              <a16:creationId xmlns:a16="http://schemas.microsoft.com/office/drawing/2014/main" id="{8A23F851-9F26-489E-84BD-027FDA880CA8}"/>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03109" name="Text Box 5" hidden="1">
          <a:extLst>
            <a:ext uri="{FF2B5EF4-FFF2-40B4-BE49-F238E27FC236}">
              <a16:creationId xmlns:a16="http://schemas.microsoft.com/office/drawing/2014/main" id="{BA1384DA-0159-4449-AA5C-911AE9BA75DA}"/>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14.xml><?xml version="1.0" encoding="utf-8"?>
<xdr:wsDr xmlns:xdr="http://schemas.openxmlformats.org/drawingml/2006/spreadsheetDrawing" xmlns:a="http://schemas.openxmlformats.org/drawingml/2006/main">
  <xdr:twoCellAnchor editAs="absolute">
    <xdr:from>
      <xdr:col>8</xdr:col>
      <xdr:colOff>419100</xdr:colOff>
      <xdr:row>3</xdr:row>
      <xdr:rowOff>609600</xdr:rowOff>
    </xdr:from>
    <xdr:to>
      <xdr:col>10</xdr:col>
      <xdr:colOff>457200</xdr:colOff>
      <xdr:row>7</xdr:row>
      <xdr:rowOff>38100</xdr:rowOff>
    </xdr:to>
    <xdr:sp macro="" textlink="">
      <xdr:nvSpPr>
        <xdr:cNvPr id="131073" name="Text Box 1" hidden="1">
          <a:extLst>
            <a:ext uri="{FF2B5EF4-FFF2-40B4-BE49-F238E27FC236}">
              <a16:creationId xmlns:a16="http://schemas.microsoft.com/office/drawing/2014/main" id="{42434D36-7FB9-4EA4-B9DC-3EEDB0846249}"/>
            </a:ext>
          </a:extLst>
        </xdr:cNvPr>
        <xdr:cNvSpPr txBox="1">
          <a:spLocks noChangeArrowheads="1"/>
        </xdr:cNvSpPr>
      </xdr:nvSpPr>
      <xdr:spPr bwMode="auto">
        <a:xfrm>
          <a:off x="5128260" y="1508760"/>
          <a:ext cx="1409700" cy="777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131074" name="Text Box 2" hidden="1">
          <a:extLst>
            <a:ext uri="{FF2B5EF4-FFF2-40B4-BE49-F238E27FC236}">
              <a16:creationId xmlns:a16="http://schemas.microsoft.com/office/drawing/2014/main" id="{334EEA71-1471-4C48-91B5-22B9C7EECF7C}"/>
            </a:ext>
          </a:extLst>
        </xdr:cNvPr>
        <xdr:cNvSpPr txBox="1">
          <a:spLocks noChangeArrowheads="1"/>
        </xdr:cNvSpPr>
      </xdr:nvSpPr>
      <xdr:spPr bwMode="auto">
        <a:xfrm>
          <a:off x="9197340" y="1623060"/>
          <a:ext cx="1272540" cy="777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098" name="Text Box 2" hidden="1">
          <a:extLst>
            <a:ext uri="{FF2B5EF4-FFF2-40B4-BE49-F238E27FC236}">
              <a16:creationId xmlns:a16="http://schemas.microsoft.com/office/drawing/2014/main" id="{9B9F83BB-8AFF-4406-9542-06962B166D1E}"/>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097" name="Text Box 1" hidden="1">
          <a:extLst>
            <a:ext uri="{FF2B5EF4-FFF2-40B4-BE49-F238E27FC236}">
              <a16:creationId xmlns:a16="http://schemas.microsoft.com/office/drawing/2014/main" id="{8270EAEB-28C8-47AE-9ECC-54CABE1BA6B5}"/>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0" name="Text Box 4" hidden="1">
          <a:extLst>
            <a:ext uri="{FF2B5EF4-FFF2-40B4-BE49-F238E27FC236}">
              <a16:creationId xmlns:a16="http://schemas.microsoft.com/office/drawing/2014/main" id="{7156F3FB-ACD2-40A7-8B62-693DF4BEDF09}"/>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099" name="Text Box 3" hidden="1">
          <a:extLst>
            <a:ext uri="{FF2B5EF4-FFF2-40B4-BE49-F238E27FC236}">
              <a16:creationId xmlns:a16="http://schemas.microsoft.com/office/drawing/2014/main" id="{2941EA4D-C571-4004-9DF7-187764218567}"/>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2" name="Text Box 6" hidden="1">
          <a:extLst>
            <a:ext uri="{FF2B5EF4-FFF2-40B4-BE49-F238E27FC236}">
              <a16:creationId xmlns:a16="http://schemas.microsoft.com/office/drawing/2014/main" id="{2000C70B-5FD5-4B97-9EB4-51C1CF5D0205}"/>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1" name="Text Box 5" hidden="1">
          <a:extLst>
            <a:ext uri="{FF2B5EF4-FFF2-40B4-BE49-F238E27FC236}">
              <a16:creationId xmlns:a16="http://schemas.microsoft.com/office/drawing/2014/main" id="{39A2FE59-857E-41F0-8352-D311F1370A98}"/>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4" name="Text Box 8" hidden="1">
          <a:extLst>
            <a:ext uri="{FF2B5EF4-FFF2-40B4-BE49-F238E27FC236}">
              <a16:creationId xmlns:a16="http://schemas.microsoft.com/office/drawing/2014/main" id="{96847540-068F-4EEE-9405-9AB84D6B5FA2}"/>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3" name="Text Box 7" hidden="1">
          <a:extLst>
            <a:ext uri="{FF2B5EF4-FFF2-40B4-BE49-F238E27FC236}">
              <a16:creationId xmlns:a16="http://schemas.microsoft.com/office/drawing/2014/main" id="{7CA74DF3-EF75-4398-B292-9E1C3DF7ADC5}"/>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6" name="Text Box 10" hidden="1">
          <a:extLst>
            <a:ext uri="{FF2B5EF4-FFF2-40B4-BE49-F238E27FC236}">
              <a16:creationId xmlns:a16="http://schemas.microsoft.com/office/drawing/2014/main" id="{927EA3B3-6F63-4E8A-8478-A655B58C1017}"/>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5" name="Text Box 9" hidden="1">
          <a:extLst>
            <a:ext uri="{FF2B5EF4-FFF2-40B4-BE49-F238E27FC236}">
              <a16:creationId xmlns:a16="http://schemas.microsoft.com/office/drawing/2014/main" id="{BDDC4F93-B1A7-43B4-8F0D-F9D03255F17F}"/>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8" name="Text Box 12" hidden="1">
          <a:extLst>
            <a:ext uri="{FF2B5EF4-FFF2-40B4-BE49-F238E27FC236}">
              <a16:creationId xmlns:a16="http://schemas.microsoft.com/office/drawing/2014/main" id="{707BD620-C67D-48CB-B86B-5379277AA230}"/>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7" name="Text Box 11" hidden="1">
          <a:extLst>
            <a:ext uri="{FF2B5EF4-FFF2-40B4-BE49-F238E27FC236}">
              <a16:creationId xmlns:a16="http://schemas.microsoft.com/office/drawing/2014/main" id="{FAF47932-D21E-4398-975D-96B04299387B}"/>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0" name="Text Box 14" hidden="1">
          <a:extLst>
            <a:ext uri="{FF2B5EF4-FFF2-40B4-BE49-F238E27FC236}">
              <a16:creationId xmlns:a16="http://schemas.microsoft.com/office/drawing/2014/main" id="{0F032954-6377-4FD0-862D-0F6F2BE1620D}"/>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9" name="Text Box 13" hidden="1">
          <a:extLst>
            <a:ext uri="{FF2B5EF4-FFF2-40B4-BE49-F238E27FC236}">
              <a16:creationId xmlns:a16="http://schemas.microsoft.com/office/drawing/2014/main" id="{04DE74A6-49D0-4CF2-A783-C0DE8E1822E6}"/>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2" name="Text Box 16" hidden="1">
          <a:extLst>
            <a:ext uri="{FF2B5EF4-FFF2-40B4-BE49-F238E27FC236}">
              <a16:creationId xmlns:a16="http://schemas.microsoft.com/office/drawing/2014/main" id="{1845F47A-3138-484F-AC96-54B659976A6D}"/>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1" name="Text Box 15" hidden="1">
          <a:extLst>
            <a:ext uri="{FF2B5EF4-FFF2-40B4-BE49-F238E27FC236}">
              <a16:creationId xmlns:a16="http://schemas.microsoft.com/office/drawing/2014/main" id="{8CDD614C-FF74-431D-8BD9-B7334D3813A1}"/>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4" name="Text Box 18" hidden="1">
          <a:extLst>
            <a:ext uri="{FF2B5EF4-FFF2-40B4-BE49-F238E27FC236}">
              <a16:creationId xmlns:a16="http://schemas.microsoft.com/office/drawing/2014/main" id="{CC58B971-DA47-46BE-BF47-944D395E2807}"/>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3" name="Text Box 17" hidden="1">
          <a:extLst>
            <a:ext uri="{FF2B5EF4-FFF2-40B4-BE49-F238E27FC236}">
              <a16:creationId xmlns:a16="http://schemas.microsoft.com/office/drawing/2014/main" id="{F359A1AF-0D89-44C0-88D7-93AF99C45D78}"/>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6" name="Text Box 20" hidden="1">
          <a:extLst>
            <a:ext uri="{FF2B5EF4-FFF2-40B4-BE49-F238E27FC236}">
              <a16:creationId xmlns:a16="http://schemas.microsoft.com/office/drawing/2014/main" id="{A8D81E02-A46C-4D2E-8DF8-F687590E622E}"/>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5" name="Text Box 19" hidden="1">
          <a:extLst>
            <a:ext uri="{FF2B5EF4-FFF2-40B4-BE49-F238E27FC236}">
              <a16:creationId xmlns:a16="http://schemas.microsoft.com/office/drawing/2014/main" id="{B36955CF-7E9D-494E-8716-4AA55BE3AAC0}"/>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8" name="Text Box 22" hidden="1">
          <a:extLst>
            <a:ext uri="{FF2B5EF4-FFF2-40B4-BE49-F238E27FC236}">
              <a16:creationId xmlns:a16="http://schemas.microsoft.com/office/drawing/2014/main" id="{7906588B-9C74-41FB-A152-7C26E36B86CD}"/>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7" name="Text Box 21" hidden="1">
          <a:extLst>
            <a:ext uri="{FF2B5EF4-FFF2-40B4-BE49-F238E27FC236}">
              <a16:creationId xmlns:a16="http://schemas.microsoft.com/office/drawing/2014/main" id="{26C67B9B-2DC3-4419-8544-ECE70CF5C47E}"/>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0" name="Text Box 24" hidden="1">
          <a:extLst>
            <a:ext uri="{FF2B5EF4-FFF2-40B4-BE49-F238E27FC236}">
              <a16:creationId xmlns:a16="http://schemas.microsoft.com/office/drawing/2014/main" id="{21E8A8AF-8DE5-45F7-920F-45D91B5167AE}"/>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9" name="Text Box 23" hidden="1">
          <a:extLst>
            <a:ext uri="{FF2B5EF4-FFF2-40B4-BE49-F238E27FC236}">
              <a16:creationId xmlns:a16="http://schemas.microsoft.com/office/drawing/2014/main" id="{ABF6312D-B56B-4404-8BA7-6584FB93AD23}"/>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2" name="Text Box 26" hidden="1">
          <a:extLst>
            <a:ext uri="{FF2B5EF4-FFF2-40B4-BE49-F238E27FC236}">
              <a16:creationId xmlns:a16="http://schemas.microsoft.com/office/drawing/2014/main" id="{F40197AA-8E53-4A5B-94D9-1321E90126BE}"/>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1" name="Text Box 25" hidden="1">
          <a:extLst>
            <a:ext uri="{FF2B5EF4-FFF2-40B4-BE49-F238E27FC236}">
              <a16:creationId xmlns:a16="http://schemas.microsoft.com/office/drawing/2014/main" id="{9C348EC2-EDBB-4A89-90E5-47B20C774A6C}"/>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4" name="Text Box 28" hidden="1">
          <a:extLst>
            <a:ext uri="{FF2B5EF4-FFF2-40B4-BE49-F238E27FC236}">
              <a16:creationId xmlns:a16="http://schemas.microsoft.com/office/drawing/2014/main" id="{F59E596F-CC51-4679-AC83-57651C7047CC}"/>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3" name="Text Box 27" hidden="1">
          <a:extLst>
            <a:ext uri="{FF2B5EF4-FFF2-40B4-BE49-F238E27FC236}">
              <a16:creationId xmlns:a16="http://schemas.microsoft.com/office/drawing/2014/main" id="{E022272A-1548-4658-947F-A232B1677A46}"/>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6" name="Text Box 30" hidden="1">
          <a:extLst>
            <a:ext uri="{FF2B5EF4-FFF2-40B4-BE49-F238E27FC236}">
              <a16:creationId xmlns:a16="http://schemas.microsoft.com/office/drawing/2014/main" id="{E0EFA109-3A5A-44FB-9286-F9E024E0DFF0}"/>
            </a:ext>
          </a:extLst>
        </xdr:cNvPr>
        <xdr:cNvSpPr txBox="1">
          <a:spLocks noChangeArrowheads="1"/>
        </xdr:cNvSpPr>
      </xdr:nvSpPr>
      <xdr:spPr bwMode="auto">
        <a:xfrm>
          <a:off x="514985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5" name="Text Box 29" hidden="1">
          <a:extLst>
            <a:ext uri="{FF2B5EF4-FFF2-40B4-BE49-F238E27FC236}">
              <a16:creationId xmlns:a16="http://schemas.microsoft.com/office/drawing/2014/main" id="{1CDA0D67-F909-4C62-B259-D26AB2CA4B8B}"/>
            </a:ext>
          </a:extLst>
        </xdr:cNvPr>
        <xdr:cNvSpPr txBox="1">
          <a:spLocks noChangeArrowheads="1"/>
        </xdr:cNvSpPr>
      </xdr:nvSpPr>
      <xdr:spPr bwMode="auto">
        <a:xfrm>
          <a:off x="921385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8" name="Text Box 32" hidden="1">
          <a:extLst>
            <a:ext uri="{FF2B5EF4-FFF2-40B4-BE49-F238E27FC236}">
              <a16:creationId xmlns:a16="http://schemas.microsoft.com/office/drawing/2014/main" id="{CBED9F22-866B-48CF-A5E7-F29A22D414A6}"/>
            </a:ext>
          </a:extLst>
        </xdr:cNvPr>
        <xdr:cNvSpPr txBox="1">
          <a:spLocks noChangeArrowheads="1"/>
        </xdr:cNvSpPr>
      </xdr:nvSpPr>
      <xdr:spPr bwMode="auto">
        <a:xfrm>
          <a:off x="514985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7" name="Text Box 31" hidden="1">
          <a:extLst>
            <a:ext uri="{FF2B5EF4-FFF2-40B4-BE49-F238E27FC236}">
              <a16:creationId xmlns:a16="http://schemas.microsoft.com/office/drawing/2014/main" id="{F2E58B79-AE2A-4D3D-8650-7A58591CD517}"/>
            </a:ext>
          </a:extLst>
        </xdr:cNvPr>
        <xdr:cNvSpPr txBox="1">
          <a:spLocks noChangeArrowheads="1"/>
        </xdr:cNvSpPr>
      </xdr:nvSpPr>
      <xdr:spPr bwMode="auto">
        <a:xfrm>
          <a:off x="921385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0" name="Text Box 34" hidden="1">
          <a:extLst>
            <a:ext uri="{FF2B5EF4-FFF2-40B4-BE49-F238E27FC236}">
              <a16:creationId xmlns:a16="http://schemas.microsoft.com/office/drawing/2014/main" id="{83FAC04A-046B-4C41-A395-19D2E0C9D7E4}"/>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9" name="Text Box 33" hidden="1">
          <a:extLst>
            <a:ext uri="{FF2B5EF4-FFF2-40B4-BE49-F238E27FC236}">
              <a16:creationId xmlns:a16="http://schemas.microsoft.com/office/drawing/2014/main" id="{1B6F8C96-CE31-4128-B626-5AF203CE058E}"/>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2" name="Text Box 36" hidden="1">
          <a:extLst>
            <a:ext uri="{FF2B5EF4-FFF2-40B4-BE49-F238E27FC236}">
              <a16:creationId xmlns:a16="http://schemas.microsoft.com/office/drawing/2014/main" id="{11CD5B20-A469-4B8A-97E4-A40349A8027B}"/>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1" name="Text Box 35" hidden="1">
          <a:extLst>
            <a:ext uri="{FF2B5EF4-FFF2-40B4-BE49-F238E27FC236}">
              <a16:creationId xmlns:a16="http://schemas.microsoft.com/office/drawing/2014/main" id="{98DAC47D-6F9C-45C0-97AB-CF8406A88863}"/>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4" name="Text Box 38" hidden="1">
          <a:extLst>
            <a:ext uri="{FF2B5EF4-FFF2-40B4-BE49-F238E27FC236}">
              <a16:creationId xmlns:a16="http://schemas.microsoft.com/office/drawing/2014/main" id="{9DB47089-4E1F-4D69-A1C7-124C944C3C81}"/>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3" name="Text Box 37" hidden="1">
          <a:extLst>
            <a:ext uri="{FF2B5EF4-FFF2-40B4-BE49-F238E27FC236}">
              <a16:creationId xmlns:a16="http://schemas.microsoft.com/office/drawing/2014/main" id="{D4CEDBC4-D2BD-46D5-B004-92330C1634BA}"/>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0" name="Text Box 44" hidden="1">
          <a:extLst>
            <a:ext uri="{FF2B5EF4-FFF2-40B4-BE49-F238E27FC236}">
              <a16:creationId xmlns:a16="http://schemas.microsoft.com/office/drawing/2014/main" id="{B50B8CBD-FF2F-43CE-8974-01CB190F20F9}"/>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9" name="Text Box 43" hidden="1">
          <a:extLst>
            <a:ext uri="{FF2B5EF4-FFF2-40B4-BE49-F238E27FC236}">
              <a16:creationId xmlns:a16="http://schemas.microsoft.com/office/drawing/2014/main" id="{7A3BE179-244B-4868-B35A-B4D6F614EBFA}"/>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8" name="Text Box 42" hidden="1">
          <a:extLst>
            <a:ext uri="{FF2B5EF4-FFF2-40B4-BE49-F238E27FC236}">
              <a16:creationId xmlns:a16="http://schemas.microsoft.com/office/drawing/2014/main" id="{616E5FFE-A5A0-430C-B13B-9899B2389665}"/>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7" name="Text Box 41" hidden="1">
          <a:extLst>
            <a:ext uri="{FF2B5EF4-FFF2-40B4-BE49-F238E27FC236}">
              <a16:creationId xmlns:a16="http://schemas.microsoft.com/office/drawing/2014/main" id="{DB1C2CD5-C126-448A-B2DB-61E784469911}"/>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6" name="Text Box 40" hidden="1">
          <a:extLst>
            <a:ext uri="{FF2B5EF4-FFF2-40B4-BE49-F238E27FC236}">
              <a16:creationId xmlns:a16="http://schemas.microsoft.com/office/drawing/2014/main" id="{6A9623F3-96E6-4049-B198-0F3943D4257A}"/>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5" name="Text Box 39" hidden="1">
          <a:extLst>
            <a:ext uri="{FF2B5EF4-FFF2-40B4-BE49-F238E27FC236}">
              <a16:creationId xmlns:a16="http://schemas.microsoft.com/office/drawing/2014/main" id="{A3FDF3CE-5FBA-4844-AFD0-C5808B9478FD}"/>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6" name="Text Box 50" hidden="1">
          <a:extLst>
            <a:ext uri="{FF2B5EF4-FFF2-40B4-BE49-F238E27FC236}">
              <a16:creationId xmlns:a16="http://schemas.microsoft.com/office/drawing/2014/main" id="{D1923DB2-A8F1-496E-9439-DC5AD548ED49}"/>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5" name="Text Box 49" hidden="1">
          <a:extLst>
            <a:ext uri="{FF2B5EF4-FFF2-40B4-BE49-F238E27FC236}">
              <a16:creationId xmlns:a16="http://schemas.microsoft.com/office/drawing/2014/main" id="{990558A6-585F-40C4-B870-2C0066C87D44}"/>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4" name="Text Box 48" hidden="1">
          <a:extLst>
            <a:ext uri="{FF2B5EF4-FFF2-40B4-BE49-F238E27FC236}">
              <a16:creationId xmlns:a16="http://schemas.microsoft.com/office/drawing/2014/main" id="{53A25EC9-0484-4D12-B2DB-4D8C3E4067DA}"/>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3" name="Text Box 47" hidden="1">
          <a:extLst>
            <a:ext uri="{FF2B5EF4-FFF2-40B4-BE49-F238E27FC236}">
              <a16:creationId xmlns:a16="http://schemas.microsoft.com/office/drawing/2014/main" id="{829E57AA-3C10-46C8-BF83-C49B543C133A}"/>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2" name="Text Box 46" hidden="1">
          <a:extLst>
            <a:ext uri="{FF2B5EF4-FFF2-40B4-BE49-F238E27FC236}">
              <a16:creationId xmlns:a16="http://schemas.microsoft.com/office/drawing/2014/main" id="{E206D031-AA59-47D4-9125-EDA8E9693B49}"/>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1" name="Text Box 45" hidden="1">
          <a:extLst>
            <a:ext uri="{FF2B5EF4-FFF2-40B4-BE49-F238E27FC236}">
              <a16:creationId xmlns:a16="http://schemas.microsoft.com/office/drawing/2014/main" id="{55630761-3800-41C5-8E3C-5A3078FC8256}"/>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8" name="Text Box 52" hidden="1">
          <a:extLst>
            <a:ext uri="{FF2B5EF4-FFF2-40B4-BE49-F238E27FC236}">
              <a16:creationId xmlns:a16="http://schemas.microsoft.com/office/drawing/2014/main" id="{42B4EA78-5BC8-4ED4-A051-6D47AEAFBD6B}"/>
            </a:ext>
          </a:extLst>
        </xdr:cNvPr>
        <xdr:cNvSpPr txBox="1">
          <a:spLocks noChangeArrowheads="1"/>
        </xdr:cNvSpPr>
      </xdr:nvSpPr>
      <xdr:spPr bwMode="auto">
        <a:xfrm>
          <a:off x="50292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7" name="Text Box 51" hidden="1">
          <a:extLst>
            <a:ext uri="{FF2B5EF4-FFF2-40B4-BE49-F238E27FC236}">
              <a16:creationId xmlns:a16="http://schemas.microsoft.com/office/drawing/2014/main" id="{4AFE00F5-E185-430C-97FF-05A557C76620}"/>
            </a:ext>
          </a:extLst>
        </xdr:cNvPr>
        <xdr:cNvSpPr txBox="1">
          <a:spLocks noChangeArrowheads="1"/>
        </xdr:cNvSpPr>
      </xdr:nvSpPr>
      <xdr:spPr bwMode="auto">
        <a:xfrm>
          <a:off x="89535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50" name="Text Box 54" hidden="1">
          <a:extLst>
            <a:ext uri="{FF2B5EF4-FFF2-40B4-BE49-F238E27FC236}">
              <a16:creationId xmlns:a16="http://schemas.microsoft.com/office/drawing/2014/main" id="{F270E8A7-96BC-4953-BED8-B4C0E202D21B}"/>
            </a:ext>
          </a:extLst>
        </xdr:cNvPr>
        <xdr:cNvSpPr txBox="1">
          <a:spLocks noChangeArrowheads="1"/>
        </xdr:cNvSpPr>
      </xdr:nvSpPr>
      <xdr:spPr bwMode="auto">
        <a:xfrm>
          <a:off x="518922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9" name="Text Box 53" hidden="1">
          <a:extLst>
            <a:ext uri="{FF2B5EF4-FFF2-40B4-BE49-F238E27FC236}">
              <a16:creationId xmlns:a16="http://schemas.microsoft.com/office/drawing/2014/main" id="{D878D37E-69E1-442F-9ED4-C71041CB1F14}"/>
            </a:ext>
          </a:extLst>
        </xdr:cNvPr>
        <xdr:cNvSpPr txBox="1">
          <a:spLocks noChangeArrowheads="1"/>
        </xdr:cNvSpPr>
      </xdr:nvSpPr>
      <xdr:spPr bwMode="auto">
        <a:xfrm>
          <a:off x="925830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77506" name="Text Box 2" hidden="1">
          <a:extLst>
            <a:ext uri="{FF2B5EF4-FFF2-40B4-BE49-F238E27FC236}">
              <a16:creationId xmlns:a16="http://schemas.microsoft.com/office/drawing/2014/main" id="{99F26637-C559-4A6A-90A5-08D4FD53EB17}"/>
            </a:ext>
          </a:extLst>
        </xdr:cNvPr>
        <xdr:cNvSpPr txBox="1">
          <a:spLocks noChangeArrowheads="1"/>
        </xdr:cNvSpPr>
      </xdr:nvSpPr>
      <xdr:spPr bwMode="auto">
        <a:xfrm>
          <a:off x="50292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77505" name="Text Box 1" hidden="1">
          <a:extLst>
            <a:ext uri="{FF2B5EF4-FFF2-40B4-BE49-F238E27FC236}">
              <a16:creationId xmlns:a16="http://schemas.microsoft.com/office/drawing/2014/main" id="{360D014E-5638-4003-AA5E-98BD837085CC}"/>
            </a:ext>
          </a:extLst>
        </xdr:cNvPr>
        <xdr:cNvSpPr txBox="1">
          <a:spLocks noChangeArrowheads="1"/>
        </xdr:cNvSpPr>
      </xdr:nvSpPr>
      <xdr:spPr bwMode="auto">
        <a:xfrm>
          <a:off x="89535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77508" name="Text Box 4" hidden="1">
          <a:extLst>
            <a:ext uri="{FF2B5EF4-FFF2-40B4-BE49-F238E27FC236}">
              <a16:creationId xmlns:a16="http://schemas.microsoft.com/office/drawing/2014/main" id="{E6152750-7DCF-409D-A8C9-E0C76B8C30FC}"/>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77507" name="Text Box 3" hidden="1">
          <a:extLst>
            <a:ext uri="{FF2B5EF4-FFF2-40B4-BE49-F238E27FC236}">
              <a16:creationId xmlns:a16="http://schemas.microsoft.com/office/drawing/2014/main" id="{3DA46D79-D947-4780-8F48-E71847AEF037}"/>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77510" name="Text Box 6" hidden="1">
          <a:extLst>
            <a:ext uri="{FF2B5EF4-FFF2-40B4-BE49-F238E27FC236}">
              <a16:creationId xmlns:a16="http://schemas.microsoft.com/office/drawing/2014/main" id="{D7B795AA-F2A8-41E7-8946-9809985CC7E3}"/>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77509" name="Text Box 5" hidden="1">
          <a:extLst>
            <a:ext uri="{FF2B5EF4-FFF2-40B4-BE49-F238E27FC236}">
              <a16:creationId xmlns:a16="http://schemas.microsoft.com/office/drawing/2014/main" id="{F597CF6A-3769-46EB-A2CA-956A3C48EF3B}"/>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77512" name="Text Box 8" hidden="1">
          <a:extLst>
            <a:ext uri="{FF2B5EF4-FFF2-40B4-BE49-F238E27FC236}">
              <a16:creationId xmlns:a16="http://schemas.microsoft.com/office/drawing/2014/main" id="{8CA7E04B-38FE-417C-8FEE-5972FF4F4A47}"/>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77511" name="Text Box 7" hidden="1">
          <a:extLst>
            <a:ext uri="{FF2B5EF4-FFF2-40B4-BE49-F238E27FC236}">
              <a16:creationId xmlns:a16="http://schemas.microsoft.com/office/drawing/2014/main" id="{4D7F07E8-6926-4D4B-AD49-97E7157AE332}"/>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04130" name="Text Box 2" hidden="1">
          <a:extLst>
            <a:ext uri="{FF2B5EF4-FFF2-40B4-BE49-F238E27FC236}">
              <a16:creationId xmlns:a16="http://schemas.microsoft.com/office/drawing/2014/main" id="{544C6807-55DC-46BD-84D9-C7B77B7D481B}"/>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04129" name="Text Box 1" hidden="1">
          <a:extLst>
            <a:ext uri="{FF2B5EF4-FFF2-40B4-BE49-F238E27FC236}">
              <a16:creationId xmlns:a16="http://schemas.microsoft.com/office/drawing/2014/main" id="{EC160E7D-D656-401C-B852-36F1BA9B6D60}"/>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04132" name="Text Box 4" hidden="1">
          <a:extLst>
            <a:ext uri="{FF2B5EF4-FFF2-40B4-BE49-F238E27FC236}">
              <a16:creationId xmlns:a16="http://schemas.microsoft.com/office/drawing/2014/main" id="{D96784B0-D851-4205-866D-2EDC6F04FFF8}"/>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04131" name="Text Box 3" hidden="1">
          <a:extLst>
            <a:ext uri="{FF2B5EF4-FFF2-40B4-BE49-F238E27FC236}">
              <a16:creationId xmlns:a16="http://schemas.microsoft.com/office/drawing/2014/main" id="{54D1236A-1E4F-44D4-993D-1F85CD0F6043}"/>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04134" name="Text Box 6" hidden="1">
          <a:extLst>
            <a:ext uri="{FF2B5EF4-FFF2-40B4-BE49-F238E27FC236}">
              <a16:creationId xmlns:a16="http://schemas.microsoft.com/office/drawing/2014/main" id="{DE021924-5BCB-4A8E-AE0F-61173DB9E698}"/>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04133" name="Text Box 5" hidden="1">
          <a:extLst>
            <a:ext uri="{FF2B5EF4-FFF2-40B4-BE49-F238E27FC236}">
              <a16:creationId xmlns:a16="http://schemas.microsoft.com/office/drawing/2014/main" id="{F83E2D3C-C56C-4AC2-8A4E-12BCE0440F43}"/>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04136" name="Text Box 8" hidden="1">
          <a:extLst>
            <a:ext uri="{FF2B5EF4-FFF2-40B4-BE49-F238E27FC236}">
              <a16:creationId xmlns:a16="http://schemas.microsoft.com/office/drawing/2014/main" id="{AF9F29AB-63AC-4DC4-945C-4020726151CE}"/>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04135" name="Text Box 7" hidden="1">
          <a:extLst>
            <a:ext uri="{FF2B5EF4-FFF2-40B4-BE49-F238E27FC236}">
              <a16:creationId xmlns:a16="http://schemas.microsoft.com/office/drawing/2014/main" id="{58932486-A8B2-4941-8472-0D0A92EDED71}"/>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04138" name="Text Box 10" hidden="1">
          <a:extLst>
            <a:ext uri="{FF2B5EF4-FFF2-40B4-BE49-F238E27FC236}">
              <a16:creationId xmlns:a16="http://schemas.microsoft.com/office/drawing/2014/main" id="{AD16E454-DADF-4135-884F-36E3561430F9}"/>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04137" name="Text Box 9" hidden="1">
          <a:extLst>
            <a:ext uri="{FF2B5EF4-FFF2-40B4-BE49-F238E27FC236}">
              <a16:creationId xmlns:a16="http://schemas.microsoft.com/office/drawing/2014/main" id="{9242DB81-A2EB-4B2E-8522-CCDE61AE19F8}"/>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2</xdr:col>
      <xdr:colOff>38100</xdr:colOff>
      <xdr:row>20</xdr:row>
      <xdr:rowOff>38100</xdr:rowOff>
    </xdr:from>
    <xdr:to>
      <xdr:col>3</xdr:col>
      <xdr:colOff>609600</xdr:colOff>
      <xdr:row>25</xdr:row>
      <xdr:rowOff>103717</xdr:rowOff>
    </xdr:to>
    <xdr:sp macro="" textlink="">
      <xdr:nvSpPr>
        <xdr:cNvPr id="165889" name="Text Box 1025" hidden="1">
          <a:extLst>
            <a:ext uri="{FF2B5EF4-FFF2-40B4-BE49-F238E27FC236}">
              <a16:creationId xmlns:a16="http://schemas.microsoft.com/office/drawing/2014/main" id="{B1168B61-EE79-4C3A-A5BE-017914EFE070}"/>
            </a:ext>
          </a:extLst>
        </xdr:cNvPr>
        <xdr:cNvSpPr txBox="1">
          <a:spLocks noChangeArrowheads="1"/>
        </xdr:cNvSpPr>
      </xdr:nvSpPr>
      <xdr:spPr bwMode="auto">
        <a:xfrm>
          <a:off x="4427220" y="4152900"/>
          <a:ext cx="1356360" cy="9906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1027" name="Text Box 3" hidden="1">
          <a:extLst>
            <a:ext uri="{FF2B5EF4-FFF2-40B4-BE49-F238E27FC236}">
              <a16:creationId xmlns:a16="http://schemas.microsoft.com/office/drawing/2014/main" id="{9F247216-4D56-4166-9831-3F596F2022A8}"/>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1029" name="Text Box 5" hidden="1">
          <a:extLst>
            <a:ext uri="{FF2B5EF4-FFF2-40B4-BE49-F238E27FC236}">
              <a16:creationId xmlns:a16="http://schemas.microsoft.com/office/drawing/2014/main" id="{409D7FE2-E0CF-48FB-B6D1-897059BF6BF6}"/>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85090</xdr:rowOff>
    </xdr:from>
    <xdr:to>
      <xdr:col>4</xdr:col>
      <xdr:colOff>0</xdr:colOff>
      <xdr:row>25</xdr:row>
      <xdr:rowOff>84667</xdr:rowOff>
    </xdr:to>
    <xdr:sp macro="" textlink="">
      <xdr:nvSpPr>
        <xdr:cNvPr id="1028" name="Text Box 4" hidden="1">
          <a:extLst>
            <a:ext uri="{FF2B5EF4-FFF2-40B4-BE49-F238E27FC236}">
              <a16:creationId xmlns:a16="http://schemas.microsoft.com/office/drawing/2014/main" id="{7D7B7B44-87B2-4A3C-809F-1F92C4FB4C3E}"/>
            </a:ext>
          </a:extLst>
        </xdr:cNvPr>
        <xdr:cNvSpPr txBox="1">
          <a:spLocks noChangeArrowheads="1"/>
        </xdr:cNvSpPr>
      </xdr:nvSpPr>
      <xdr:spPr bwMode="auto">
        <a:xfrm>
          <a:off x="4410075" y="44672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2" name="Text Box 5" hidden="1">
          <a:extLst>
            <a:ext uri="{FF2B5EF4-FFF2-40B4-BE49-F238E27FC236}">
              <a16:creationId xmlns:a16="http://schemas.microsoft.com/office/drawing/2014/main" id="{DF9764D7-CFDA-44EF-A61E-AFF4E5C13812}"/>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85090</xdr:rowOff>
    </xdr:from>
    <xdr:to>
      <xdr:col>4</xdr:col>
      <xdr:colOff>0</xdr:colOff>
      <xdr:row>25</xdr:row>
      <xdr:rowOff>84667</xdr:rowOff>
    </xdr:to>
    <xdr:sp macro="" textlink="">
      <xdr:nvSpPr>
        <xdr:cNvPr id="3" name="Text Box 4" hidden="1">
          <a:extLst>
            <a:ext uri="{FF2B5EF4-FFF2-40B4-BE49-F238E27FC236}">
              <a16:creationId xmlns:a16="http://schemas.microsoft.com/office/drawing/2014/main" id="{DAB62A5A-C934-4E11-A33A-DC5810CB9810}"/>
            </a:ext>
          </a:extLst>
        </xdr:cNvPr>
        <xdr:cNvSpPr txBox="1">
          <a:spLocks noChangeArrowheads="1"/>
        </xdr:cNvSpPr>
      </xdr:nvSpPr>
      <xdr:spPr bwMode="auto">
        <a:xfrm>
          <a:off x="4410075" y="4467225"/>
          <a:ext cx="13716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4" name="Text Box 5" hidden="1">
          <a:extLst>
            <a:ext uri="{FF2B5EF4-FFF2-40B4-BE49-F238E27FC236}">
              <a16:creationId xmlns:a16="http://schemas.microsoft.com/office/drawing/2014/main" id="{C70C765D-FC44-4369-9A03-6CA121B0E5B0}"/>
            </a:ext>
          </a:extLst>
        </xdr:cNvPr>
        <xdr:cNvSpPr txBox="1">
          <a:spLocks noChangeArrowheads="1"/>
        </xdr:cNvSpPr>
      </xdr:nvSpPr>
      <xdr:spPr bwMode="auto">
        <a:xfrm>
          <a:off x="4427220" y="4152900"/>
          <a:ext cx="13563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95250</xdr:rowOff>
    </xdr:from>
    <xdr:to>
      <xdr:col>4</xdr:col>
      <xdr:colOff>0</xdr:colOff>
      <xdr:row>25</xdr:row>
      <xdr:rowOff>87207</xdr:rowOff>
    </xdr:to>
    <xdr:sp macro="" textlink="">
      <xdr:nvSpPr>
        <xdr:cNvPr id="5" name="Text Box 4" hidden="1">
          <a:extLst>
            <a:ext uri="{FF2B5EF4-FFF2-40B4-BE49-F238E27FC236}">
              <a16:creationId xmlns:a16="http://schemas.microsoft.com/office/drawing/2014/main" id="{6F21556B-AD24-43E2-9807-B733A6C718EF}"/>
            </a:ext>
          </a:extLst>
        </xdr:cNvPr>
        <xdr:cNvSpPr txBox="1">
          <a:spLocks noChangeArrowheads="1"/>
        </xdr:cNvSpPr>
      </xdr:nvSpPr>
      <xdr:spPr bwMode="auto">
        <a:xfrm>
          <a:off x="4541520" y="4389120"/>
          <a:ext cx="14173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6" name="Text Box 5" hidden="1">
          <a:extLst>
            <a:ext uri="{FF2B5EF4-FFF2-40B4-BE49-F238E27FC236}">
              <a16:creationId xmlns:a16="http://schemas.microsoft.com/office/drawing/2014/main" id="{2681A8F0-B020-4BB5-8BF4-DF2005DE34B9}"/>
            </a:ext>
          </a:extLst>
        </xdr:cNvPr>
        <xdr:cNvSpPr txBox="1">
          <a:spLocks noChangeArrowheads="1"/>
        </xdr:cNvSpPr>
      </xdr:nvSpPr>
      <xdr:spPr bwMode="auto">
        <a:xfrm>
          <a:off x="4427220" y="4152900"/>
          <a:ext cx="13563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85090</xdr:rowOff>
    </xdr:from>
    <xdr:to>
      <xdr:col>4</xdr:col>
      <xdr:colOff>0</xdr:colOff>
      <xdr:row>25</xdr:row>
      <xdr:rowOff>65617</xdr:rowOff>
    </xdr:to>
    <xdr:sp macro="" textlink="">
      <xdr:nvSpPr>
        <xdr:cNvPr id="7" name="Text Box 4" hidden="1">
          <a:extLst>
            <a:ext uri="{FF2B5EF4-FFF2-40B4-BE49-F238E27FC236}">
              <a16:creationId xmlns:a16="http://schemas.microsoft.com/office/drawing/2014/main" id="{6B1C72C2-F321-4FC6-A0EB-92F1F27ED4C7}"/>
            </a:ext>
          </a:extLst>
        </xdr:cNvPr>
        <xdr:cNvSpPr txBox="1">
          <a:spLocks noChangeArrowheads="1"/>
        </xdr:cNvSpPr>
      </xdr:nvSpPr>
      <xdr:spPr bwMode="auto">
        <a:xfrm>
          <a:off x="4541520" y="4381500"/>
          <a:ext cx="14173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8" name="Text Box 5" hidden="1">
          <a:extLst>
            <a:ext uri="{FF2B5EF4-FFF2-40B4-BE49-F238E27FC236}">
              <a16:creationId xmlns:a16="http://schemas.microsoft.com/office/drawing/2014/main" id="{21CBC1C9-32EC-4C83-85DE-2FFBC939ECF6}"/>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76200</xdr:rowOff>
    </xdr:from>
    <xdr:to>
      <xdr:col>4</xdr:col>
      <xdr:colOff>0</xdr:colOff>
      <xdr:row>25</xdr:row>
      <xdr:rowOff>65617</xdr:rowOff>
    </xdr:to>
    <xdr:sp macro="" textlink="">
      <xdr:nvSpPr>
        <xdr:cNvPr id="9" name="Text Box 4" hidden="1">
          <a:extLst>
            <a:ext uri="{FF2B5EF4-FFF2-40B4-BE49-F238E27FC236}">
              <a16:creationId xmlns:a16="http://schemas.microsoft.com/office/drawing/2014/main" id="{F0B06422-C8B0-4FF9-BB1C-F2E8A66A9C86}"/>
            </a:ext>
          </a:extLst>
        </xdr:cNvPr>
        <xdr:cNvSpPr txBox="1">
          <a:spLocks noChangeArrowheads="1"/>
        </xdr:cNvSpPr>
      </xdr:nvSpPr>
      <xdr:spPr bwMode="auto">
        <a:xfrm>
          <a:off x="4410075" y="4448175"/>
          <a:ext cx="13716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141817</xdr:rowOff>
    </xdr:to>
    <xdr:sp macro="" textlink="">
      <xdr:nvSpPr>
        <xdr:cNvPr id="1030" name="Text Box 6" hidden="1">
          <a:extLst>
            <a:ext uri="{FF2B5EF4-FFF2-40B4-BE49-F238E27FC236}">
              <a16:creationId xmlns:a16="http://schemas.microsoft.com/office/drawing/2014/main" id="{27E47AA2-CC4B-4B61-A49D-80718B56B4FF}"/>
            </a:ext>
          </a:extLst>
        </xdr:cNvPr>
        <xdr:cNvSpPr txBox="1">
          <a:spLocks noChangeArrowheads="1"/>
        </xdr:cNvSpPr>
      </xdr:nvSpPr>
      <xdr:spPr bwMode="auto">
        <a:xfrm>
          <a:off x="4371975" y="4276725"/>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141817</xdr:rowOff>
    </xdr:to>
    <xdr:sp macro="" textlink="">
      <xdr:nvSpPr>
        <xdr:cNvPr id="4097" name="Text Box 1" hidden="1">
          <a:extLst>
            <a:ext uri="{FF2B5EF4-FFF2-40B4-BE49-F238E27FC236}">
              <a16:creationId xmlns:a16="http://schemas.microsoft.com/office/drawing/2014/main" id="{95BDDA10-9916-4529-9626-B0878D39761F}"/>
            </a:ext>
          </a:extLst>
        </xdr:cNvPr>
        <xdr:cNvSpPr txBox="1">
          <a:spLocks noChangeArrowheads="1"/>
        </xdr:cNvSpPr>
      </xdr:nvSpPr>
      <xdr:spPr bwMode="auto">
        <a:xfrm>
          <a:off x="4371975" y="4276725"/>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83820</xdr:rowOff>
    </xdr:from>
    <xdr:to>
      <xdr:col>3</xdr:col>
      <xdr:colOff>609600</xdr:colOff>
      <xdr:row>24</xdr:row>
      <xdr:rowOff>141817</xdr:rowOff>
    </xdr:to>
    <xdr:sp macro="" textlink="">
      <xdr:nvSpPr>
        <xdr:cNvPr id="4098" name="Text Box 1026" hidden="1">
          <a:extLst>
            <a:ext uri="{FF2B5EF4-FFF2-40B4-BE49-F238E27FC236}">
              <a16:creationId xmlns:a16="http://schemas.microsoft.com/office/drawing/2014/main" id="{B03B7B27-AB11-4450-B36F-E76290F87129}"/>
            </a:ext>
          </a:extLst>
        </xdr:cNvPr>
        <xdr:cNvSpPr txBox="1">
          <a:spLocks noChangeArrowheads="1"/>
        </xdr:cNvSpPr>
      </xdr:nvSpPr>
      <xdr:spPr bwMode="auto">
        <a:xfrm>
          <a:off x="4503420" y="4198620"/>
          <a:ext cx="128016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0" name="Text Box 3" hidden="1">
          <a:extLst>
            <a:ext uri="{FF2B5EF4-FFF2-40B4-BE49-F238E27FC236}">
              <a16:creationId xmlns:a16="http://schemas.microsoft.com/office/drawing/2014/main" id="{346DAD7D-D95F-4864-95F9-1BD9E840432F}"/>
            </a:ext>
          </a:extLst>
        </xdr:cNvPr>
        <xdr:cNvSpPr txBox="1">
          <a:spLocks noChangeArrowheads="1"/>
        </xdr:cNvSpPr>
      </xdr:nvSpPr>
      <xdr:spPr bwMode="auto">
        <a:xfrm>
          <a:off x="4503420" y="4191000"/>
          <a:ext cx="128016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1" name="Text Box 3" hidden="1">
          <a:extLst>
            <a:ext uri="{FF2B5EF4-FFF2-40B4-BE49-F238E27FC236}">
              <a16:creationId xmlns:a16="http://schemas.microsoft.com/office/drawing/2014/main" id="{51C51AD1-B099-4459-9454-7D4EE49AA1F9}"/>
            </a:ext>
          </a:extLst>
        </xdr:cNvPr>
        <xdr:cNvSpPr txBox="1">
          <a:spLocks noChangeArrowheads="1"/>
        </xdr:cNvSpPr>
      </xdr:nvSpPr>
      <xdr:spPr bwMode="auto">
        <a:xfrm>
          <a:off x="4503420" y="4191000"/>
          <a:ext cx="128016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2" name="Text Box 3" hidden="1">
          <a:extLst>
            <a:ext uri="{FF2B5EF4-FFF2-40B4-BE49-F238E27FC236}">
              <a16:creationId xmlns:a16="http://schemas.microsoft.com/office/drawing/2014/main" id="{A2ABDDF0-BC9C-45A0-885D-324CFC4FCDDC}"/>
            </a:ext>
          </a:extLst>
        </xdr:cNvPr>
        <xdr:cNvSpPr txBox="1">
          <a:spLocks noChangeArrowheads="1"/>
        </xdr:cNvSpPr>
      </xdr:nvSpPr>
      <xdr:spPr bwMode="auto">
        <a:xfrm>
          <a:off x="4371975" y="4257675"/>
          <a:ext cx="12573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3" name="Text Box 3" hidden="1">
          <a:extLst>
            <a:ext uri="{FF2B5EF4-FFF2-40B4-BE49-F238E27FC236}">
              <a16:creationId xmlns:a16="http://schemas.microsoft.com/office/drawing/2014/main" id="{1E478032-2CAE-4BA9-89C0-45798760EFB3}"/>
            </a:ext>
          </a:extLst>
        </xdr:cNvPr>
        <xdr:cNvSpPr txBox="1">
          <a:spLocks noChangeArrowheads="1"/>
        </xdr:cNvSpPr>
      </xdr:nvSpPr>
      <xdr:spPr bwMode="auto">
        <a:xfrm>
          <a:off x="4371975" y="4257675"/>
          <a:ext cx="12573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4" name="Text Box 5" hidden="1">
          <a:extLst>
            <a:ext uri="{FF2B5EF4-FFF2-40B4-BE49-F238E27FC236}">
              <a16:creationId xmlns:a16="http://schemas.microsoft.com/office/drawing/2014/main" id="{D13EF6B5-2682-4ECF-B973-340D8E001D05}"/>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36</xdr:row>
      <xdr:rowOff>144991</xdr:rowOff>
    </xdr:from>
    <xdr:to>
      <xdr:col>4</xdr:col>
      <xdr:colOff>0</xdr:colOff>
      <xdr:row>40</xdr:row>
      <xdr:rowOff>143228</xdr:rowOff>
    </xdr:to>
    <xdr:sp macro="" textlink="">
      <xdr:nvSpPr>
        <xdr:cNvPr id="15" name="Text Box 4" hidden="1">
          <a:extLst>
            <a:ext uri="{FF2B5EF4-FFF2-40B4-BE49-F238E27FC236}">
              <a16:creationId xmlns:a16="http://schemas.microsoft.com/office/drawing/2014/main" id="{E11DC0DB-7371-4425-9CBE-95825ABA6A24}"/>
            </a:ext>
          </a:extLst>
        </xdr:cNvPr>
        <xdr:cNvSpPr txBox="1">
          <a:spLocks noChangeArrowheads="1"/>
        </xdr:cNvSpPr>
      </xdr:nvSpPr>
      <xdr:spPr bwMode="auto">
        <a:xfrm>
          <a:off x="4410075" y="764857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6" name="Text Box 5" hidden="1">
          <a:extLst>
            <a:ext uri="{FF2B5EF4-FFF2-40B4-BE49-F238E27FC236}">
              <a16:creationId xmlns:a16="http://schemas.microsoft.com/office/drawing/2014/main" id="{FCD2AAA4-3E4D-4629-87C4-2DEC8297A0AF}"/>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36</xdr:row>
      <xdr:rowOff>144991</xdr:rowOff>
    </xdr:from>
    <xdr:to>
      <xdr:col>4</xdr:col>
      <xdr:colOff>0</xdr:colOff>
      <xdr:row>40</xdr:row>
      <xdr:rowOff>143228</xdr:rowOff>
    </xdr:to>
    <xdr:sp macro="" textlink="">
      <xdr:nvSpPr>
        <xdr:cNvPr id="17" name="Text Box 4" hidden="1">
          <a:extLst>
            <a:ext uri="{FF2B5EF4-FFF2-40B4-BE49-F238E27FC236}">
              <a16:creationId xmlns:a16="http://schemas.microsoft.com/office/drawing/2014/main" id="{E73FB451-1516-46E8-BEAA-3AFDD2C1F193}"/>
            </a:ext>
          </a:extLst>
        </xdr:cNvPr>
        <xdr:cNvSpPr txBox="1">
          <a:spLocks noChangeArrowheads="1"/>
        </xdr:cNvSpPr>
      </xdr:nvSpPr>
      <xdr:spPr bwMode="auto">
        <a:xfrm>
          <a:off x="4578350" y="7537450"/>
          <a:ext cx="1447800" cy="730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8" name="Text Box 3" hidden="1">
          <a:extLst>
            <a:ext uri="{FF2B5EF4-FFF2-40B4-BE49-F238E27FC236}">
              <a16:creationId xmlns:a16="http://schemas.microsoft.com/office/drawing/2014/main" id="{C63FB503-C9B9-48A7-8A6D-FC54F3E896F8}"/>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9" name="Text Box 5" hidden="1">
          <a:extLst>
            <a:ext uri="{FF2B5EF4-FFF2-40B4-BE49-F238E27FC236}">
              <a16:creationId xmlns:a16="http://schemas.microsoft.com/office/drawing/2014/main" id="{CF8E4A29-7D40-4AC2-AB46-1738A546268F}"/>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0" name="Text Box 4" hidden="1">
          <a:extLst>
            <a:ext uri="{FF2B5EF4-FFF2-40B4-BE49-F238E27FC236}">
              <a16:creationId xmlns:a16="http://schemas.microsoft.com/office/drawing/2014/main" id="{1386C8AA-9EEB-4F66-B3F3-F40EFE84FCF3}"/>
            </a:ext>
          </a:extLst>
        </xdr:cNvPr>
        <xdr:cNvSpPr txBox="1">
          <a:spLocks noChangeArrowheads="1"/>
        </xdr:cNvSpPr>
      </xdr:nvSpPr>
      <xdr:spPr bwMode="auto">
        <a:xfrm>
          <a:off x="19286220" y="3680460"/>
          <a:ext cx="1310640" cy="7696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1" name="Text Box 5" hidden="1">
          <a:extLst>
            <a:ext uri="{FF2B5EF4-FFF2-40B4-BE49-F238E27FC236}">
              <a16:creationId xmlns:a16="http://schemas.microsoft.com/office/drawing/2014/main" id="{74BCA315-ADA4-44F9-BDD1-8F4FAB19F334}"/>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2" name="Text Box 4" hidden="1">
          <a:extLst>
            <a:ext uri="{FF2B5EF4-FFF2-40B4-BE49-F238E27FC236}">
              <a16:creationId xmlns:a16="http://schemas.microsoft.com/office/drawing/2014/main" id="{193C9771-E0F9-451F-8EFB-3F53190EB5A8}"/>
            </a:ext>
          </a:extLst>
        </xdr:cNvPr>
        <xdr:cNvSpPr txBox="1">
          <a:spLocks noChangeArrowheads="1"/>
        </xdr:cNvSpPr>
      </xdr:nvSpPr>
      <xdr:spPr bwMode="auto">
        <a:xfrm>
          <a:off x="19615150" y="36957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3" name="Text Box 5" hidden="1">
          <a:extLst>
            <a:ext uri="{FF2B5EF4-FFF2-40B4-BE49-F238E27FC236}">
              <a16:creationId xmlns:a16="http://schemas.microsoft.com/office/drawing/2014/main" id="{F5692FE4-1B20-45FF-8715-87B997E5ABB3}"/>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4" name="Text Box 4" hidden="1">
          <a:extLst>
            <a:ext uri="{FF2B5EF4-FFF2-40B4-BE49-F238E27FC236}">
              <a16:creationId xmlns:a16="http://schemas.microsoft.com/office/drawing/2014/main" id="{0B318B3F-00E1-4C69-9EAE-7F7FC78D7861}"/>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033" name="Text Box 9" hidden="1">
          <a:extLst>
            <a:ext uri="{FF2B5EF4-FFF2-40B4-BE49-F238E27FC236}">
              <a16:creationId xmlns:a16="http://schemas.microsoft.com/office/drawing/2014/main" id="{5DBC428D-1BC4-4E31-A9B7-8EE97C9B2A85}"/>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1032" name="Text Box 8" hidden="1">
          <a:extLst>
            <a:ext uri="{FF2B5EF4-FFF2-40B4-BE49-F238E27FC236}">
              <a16:creationId xmlns:a16="http://schemas.microsoft.com/office/drawing/2014/main" id="{39F6FFEE-0DE6-44B1-B59B-9135AA846A09}"/>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031" name="Text Box 7" hidden="1">
          <a:extLst>
            <a:ext uri="{FF2B5EF4-FFF2-40B4-BE49-F238E27FC236}">
              <a16:creationId xmlns:a16="http://schemas.microsoft.com/office/drawing/2014/main" id="{D07CA957-525F-4466-A0FE-AA367FAACA38}"/>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5" name="Text Box 6" hidden="1">
          <a:extLst>
            <a:ext uri="{FF2B5EF4-FFF2-40B4-BE49-F238E27FC236}">
              <a16:creationId xmlns:a16="http://schemas.microsoft.com/office/drawing/2014/main" id="{6D62BEE8-45A2-4D90-8239-5F1332C1B788}"/>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6" name="Text Box 5" hidden="1">
          <a:extLst>
            <a:ext uri="{FF2B5EF4-FFF2-40B4-BE49-F238E27FC236}">
              <a16:creationId xmlns:a16="http://schemas.microsoft.com/office/drawing/2014/main" id="{DA200543-8CA7-47D7-8809-64482693720A}"/>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7" name="Text Box 4" hidden="1">
          <a:extLst>
            <a:ext uri="{FF2B5EF4-FFF2-40B4-BE49-F238E27FC236}">
              <a16:creationId xmlns:a16="http://schemas.microsoft.com/office/drawing/2014/main" id="{01D2A96B-E7FF-426A-9FBA-B11FEC6936F5}"/>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8" name="Text Box 9" hidden="1">
          <a:extLst>
            <a:ext uri="{FF2B5EF4-FFF2-40B4-BE49-F238E27FC236}">
              <a16:creationId xmlns:a16="http://schemas.microsoft.com/office/drawing/2014/main" id="{0374750F-9017-403A-A9A9-87AA2A44A07A}"/>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 name="Text Box 8" hidden="1">
          <a:extLst>
            <a:ext uri="{FF2B5EF4-FFF2-40B4-BE49-F238E27FC236}">
              <a16:creationId xmlns:a16="http://schemas.microsoft.com/office/drawing/2014/main" id="{654B8F1D-BBF1-4A09-85FA-E2D5C34BAF6E}"/>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0" name="Text Box 7" hidden="1">
          <a:extLst>
            <a:ext uri="{FF2B5EF4-FFF2-40B4-BE49-F238E27FC236}">
              <a16:creationId xmlns:a16="http://schemas.microsoft.com/office/drawing/2014/main" id="{7F6165CA-9C10-4B46-91A3-A1FB40353653}"/>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1" name="Text Box 6" hidden="1">
          <a:extLst>
            <a:ext uri="{FF2B5EF4-FFF2-40B4-BE49-F238E27FC236}">
              <a16:creationId xmlns:a16="http://schemas.microsoft.com/office/drawing/2014/main" id="{B753FEF6-168E-4B08-A1C2-721F59218105}"/>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2" name="Text Box 5" hidden="1">
          <a:extLst>
            <a:ext uri="{FF2B5EF4-FFF2-40B4-BE49-F238E27FC236}">
              <a16:creationId xmlns:a16="http://schemas.microsoft.com/office/drawing/2014/main" id="{E953FA81-878C-40DC-BAA4-748A87337770}"/>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3" name="Text Box 4" hidden="1">
          <a:extLst>
            <a:ext uri="{FF2B5EF4-FFF2-40B4-BE49-F238E27FC236}">
              <a16:creationId xmlns:a16="http://schemas.microsoft.com/office/drawing/2014/main" id="{E4927B30-9EB6-4548-A6F1-A254266D289E}"/>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4" name="Text Box 5" hidden="1">
          <a:extLst>
            <a:ext uri="{FF2B5EF4-FFF2-40B4-BE49-F238E27FC236}">
              <a16:creationId xmlns:a16="http://schemas.microsoft.com/office/drawing/2014/main" id="{6CD20597-A15D-40FC-ADDE-435E3AAC4D1B}"/>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5" name="Text Box 4" hidden="1">
          <a:extLst>
            <a:ext uri="{FF2B5EF4-FFF2-40B4-BE49-F238E27FC236}">
              <a16:creationId xmlns:a16="http://schemas.microsoft.com/office/drawing/2014/main" id="{750F3BE7-16C9-4FC5-8D1D-2B34D20496EC}"/>
            </a:ext>
          </a:extLst>
        </xdr:cNvPr>
        <xdr:cNvSpPr txBox="1">
          <a:spLocks noChangeArrowheads="1"/>
        </xdr:cNvSpPr>
      </xdr:nvSpPr>
      <xdr:spPr bwMode="auto">
        <a:xfrm>
          <a:off x="18716625" y="3743325"/>
          <a:ext cx="12858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6" name="Text Box 5" hidden="1">
          <a:extLst>
            <a:ext uri="{FF2B5EF4-FFF2-40B4-BE49-F238E27FC236}">
              <a16:creationId xmlns:a16="http://schemas.microsoft.com/office/drawing/2014/main" id="{2DBFC909-DA0D-4549-91FE-63AE8F32CF66}"/>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7" name="Text Box 4" hidden="1">
          <a:extLst>
            <a:ext uri="{FF2B5EF4-FFF2-40B4-BE49-F238E27FC236}">
              <a16:creationId xmlns:a16="http://schemas.microsoft.com/office/drawing/2014/main" id="{17F79880-544E-47B7-B243-27B7131CD6C7}"/>
            </a:ext>
          </a:extLst>
        </xdr:cNvPr>
        <xdr:cNvSpPr txBox="1">
          <a:spLocks noChangeArrowheads="1"/>
        </xdr:cNvSpPr>
      </xdr:nvSpPr>
      <xdr:spPr bwMode="auto">
        <a:xfrm>
          <a:off x="19270980" y="3680460"/>
          <a:ext cx="13030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8" name="Text Box 5" hidden="1">
          <a:extLst>
            <a:ext uri="{FF2B5EF4-FFF2-40B4-BE49-F238E27FC236}">
              <a16:creationId xmlns:a16="http://schemas.microsoft.com/office/drawing/2014/main" id="{3A1A4179-F6EA-4E31-BBAF-FD2DD88BDA7C}"/>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9" name="Text Box 4" hidden="1">
          <a:extLst>
            <a:ext uri="{FF2B5EF4-FFF2-40B4-BE49-F238E27FC236}">
              <a16:creationId xmlns:a16="http://schemas.microsoft.com/office/drawing/2014/main" id="{3500C700-4830-4F0E-AD85-88300FBA60DC}"/>
            </a:ext>
          </a:extLst>
        </xdr:cNvPr>
        <xdr:cNvSpPr txBox="1">
          <a:spLocks noChangeArrowheads="1"/>
        </xdr:cNvSpPr>
      </xdr:nvSpPr>
      <xdr:spPr bwMode="auto">
        <a:xfrm>
          <a:off x="18716625" y="3743325"/>
          <a:ext cx="12858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0" name="Text Box 5" hidden="1">
          <a:extLst>
            <a:ext uri="{FF2B5EF4-FFF2-40B4-BE49-F238E27FC236}">
              <a16:creationId xmlns:a16="http://schemas.microsoft.com/office/drawing/2014/main" id="{1D0D8D82-B531-47E0-A48D-2113C5A13DC4}"/>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41" name="Text Box 4" hidden="1">
          <a:extLst>
            <a:ext uri="{FF2B5EF4-FFF2-40B4-BE49-F238E27FC236}">
              <a16:creationId xmlns:a16="http://schemas.microsoft.com/office/drawing/2014/main" id="{E0AB096A-C302-488D-A72A-D595704AF0DE}"/>
            </a:ext>
          </a:extLst>
        </xdr:cNvPr>
        <xdr:cNvSpPr txBox="1">
          <a:spLocks noChangeArrowheads="1"/>
        </xdr:cNvSpPr>
      </xdr:nvSpPr>
      <xdr:spPr bwMode="auto">
        <a:xfrm>
          <a:off x="19615150" y="36957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2" name="Text Box 5" hidden="1">
          <a:extLst>
            <a:ext uri="{FF2B5EF4-FFF2-40B4-BE49-F238E27FC236}">
              <a16:creationId xmlns:a16="http://schemas.microsoft.com/office/drawing/2014/main" id="{B974FD8E-5C68-4348-BBF6-D4D2387AED88}"/>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43" name="Text Box 4" hidden="1">
          <a:extLst>
            <a:ext uri="{FF2B5EF4-FFF2-40B4-BE49-F238E27FC236}">
              <a16:creationId xmlns:a16="http://schemas.microsoft.com/office/drawing/2014/main" id="{688C37E8-7D4A-409C-8B5C-7D7805A3775D}"/>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92868" name="Text Box 4" hidden="1">
          <a:extLst>
            <a:ext uri="{FF2B5EF4-FFF2-40B4-BE49-F238E27FC236}">
              <a16:creationId xmlns:a16="http://schemas.microsoft.com/office/drawing/2014/main" id="{6E2B8F22-0E38-41D9-8F7B-7C3BCE2B3B93}"/>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67" name="Text Box 3" hidden="1">
          <a:extLst>
            <a:ext uri="{FF2B5EF4-FFF2-40B4-BE49-F238E27FC236}">
              <a16:creationId xmlns:a16="http://schemas.microsoft.com/office/drawing/2014/main" id="{119B2E95-0CAA-40CD-9E55-E3408E22FEEB}"/>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21</xdr:row>
      <xdr:rowOff>114300</xdr:rowOff>
    </xdr:from>
    <xdr:to>
      <xdr:col>3</xdr:col>
      <xdr:colOff>609600</xdr:colOff>
      <xdr:row>25</xdr:row>
      <xdr:rowOff>152400</xdr:rowOff>
    </xdr:to>
    <xdr:sp macro="" textlink="">
      <xdr:nvSpPr>
        <xdr:cNvPr id="292866" name="Text Box 2" hidden="1">
          <a:extLst>
            <a:ext uri="{FF2B5EF4-FFF2-40B4-BE49-F238E27FC236}">
              <a16:creationId xmlns:a16="http://schemas.microsoft.com/office/drawing/2014/main" id="{C6DAA0B5-9A57-42B3-BC65-3F7B8EE12C51}"/>
            </a:ext>
          </a:extLst>
        </xdr:cNvPr>
        <xdr:cNvSpPr txBox="1">
          <a:spLocks noChangeArrowheads="1"/>
        </xdr:cNvSpPr>
      </xdr:nvSpPr>
      <xdr:spPr bwMode="auto">
        <a:xfrm>
          <a:off x="4352925" y="4486275"/>
          <a:ext cx="1276350" cy="8096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20</xdr:row>
      <xdr:rowOff>95250</xdr:rowOff>
    </xdr:from>
    <xdr:to>
      <xdr:col>21</xdr:col>
      <xdr:colOff>171450</xdr:colOff>
      <xdr:row>24</xdr:row>
      <xdr:rowOff>76200</xdr:rowOff>
    </xdr:to>
    <xdr:sp macro="" textlink="">
      <xdr:nvSpPr>
        <xdr:cNvPr id="292865" name="Text Box 1" hidden="1">
          <a:extLst>
            <a:ext uri="{FF2B5EF4-FFF2-40B4-BE49-F238E27FC236}">
              <a16:creationId xmlns:a16="http://schemas.microsoft.com/office/drawing/2014/main" id="{6EBD14C1-8DB6-4338-A663-153F9B4C26B6}"/>
            </a:ext>
          </a:extLst>
        </xdr:cNvPr>
        <xdr:cNvSpPr txBox="1">
          <a:spLocks noChangeArrowheads="1"/>
        </xdr:cNvSpPr>
      </xdr:nvSpPr>
      <xdr:spPr bwMode="auto">
        <a:xfrm>
          <a:off x="16011525" y="42767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92872" name="Text Box 1032" hidden="1">
          <a:extLst>
            <a:ext uri="{FF2B5EF4-FFF2-40B4-BE49-F238E27FC236}">
              <a16:creationId xmlns:a16="http://schemas.microsoft.com/office/drawing/2014/main" id="{591829AD-463B-4C84-958C-E47BE6A87653}"/>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71" name="Text Box 1031" hidden="1">
          <a:extLst>
            <a:ext uri="{FF2B5EF4-FFF2-40B4-BE49-F238E27FC236}">
              <a16:creationId xmlns:a16="http://schemas.microsoft.com/office/drawing/2014/main" id="{6F1E5FC8-0F04-4A9F-8FDB-5A88115AC25C}"/>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20</xdr:row>
      <xdr:rowOff>95250</xdr:rowOff>
    </xdr:from>
    <xdr:to>
      <xdr:col>21</xdr:col>
      <xdr:colOff>171450</xdr:colOff>
      <xdr:row>24</xdr:row>
      <xdr:rowOff>76200</xdr:rowOff>
    </xdr:to>
    <xdr:sp macro="" textlink="">
      <xdr:nvSpPr>
        <xdr:cNvPr id="292869" name="Text Box 1029" hidden="1">
          <a:extLst>
            <a:ext uri="{FF2B5EF4-FFF2-40B4-BE49-F238E27FC236}">
              <a16:creationId xmlns:a16="http://schemas.microsoft.com/office/drawing/2014/main" id="{42723461-903E-4C98-B174-37238F030163}"/>
            </a:ext>
          </a:extLst>
        </xdr:cNvPr>
        <xdr:cNvSpPr txBox="1">
          <a:spLocks noChangeArrowheads="1"/>
        </xdr:cNvSpPr>
      </xdr:nvSpPr>
      <xdr:spPr bwMode="auto">
        <a:xfrm>
          <a:off x="16011525" y="4276725"/>
          <a:ext cx="13716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92875" name="Text Box 1035" hidden="1">
          <a:extLst>
            <a:ext uri="{FF2B5EF4-FFF2-40B4-BE49-F238E27FC236}">
              <a16:creationId xmlns:a16="http://schemas.microsoft.com/office/drawing/2014/main" id="{D2D84568-74BB-46CC-9EEF-B86509D08A6A}"/>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74" name="Text Box 1034" hidden="1">
          <a:extLst>
            <a:ext uri="{FF2B5EF4-FFF2-40B4-BE49-F238E27FC236}">
              <a16:creationId xmlns:a16="http://schemas.microsoft.com/office/drawing/2014/main" id="{C4FF3281-3DB5-4A10-9AF4-4839F4CBF7F7}"/>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20</xdr:row>
      <xdr:rowOff>95250</xdr:rowOff>
    </xdr:from>
    <xdr:to>
      <xdr:col>21</xdr:col>
      <xdr:colOff>171450</xdr:colOff>
      <xdr:row>24</xdr:row>
      <xdr:rowOff>76200</xdr:rowOff>
    </xdr:to>
    <xdr:sp macro="" textlink="">
      <xdr:nvSpPr>
        <xdr:cNvPr id="292873" name="Text Box 1033" hidden="1">
          <a:extLst>
            <a:ext uri="{FF2B5EF4-FFF2-40B4-BE49-F238E27FC236}">
              <a16:creationId xmlns:a16="http://schemas.microsoft.com/office/drawing/2014/main" id="{5E75ACAA-B37B-4549-85F2-FEADE330C147}"/>
            </a:ext>
          </a:extLst>
        </xdr:cNvPr>
        <xdr:cNvSpPr txBox="1">
          <a:spLocks noChangeArrowheads="1"/>
        </xdr:cNvSpPr>
      </xdr:nvSpPr>
      <xdr:spPr bwMode="auto">
        <a:xfrm>
          <a:off x="16011525" y="4276725"/>
          <a:ext cx="13716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92878" name="Text Box 1038" hidden="1">
          <a:extLst>
            <a:ext uri="{FF2B5EF4-FFF2-40B4-BE49-F238E27FC236}">
              <a16:creationId xmlns:a16="http://schemas.microsoft.com/office/drawing/2014/main" id="{7F7E6C3B-B2E4-456A-959F-5FAFA2535946}"/>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77" name="Text Box 1037" hidden="1">
          <a:extLst>
            <a:ext uri="{FF2B5EF4-FFF2-40B4-BE49-F238E27FC236}">
              <a16:creationId xmlns:a16="http://schemas.microsoft.com/office/drawing/2014/main" id="{EE07511F-7ACC-4E37-A255-D25512C82BC3}"/>
            </a:ext>
          </a:extLst>
        </xdr:cNvPr>
        <xdr:cNvSpPr txBox="1">
          <a:spLocks noChangeArrowheads="1"/>
        </xdr:cNvSpPr>
      </xdr:nvSpPr>
      <xdr:spPr bwMode="auto">
        <a:xfrm>
          <a:off x="19615150" y="36957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20</xdr:row>
      <xdr:rowOff>95250</xdr:rowOff>
    </xdr:from>
    <xdr:to>
      <xdr:col>21</xdr:col>
      <xdr:colOff>171450</xdr:colOff>
      <xdr:row>24</xdr:row>
      <xdr:rowOff>76200</xdr:rowOff>
    </xdr:to>
    <xdr:sp macro="" textlink="">
      <xdr:nvSpPr>
        <xdr:cNvPr id="292876" name="Text Box 1036" hidden="1">
          <a:extLst>
            <a:ext uri="{FF2B5EF4-FFF2-40B4-BE49-F238E27FC236}">
              <a16:creationId xmlns:a16="http://schemas.microsoft.com/office/drawing/2014/main" id="{75B4224F-857E-4265-87B5-2FD1DD4480AF}"/>
            </a:ext>
          </a:extLst>
        </xdr:cNvPr>
        <xdr:cNvSpPr txBox="1">
          <a:spLocks noChangeArrowheads="1"/>
        </xdr:cNvSpPr>
      </xdr:nvSpPr>
      <xdr:spPr bwMode="auto">
        <a:xfrm>
          <a:off x="16764000" y="4229100"/>
          <a:ext cx="1435100" cy="730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80" name="Text Box 1040" hidden="1">
          <a:extLst>
            <a:ext uri="{FF2B5EF4-FFF2-40B4-BE49-F238E27FC236}">
              <a16:creationId xmlns:a16="http://schemas.microsoft.com/office/drawing/2014/main" id="{649477F5-38AD-41E8-8449-D117D578BBCC}"/>
            </a:ext>
          </a:extLst>
        </xdr:cNvPr>
        <xdr:cNvSpPr txBox="1">
          <a:spLocks noChangeArrowheads="1"/>
        </xdr:cNvSpPr>
      </xdr:nvSpPr>
      <xdr:spPr bwMode="auto">
        <a:xfrm>
          <a:off x="19615150" y="36957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292879" name="Text Box 1039" hidden="1">
          <a:extLst>
            <a:ext uri="{FF2B5EF4-FFF2-40B4-BE49-F238E27FC236}">
              <a16:creationId xmlns:a16="http://schemas.microsoft.com/office/drawing/2014/main" id="{BF42BBBF-33CE-403D-BC9D-07DA7BB065AF}"/>
            </a:ext>
          </a:extLst>
        </xdr:cNvPr>
        <xdr:cNvSpPr txBox="1">
          <a:spLocks noChangeArrowheads="1"/>
        </xdr:cNvSpPr>
      </xdr:nvSpPr>
      <xdr:spPr bwMode="auto">
        <a:xfrm>
          <a:off x="16764000" y="4394200"/>
          <a:ext cx="14160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114300</xdr:rowOff>
    </xdr:to>
    <xdr:sp macro="" textlink="">
      <xdr:nvSpPr>
        <xdr:cNvPr id="292882" name="Text Box 1042" hidden="1">
          <a:extLst>
            <a:ext uri="{FF2B5EF4-FFF2-40B4-BE49-F238E27FC236}">
              <a16:creationId xmlns:a16="http://schemas.microsoft.com/office/drawing/2014/main" id="{36BA3978-87EB-4419-B906-A5491F567D08}"/>
            </a:ext>
          </a:extLst>
        </xdr:cNvPr>
        <xdr:cNvSpPr txBox="1">
          <a:spLocks noChangeArrowheads="1"/>
        </xdr:cNvSpPr>
      </xdr:nvSpPr>
      <xdr:spPr bwMode="auto">
        <a:xfrm>
          <a:off x="4540250" y="4229100"/>
          <a:ext cx="129540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85" name="Text Box 1045" hidden="1">
          <a:extLst>
            <a:ext uri="{FF2B5EF4-FFF2-40B4-BE49-F238E27FC236}">
              <a16:creationId xmlns:a16="http://schemas.microsoft.com/office/drawing/2014/main" id="{D1759B2E-E9CB-4BC9-91FB-D43758AC844F}"/>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292884" name="Text Box 1044" hidden="1">
          <a:extLst>
            <a:ext uri="{FF2B5EF4-FFF2-40B4-BE49-F238E27FC236}">
              <a16:creationId xmlns:a16="http://schemas.microsoft.com/office/drawing/2014/main" id="{A4AB38C7-3A7F-47E6-8991-6E07E13C870F}"/>
            </a:ext>
          </a:extLst>
        </xdr:cNvPr>
        <xdr:cNvSpPr txBox="1">
          <a:spLocks noChangeArrowheads="1"/>
        </xdr:cNvSpPr>
      </xdr:nvSpPr>
      <xdr:spPr bwMode="auto">
        <a:xfrm>
          <a:off x="16011525" y="4448175"/>
          <a:ext cx="13525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114300</xdr:rowOff>
    </xdr:to>
    <xdr:sp macro="" textlink="">
      <xdr:nvSpPr>
        <xdr:cNvPr id="292883" name="Text Box 1043" hidden="1">
          <a:extLst>
            <a:ext uri="{FF2B5EF4-FFF2-40B4-BE49-F238E27FC236}">
              <a16:creationId xmlns:a16="http://schemas.microsoft.com/office/drawing/2014/main" id="{A3AE5B1B-327E-4495-9FE3-3F33B1093694}"/>
            </a:ext>
          </a:extLst>
        </xdr:cNvPr>
        <xdr:cNvSpPr txBox="1">
          <a:spLocks noChangeArrowheads="1"/>
        </xdr:cNvSpPr>
      </xdr:nvSpPr>
      <xdr:spPr bwMode="auto">
        <a:xfrm>
          <a:off x="4371975" y="4276725"/>
          <a:ext cx="12573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2</xdr:col>
      <xdr:colOff>38100</xdr:colOff>
      <xdr:row>20</xdr:row>
      <xdr:rowOff>38100</xdr:rowOff>
    </xdr:from>
    <xdr:to>
      <xdr:col>3</xdr:col>
      <xdr:colOff>609600</xdr:colOff>
      <xdr:row>25</xdr:row>
      <xdr:rowOff>103717</xdr:rowOff>
    </xdr:to>
    <xdr:sp macro="" textlink="">
      <xdr:nvSpPr>
        <xdr:cNvPr id="2" name="Text Box 1025" hidden="1">
          <a:extLst>
            <a:ext uri="{FF2B5EF4-FFF2-40B4-BE49-F238E27FC236}">
              <a16:creationId xmlns:a16="http://schemas.microsoft.com/office/drawing/2014/main" id="{ECBB749B-8B56-4FEE-86FD-605AB42E0778}"/>
            </a:ext>
          </a:extLst>
        </xdr:cNvPr>
        <xdr:cNvSpPr txBox="1">
          <a:spLocks noChangeArrowheads="1"/>
        </xdr:cNvSpPr>
      </xdr:nvSpPr>
      <xdr:spPr bwMode="auto">
        <a:xfrm>
          <a:off x="4457700" y="4133850"/>
          <a:ext cx="1371600" cy="989542"/>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3" name="Text Box 3" hidden="1">
          <a:extLst>
            <a:ext uri="{FF2B5EF4-FFF2-40B4-BE49-F238E27FC236}">
              <a16:creationId xmlns:a16="http://schemas.microsoft.com/office/drawing/2014/main" id="{743577EB-014D-49F1-BF3E-055AFC35F59C}"/>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4" name="Text Box 5" hidden="1">
          <a:extLst>
            <a:ext uri="{FF2B5EF4-FFF2-40B4-BE49-F238E27FC236}">
              <a16:creationId xmlns:a16="http://schemas.microsoft.com/office/drawing/2014/main" id="{3000E331-2DB5-4881-86E7-2AC241D5C208}"/>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85090</xdr:rowOff>
    </xdr:from>
    <xdr:to>
      <xdr:col>4</xdr:col>
      <xdr:colOff>0</xdr:colOff>
      <xdr:row>25</xdr:row>
      <xdr:rowOff>84667</xdr:rowOff>
    </xdr:to>
    <xdr:sp macro="" textlink="">
      <xdr:nvSpPr>
        <xdr:cNvPr id="5" name="Text Box 4" hidden="1">
          <a:extLst>
            <a:ext uri="{FF2B5EF4-FFF2-40B4-BE49-F238E27FC236}">
              <a16:creationId xmlns:a16="http://schemas.microsoft.com/office/drawing/2014/main" id="{6926F21E-62E9-4EEA-9B3C-58F27AFC658D}"/>
            </a:ext>
          </a:extLst>
        </xdr:cNvPr>
        <xdr:cNvSpPr txBox="1">
          <a:spLocks noChangeArrowheads="1"/>
        </xdr:cNvSpPr>
      </xdr:nvSpPr>
      <xdr:spPr bwMode="auto">
        <a:xfrm>
          <a:off x="4572000" y="4361815"/>
          <a:ext cx="1447800" cy="74252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6" name="Text Box 5" hidden="1">
          <a:extLst>
            <a:ext uri="{FF2B5EF4-FFF2-40B4-BE49-F238E27FC236}">
              <a16:creationId xmlns:a16="http://schemas.microsoft.com/office/drawing/2014/main" id="{CAD8A8AB-337C-4100-9FC8-DA225D3F585C}"/>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85090</xdr:rowOff>
    </xdr:from>
    <xdr:to>
      <xdr:col>4</xdr:col>
      <xdr:colOff>0</xdr:colOff>
      <xdr:row>25</xdr:row>
      <xdr:rowOff>84667</xdr:rowOff>
    </xdr:to>
    <xdr:sp macro="" textlink="">
      <xdr:nvSpPr>
        <xdr:cNvPr id="7" name="Text Box 4" hidden="1">
          <a:extLst>
            <a:ext uri="{FF2B5EF4-FFF2-40B4-BE49-F238E27FC236}">
              <a16:creationId xmlns:a16="http://schemas.microsoft.com/office/drawing/2014/main" id="{94355D08-E797-4AAB-B233-34CB6E0B40E7}"/>
            </a:ext>
          </a:extLst>
        </xdr:cNvPr>
        <xdr:cNvSpPr txBox="1">
          <a:spLocks noChangeArrowheads="1"/>
        </xdr:cNvSpPr>
      </xdr:nvSpPr>
      <xdr:spPr bwMode="auto">
        <a:xfrm>
          <a:off x="4572000" y="4361815"/>
          <a:ext cx="1447800" cy="74252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8" name="Text Box 5" hidden="1">
          <a:extLst>
            <a:ext uri="{FF2B5EF4-FFF2-40B4-BE49-F238E27FC236}">
              <a16:creationId xmlns:a16="http://schemas.microsoft.com/office/drawing/2014/main" id="{AE680059-4F6B-4C73-85B7-5A1F34A33F2F}"/>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95250</xdr:rowOff>
    </xdr:from>
    <xdr:to>
      <xdr:col>4</xdr:col>
      <xdr:colOff>0</xdr:colOff>
      <xdr:row>25</xdr:row>
      <xdr:rowOff>87207</xdr:rowOff>
    </xdr:to>
    <xdr:sp macro="" textlink="">
      <xdr:nvSpPr>
        <xdr:cNvPr id="9" name="Text Box 4" hidden="1">
          <a:extLst>
            <a:ext uri="{FF2B5EF4-FFF2-40B4-BE49-F238E27FC236}">
              <a16:creationId xmlns:a16="http://schemas.microsoft.com/office/drawing/2014/main" id="{F0E07FDB-6EE7-4507-90A8-91297DA61B77}"/>
            </a:ext>
          </a:extLst>
        </xdr:cNvPr>
        <xdr:cNvSpPr txBox="1">
          <a:spLocks noChangeArrowheads="1"/>
        </xdr:cNvSpPr>
      </xdr:nvSpPr>
      <xdr:spPr bwMode="auto">
        <a:xfrm>
          <a:off x="4572000" y="4371975"/>
          <a:ext cx="1447800" cy="73490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10" name="Text Box 5" hidden="1">
          <a:extLst>
            <a:ext uri="{FF2B5EF4-FFF2-40B4-BE49-F238E27FC236}">
              <a16:creationId xmlns:a16="http://schemas.microsoft.com/office/drawing/2014/main" id="{4E87788B-D118-475E-B17A-D66A6CBA5C5C}"/>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85090</xdr:rowOff>
    </xdr:from>
    <xdr:to>
      <xdr:col>4</xdr:col>
      <xdr:colOff>0</xdr:colOff>
      <xdr:row>25</xdr:row>
      <xdr:rowOff>65617</xdr:rowOff>
    </xdr:to>
    <xdr:sp macro="" textlink="">
      <xdr:nvSpPr>
        <xdr:cNvPr id="11" name="Text Box 4" hidden="1">
          <a:extLst>
            <a:ext uri="{FF2B5EF4-FFF2-40B4-BE49-F238E27FC236}">
              <a16:creationId xmlns:a16="http://schemas.microsoft.com/office/drawing/2014/main" id="{BD159F8E-BA8E-4B32-88A8-B7A9508B8022}"/>
            </a:ext>
          </a:extLst>
        </xdr:cNvPr>
        <xdr:cNvSpPr txBox="1">
          <a:spLocks noChangeArrowheads="1"/>
        </xdr:cNvSpPr>
      </xdr:nvSpPr>
      <xdr:spPr bwMode="auto">
        <a:xfrm>
          <a:off x="4572000" y="4361815"/>
          <a:ext cx="1447800" cy="72347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12" name="Text Box 5" hidden="1">
          <a:extLst>
            <a:ext uri="{FF2B5EF4-FFF2-40B4-BE49-F238E27FC236}">
              <a16:creationId xmlns:a16="http://schemas.microsoft.com/office/drawing/2014/main" id="{C50EB2B3-49BC-4BE4-A378-DB2B7579C5AF}"/>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76200</xdr:rowOff>
    </xdr:from>
    <xdr:to>
      <xdr:col>4</xdr:col>
      <xdr:colOff>0</xdr:colOff>
      <xdr:row>25</xdr:row>
      <xdr:rowOff>65617</xdr:rowOff>
    </xdr:to>
    <xdr:sp macro="" textlink="">
      <xdr:nvSpPr>
        <xdr:cNvPr id="13" name="Text Box 4" hidden="1">
          <a:extLst>
            <a:ext uri="{FF2B5EF4-FFF2-40B4-BE49-F238E27FC236}">
              <a16:creationId xmlns:a16="http://schemas.microsoft.com/office/drawing/2014/main" id="{2735B47E-E903-474E-97BC-055FB4C05D26}"/>
            </a:ext>
          </a:extLst>
        </xdr:cNvPr>
        <xdr:cNvSpPr txBox="1">
          <a:spLocks noChangeArrowheads="1"/>
        </xdr:cNvSpPr>
      </xdr:nvSpPr>
      <xdr:spPr bwMode="auto">
        <a:xfrm>
          <a:off x="4572000" y="4352925"/>
          <a:ext cx="1447800" cy="73236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141817</xdr:rowOff>
    </xdr:to>
    <xdr:sp macro="" textlink="">
      <xdr:nvSpPr>
        <xdr:cNvPr id="14" name="Text Box 6" hidden="1">
          <a:extLst>
            <a:ext uri="{FF2B5EF4-FFF2-40B4-BE49-F238E27FC236}">
              <a16:creationId xmlns:a16="http://schemas.microsoft.com/office/drawing/2014/main" id="{4AF253FC-3F46-4451-B47D-448ECEF3034B}"/>
            </a:ext>
          </a:extLst>
        </xdr:cNvPr>
        <xdr:cNvSpPr txBox="1">
          <a:spLocks noChangeArrowheads="1"/>
        </xdr:cNvSpPr>
      </xdr:nvSpPr>
      <xdr:spPr bwMode="auto">
        <a:xfrm>
          <a:off x="4533900" y="4191000"/>
          <a:ext cx="1295400" cy="78951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141817</xdr:rowOff>
    </xdr:to>
    <xdr:sp macro="" textlink="">
      <xdr:nvSpPr>
        <xdr:cNvPr id="15" name="Text Box 1" hidden="1">
          <a:extLst>
            <a:ext uri="{FF2B5EF4-FFF2-40B4-BE49-F238E27FC236}">
              <a16:creationId xmlns:a16="http://schemas.microsoft.com/office/drawing/2014/main" id="{35473ED7-2342-4262-A85C-D53966C4D41E}"/>
            </a:ext>
          </a:extLst>
        </xdr:cNvPr>
        <xdr:cNvSpPr txBox="1">
          <a:spLocks noChangeArrowheads="1"/>
        </xdr:cNvSpPr>
      </xdr:nvSpPr>
      <xdr:spPr bwMode="auto">
        <a:xfrm>
          <a:off x="4533900" y="4191000"/>
          <a:ext cx="1295400" cy="78951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83820</xdr:rowOff>
    </xdr:from>
    <xdr:to>
      <xdr:col>3</xdr:col>
      <xdr:colOff>609600</xdr:colOff>
      <xdr:row>24</xdr:row>
      <xdr:rowOff>141817</xdr:rowOff>
    </xdr:to>
    <xdr:sp macro="" textlink="">
      <xdr:nvSpPr>
        <xdr:cNvPr id="16" name="Text Box 1026" hidden="1">
          <a:extLst>
            <a:ext uri="{FF2B5EF4-FFF2-40B4-BE49-F238E27FC236}">
              <a16:creationId xmlns:a16="http://schemas.microsoft.com/office/drawing/2014/main" id="{A5955CC3-AA40-414C-BE42-64CFEE72049E}"/>
            </a:ext>
          </a:extLst>
        </xdr:cNvPr>
        <xdr:cNvSpPr txBox="1">
          <a:spLocks noChangeArrowheads="1"/>
        </xdr:cNvSpPr>
      </xdr:nvSpPr>
      <xdr:spPr bwMode="auto">
        <a:xfrm>
          <a:off x="4533900" y="4179570"/>
          <a:ext cx="1295400" cy="80094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7" name="Text Box 3" hidden="1">
          <a:extLst>
            <a:ext uri="{FF2B5EF4-FFF2-40B4-BE49-F238E27FC236}">
              <a16:creationId xmlns:a16="http://schemas.microsoft.com/office/drawing/2014/main" id="{057B7E9E-A5CF-414C-AB79-489B995413F3}"/>
            </a:ext>
          </a:extLst>
        </xdr:cNvPr>
        <xdr:cNvSpPr txBox="1">
          <a:spLocks noChangeArrowheads="1"/>
        </xdr:cNvSpPr>
      </xdr:nvSpPr>
      <xdr:spPr bwMode="auto">
        <a:xfrm>
          <a:off x="4533900" y="4171950"/>
          <a:ext cx="1295400" cy="80856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8" name="Text Box 3" hidden="1">
          <a:extLst>
            <a:ext uri="{FF2B5EF4-FFF2-40B4-BE49-F238E27FC236}">
              <a16:creationId xmlns:a16="http://schemas.microsoft.com/office/drawing/2014/main" id="{83A6A10F-6E47-4B7B-B991-BDB83C381728}"/>
            </a:ext>
          </a:extLst>
        </xdr:cNvPr>
        <xdr:cNvSpPr txBox="1">
          <a:spLocks noChangeArrowheads="1"/>
        </xdr:cNvSpPr>
      </xdr:nvSpPr>
      <xdr:spPr bwMode="auto">
        <a:xfrm>
          <a:off x="4533900" y="4171950"/>
          <a:ext cx="1295400" cy="80856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9" name="Text Box 3" hidden="1">
          <a:extLst>
            <a:ext uri="{FF2B5EF4-FFF2-40B4-BE49-F238E27FC236}">
              <a16:creationId xmlns:a16="http://schemas.microsoft.com/office/drawing/2014/main" id="{1C09CD8D-D2F3-49EA-B466-33E2F7A13A55}"/>
            </a:ext>
          </a:extLst>
        </xdr:cNvPr>
        <xdr:cNvSpPr txBox="1">
          <a:spLocks noChangeArrowheads="1"/>
        </xdr:cNvSpPr>
      </xdr:nvSpPr>
      <xdr:spPr bwMode="auto">
        <a:xfrm>
          <a:off x="4533900" y="4171950"/>
          <a:ext cx="1295400" cy="80856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20" name="Text Box 3" hidden="1">
          <a:extLst>
            <a:ext uri="{FF2B5EF4-FFF2-40B4-BE49-F238E27FC236}">
              <a16:creationId xmlns:a16="http://schemas.microsoft.com/office/drawing/2014/main" id="{C8380F29-7F6C-4A45-8D9E-412E9730175D}"/>
            </a:ext>
          </a:extLst>
        </xdr:cNvPr>
        <xdr:cNvSpPr txBox="1">
          <a:spLocks noChangeArrowheads="1"/>
        </xdr:cNvSpPr>
      </xdr:nvSpPr>
      <xdr:spPr bwMode="auto">
        <a:xfrm>
          <a:off x="4533900" y="4171950"/>
          <a:ext cx="1295400" cy="80856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1" name="Text Box 5" hidden="1">
          <a:extLst>
            <a:ext uri="{FF2B5EF4-FFF2-40B4-BE49-F238E27FC236}">
              <a16:creationId xmlns:a16="http://schemas.microsoft.com/office/drawing/2014/main" id="{870B1502-DA5E-4AA6-AEAD-009562DD9AEA}"/>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36</xdr:row>
      <xdr:rowOff>84666</xdr:rowOff>
    </xdr:from>
    <xdr:to>
      <xdr:col>4</xdr:col>
      <xdr:colOff>0</xdr:colOff>
      <xdr:row>40</xdr:row>
      <xdr:rowOff>76553</xdr:rowOff>
    </xdr:to>
    <xdr:sp macro="" textlink="">
      <xdr:nvSpPr>
        <xdr:cNvPr id="22" name="Text Box 4" hidden="1">
          <a:extLst>
            <a:ext uri="{FF2B5EF4-FFF2-40B4-BE49-F238E27FC236}">
              <a16:creationId xmlns:a16="http://schemas.microsoft.com/office/drawing/2014/main" id="{96469756-4942-4D9F-A3E9-36E4E8460246}"/>
            </a:ext>
          </a:extLst>
        </xdr:cNvPr>
        <xdr:cNvSpPr txBox="1">
          <a:spLocks noChangeArrowheads="1"/>
        </xdr:cNvSpPr>
      </xdr:nvSpPr>
      <xdr:spPr bwMode="auto">
        <a:xfrm>
          <a:off x="4572000" y="7459133"/>
          <a:ext cx="1447800" cy="71578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3" name="Text Box 5" hidden="1">
          <a:extLst>
            <a:ext uri="{FF2B5EF4-FFF2-40B4-BE49-F238E27FC236}">
              <a16:creationId xmlns:a16="http://schemas.microsoft.com/office/drawing/2014/main" id="{8C0593E5-DD66-42FF-B9CA-5009E8F954BE}"/>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36</xdr:row>
      <xdr:rowOff>84666</xdr:rowOff>
    </xdr:from>
    <xdr:to>
      <xdr:col>4</xdr:col>
      <xdr:colOff>0</xdr:colOff>
      <xdr:row>40</xdr:row>
      <xdr:rowOff>76553</xdr:rowOff>
    </xdr:to>
    <xdr:sp macro="" textlink="">
      <xdr:nvSpPr>
        <xdr:cNvPr id="24" name="Text Box 4" hidden="1">
          <a:extLst>
            <a:ext uri="{FF2B5EF4-FFF2-40B4-BE49-F238E27FC236}">
              <a16:creationId xmlns:a16="http://schemas.microsoft.com/office/drawing/2014/main" id="{8335CD08-C622-44E1-B3B0-66ED9F4B131E}"/>
            </a:ext>
          </a:extLst>
        </xdr:cNvPr>
        <xdr:cNvSpPr txBox="1">
          <a:spLocks noChangeArrowheads="1"/>
        </xdr:cNvSpPr>
      </xdr:nvSpPr>
      <xdr:spPr bwMode="auto">
        <a:xfrm>
          <a:off x="4572000" y="7459133"/>
          <a:ext cx="1447800" cy="71578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5" name="Text Box 3" hidden="1">
          <a:extLst>
            <a:ext uri="{FF2B5EF4-FFF2-40B4-BE49-F238E27FC236}">
              <a16:creationId xmlns:a16="http://schemas.microsoft.com/office/drawing/2014/main" id="{18DB5D99-62B7-4DCC-9847-94B4BE73B6FC}"/>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6" name="Text Box 5" hidden="1">
          <a:extLst>
            <a:ext uri="{FF2B5EF4-FFF2-40B4-BE49-F238E27FC236}">
              <a16:creationId xmlns:a16="http://schemas.microsoft.com/office/drawing/2014/main" id="{640F3FD6-AAD6-4DCC-9785-93B47809A65F}"/>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27" name="Text Box 4" hidden="1">
          <a:extLst>
            <a:ext uri="{FF2B5EF4-FFF2-40B4-BE49-F238E27FC236}">
              <a16:creationId xmlns:a16="http://schemas.microsoft.com/office/drawing/2014/main" id="{6FB127F6-C68E-4846-BF99-84F8D0C55A27}"/>
            </a:ext>
          </a:extLst>
        </xdr:cNvPr>
        <xdr:cNvSpPr txBox="1">
          <a:spLocks noChangeArrowheads="1"/>
        </xdr:cNvSpPr>
      </xdr:nvSpPr>
      <xdr:spPr bwMode="auto">
        <a:xfrm>
          <a:off x="19573875" y="3667125"/>
          <a:ext cx="1323975"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8" name="Text Box 5" hidden="1">
          <a:extLst>
            <a:ext uri="{FF2B5EF4-FFF2-40B4-BE49-F238E27FC236}">
              <a16:creationId xmlns:a16="http://schemas.microsoft.com/office/drawing/2014/main" id="{8A5CE19F-A7BA-41CE-A024-CC51F8DE8468}"/>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29" name="Text Box 4" hidden="1">
          <a:extLst>
            <a:ext uri="{FF2B5EF4-FFF2-40B4-BE49-F238E27FC236}">
              <a16:creationId xmlns:a16="http://schemas.microsoft.com/office/drawing/2014/main" id="{B3577A04-62DF-464F-BDFC-379BD87178C7}"/>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0" name="Text Box 5" hidden="1">
          <a:extLst>
            <a:ext uri="{FF2B5EF4-FFF2-40B4-BE49-F238E27FC236}">
              <a16:creationId xmlns:a16="http://schemas.microsoft.com/office/drawing/2014/main" id="{B64C5363-A72F-4202-826B-93221CA1B3D8}"/>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31" name="Text Box 4" hidden="1">
          <a:extLst>
            <a:ext uri="{FF2B5EF4-FFF2-40B4-BE49-F238E27FC236}">
              <a16:creationId xmlns:a16="http://schemas.microsoft.com/office/drawing/2014/main" id="{8239C873-D2F7-4041-B370-242F389270F5}"/>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2" name="Text Box 9" hidden="1">
          <a:extLst>
            <a:ext uri="{FF2B5EF4-FFF2-40B4-BE49-F238E27FC236}">
              <a16:creationId xmlns:a16="http://schemas.microsoft.com/office/drawing/2014/main" id="{D60EEB46-ED75-4735-949B-0643CFDC93BA}"/>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33" name="Text Box 8" hidden="1">
          <a:extLst>
            <a:ext uri="{FF2B5EF4-FFF2-40B4-BE49-F238E27FC236}">
              <a16:creationId xmlns:a16="http://schemas.microsoft.com/office/drawing/2014/main" id="{935C3AC4-A3E0-4A74-93AB-845A4CA67C80}"/>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4" name="Text Box 7" hidden="1">
          <a:extLst>
            <a:ext uri="{FF2B5EF4-FFF2-40B4-BE49-F238E27FC236}">
              <a16:creationId xmlns:a16="http://schemas.microsoft.com/office/drawing/2014/main" id="{F9A7F44B-419B-455B-AC1B-46CC34E25B6A}"/>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35" name="Text Box 6" hidden="1">
          <a:extLst>
            <a:ext uri="{FF2B5EF4-FFF2-40B4-BE49-F238E27FC236}">
              <a16:creationId xmlns:a16="http://schemas.microsoft.com/office/drawing/2014/main" id="{E7BA1937-2D57-44FF-8330-27503E636D7D}"/>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6" name="Text Box 5" hidden="1">
          <a:extLst>
            <a:ext uri="{FF2B5EF4-FFF2-40B4-BE49-F238E27FC236}">
              <a16:creationId xmlns:a16="http://schemas.microsoft.com/office/drawing/2014/main" id="{9CAEF361-DD07-4E9B-8C35-3B567AE1592E}"/>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37" name="Text Box 4" hidden="1">
          <a:extLst>
            <a:ext uri="{FF2B5EF4-FFF2-40B4-BE49-F238E27FC236}">
              <a16:creationId xmlns:a16="http://schemas.microsoft.com/office/drawing/2014/main" id="{806F69AC-0D09-4CC8-8C5C-3742A17A213F}"/>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8" name="Text Box 9" hidden="1">
          <a:extLst>
            <a:ext uri="{FF2B5EF4-FFF2-40B4-BE49-F238E27FC236}">
              <a16:creationId xmlns:a16="http://schemas.microsoft.com/office/drawing/2014/main" id="{C70D3136-0B89-4946-931A-2A13B4762529}"/>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39" name="Text Box 8" hidden="1">
          <a:extLst>
            <a:ext uri="{FF2B5EF4-FFF2-40B4-BE49-F238E27FC236}">
              <a16:creationId xmlns:a16="http://schemas.microsoft.com/office/drawing/2014/main" id="{099B51A5-22B5-4D1A-AA94-08CDB91C8475}"/>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0" name="Text Box 7" hidden="1">
          <a:extLst>
            <a:ext uri="{FF2B5EF4-FFF2-40B4-BE49-F238E27FC236}">
              <a16:creationId xmlns:a16="http://schemas.microsoft.com/office/drawing/2014/main" id="{90AD1CC4-BC6D-4DB6-96D6-006F37B51572}"/>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41" name="Text Box 6" hidden="1">
          <a:extLst>
            <a:ext uri="{FF2B5EF4-FFF2-40B4-BE49-F238E27FC236}">
              <a16:creationId xmlns:a16="http://schemas.microsoft.com/office/drawing/2014/main" id="{94405316-7CE4-4D2C-98AE-05D9747F90DD}"/>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2" name="Text Box 5" hidden="1">
          <a:extLst>
            <a:ext uri="{FF2B5EF4-FFF2-40B4-BE49-F238E27FC236}">
              <a16:creationId xmlns:a16="http://schemas.microsoft.com/office/drawing/2014/main" id="{72EA4791-6467-4046-87A8-A848F283BC15}"/>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43" name="Text Box 4" hidden="1">
          <a:extLst>
            <a:ext uri="{FF2B5EF4-FFF2-40B4-BE49-F238E27FC236}">
              <a16:creationId xmlns:a16="http://schemas.microsoft.com/office/drawing/2014/main" id="{1F319975-7685-4F5F-B812-649ABADB35D3}"/>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4" name="Text Box 5" hidden="1">
          <a:extLst>
            <a:ext uri="{FF2B5EF4-FFF2-40B4-BE49-F238E27FC236}">
              <a16:creationId xmlns:a16="http://schemas.microsoft.com/office/drawing/2014/main" id="{1821865F-6519-482B-A655-B1726342441A}"/>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45" name="Text Box 4" hidden="1">
          <a:extLst>
            <a:ext uri="{FF2B5EF4-FFF2-40B4-BE49-F238E27FC236}">
              <a16:creationId xmlns:a16="http://schemas.microsoft.com/office/drawing/2014/main" id="{D2E4AE40-3777-46F4-8265-1F6224032D29}"/>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6" name="Text Box 5" hidden="1">
          <a:extLst>
            <a:ext uri="{FF2B5EF4-FFF2-40B4-BE49-F238E27FC236}">
              <a16:creationId xmlns:a16="http://schemas.microsoft.com/office/drawing/2014/main" id="{E9D1E4EF-D5BB-4D4E-951B-96CE829BE0A5}"/>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47" name="Text Box 4" hidden="1">
          <a:extLst>
            <a:ext uri="{FF2B5EF4-FFF2-40B4-BE49-F238E27FC236}">
              <a16:creationId xmlns:a16="http://schemas.microsoft.com/office/drawing/2014/main" id="{22262148-4E9F-490F-919A-2D69BE6347A1}"/>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8" name="Text Box 5" hidden="1">
          <a:extLst>
            <a:ext uri="{FF2B5EF4-FFF2-40B4-BE49-F238E27FC236}">
              <a16:creationId xmlns:a16="http://schemas.microsoft.com/office/drawing/2014/main" id="{C1FED71C-8C31-4499-89CE-B7E594B1F351}"/>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49" name="Text Box 4" hidden="1">
          <a:extLst>
            <a:ext uri="{FF2B5EF4-FFF2-40B4-BE49-F238E27FC236}">
              <a16:creationId xmlns:a16="http://schemas.microsoft.com/office/drawing/2014/main" id="{45084DBE-72B6-4B69-93AE-C584D4E1C67A}"/>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50" name="Text Box 5" hidden="1">
          <a:extLst>
            <a:ext uri="{FF2B5EF4-FFF2-40B4-BE49-F238E27FC236}">
              <a16:creationId xmlns:a16="http://schemas.microsoft.com/office/drawing/2014/main" id="{280C5053-1D24-46A9-AFA0-17F3C3E103C6}"/>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51" name="Text Box 4" hidden="1">
          <a:extLst>
            <a:ext uri="{FF2B5EF4-FFF2-40B4-BE49-F238E27FC236}">
              <a16:creationId xmlns:a16="http://schemas.microsoft.com/office/drawing/2014/main" id="{87E6BC22-8546-44C1-827E-58C74BF059B5}"/>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52" name="Text Box 5" hidden="1">
          <a:extLst>
            <a:ext uri="{FF2B5EF4-FFF2-40B4-BE49-F238E27FC236}">
              <a16:creationId xmlns:a16="http://schemas.microsoft.com/office/drawing/2014/main" id="{C8EB841C-9E05-4B1C-9250-AE5E0D786C81}"/>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53" name="Text Box 4" hidden="1">
          <a:extLst>
            <a:ext uri="{FF2B5EF4-FFF2-40B4-BE49-F238E27FC236}">
              <a16:creationId xmlns:a16="http://schemas.microsoft.com/office/drawing/2014/main" id="{D76CC649-7924-4DFF-B598-48807EEB3940}"/>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54" name="Text Box 4" hidden="1">
          <a:extLst>
            <a:ext uri="{FF2B5EF4-FFF2-40B4-BE49-F238E27FC236}">
              <a16:creationId xmlns:a16="http://schemas.microsoft.com/office/drawing/2014/main" id="{6500A06E-E7C3-420F-A9DC-A7ECE4E9A243}"/>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55" name="Text Box 3" hidden="1">
          <a:extLst>
            <a:ext uri="{FF2B5EF4-FFF2-40B4-BE49-F238E27FC236}">
              <a16:creationId xmlns:a16="http://schemas.microsoft.com/office/drawing/2014/main" id="{956B44C7-F651-4277-95F5-B3A742647C70}"/>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21</xdr:row>
      <xdr:rowOff>114300</xdr:rowOff>
    </xdr:from>
    <xdr:to>
      <xdr:col>3</xdr:col>
      <xdr:colOff>609600</xdr:colOff>
      <xdr:row>25</xdr:row>
      <xdr:rowOff>152400</xdr:rowOff>
    </xdr:to>
    <xdr:sp macro="" textlink="">
      <xdr:nvSpPr>
        <xdr:cNvPr id="56" name="Text Box 2" hidden="1">
          <a:extLst>
            <a:ext uri="{FF2B5EF4-FFF2-40B4-BE49-F238E27FC236}">
              <a16:creationId xmlns:a16="http://schemas.microsoft.com/office/drawing/2014/main" id="{EE904E9D-7EF9-4869-ABD9-AE48850E0562}"/>
            </a:ext>
          </a:extLst>
        </xdr:cNvPr>
        <xdr:cNvSpPr txBox="1">
          <a:spLocks noChangeArrowheads="1"/>
        </xdr:cNvSpPr>
      </xdr:nvSpPr>
      <xdr:spPr bwMode="auto">
        <a:xfrm>
          <a:off x="4514850" y="4391025"/>
          <a:ext cx="13144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564092</xdr:colOff>
      <xdr:row>20</xdr:row>
      <xdr:rowOff>95250</xdr:rowOff>
    </xdr:from>
    <xdr:to>
      <xdr:col>20</xdr:col>
      <xdr:colOff>15875</xdr:colOff>
      <xdr:row>24</xdr:row>
      <xdr:rowOff>76200</xdr:rowOff>
    </xdr:to>
    <xdr:sp macro="" textlink="">
      <xdr:nvSpPr>
        <xdr:cNvPr id="57" name="Text Box 1" hidden="1">
          <a:extLst>
            <a:ext uri="{FF2B5EF4-FFF2-40B4-BE49-F238E27FC236}">
              <a16:creationId xmlns:a16="http://schemas.microsoft.com/office/drawing/2014/main" id="{09754733-3330-4F88-ABD3-A8CF2406792A}"/>
            </a:ext>
          </a:extLst>
        </xdr:cNvPr>
        <xdr:cNvSpPr txBox="1">
          <a:spLocks noChangeArrowheads="1"/>
        </xdr:cNvSpPr>
      </xdr:nvSpPr>
      <xdr:spPr bwMode="auto">
        <a:xfrm>
          <a:off x="16735425" y="4191000"/>
          <a:ext cx="1428750" cy="723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58" name="Text Box 1032" hidden="1">
          <a:extLst>
            <a:ext uri="{FF2B5EF4-FFF2-40B4-BE49-F238E27FC236}">
              <a16:creationId xmlns:a16="http://schemas.microsoft.com/office/drawing/2014/main" id="{468A70D8-57F8-4C4A-8C8E-2847E024DD59}"/>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59" name="Text Box 1031" hidden="1">
          <a:extLst>
            <a:ext uri="{FF2B5EF4-FFF2-40B4-BE49-F238E27FC236}">
              <a16:creationId xmlns:a16="http://schemas.microsoft.com/office/drawing/2014/main" id="{C87CB2BF-5434-428F-A432-0D91DC0BB0A0}"/>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564092</xdr:colOff>
      <xdr:row>20</xdr:row>
      <xdr:rowOff>95250</xdr:rowOff>
    </xdr:from>
    <xdr:to>
      <xdr:col>20</xdr:col>
      <xdr:colOff>15875</xdr:colOff>
      <xdr:row>24</xdr:row>
      <xdr:rowOff>76200</xdr:rowOff>
    </xdr:to>
    <xdr:sp macro="" textlink="">
      <xdr:nvSpPr>
        <xdr:cNvPr id="60" name="Text Box 1029" hidden="1">
          <a:extLst>
            <a:ext uri="{FF2B5EF4-FFF2-40B4-BE49-F238E27FC236}">
              <a16:creationId xmlns:a16="http://schemas.microsoft.com/office/drawing/2014/main" id="{BB4F5034-7A42-4C0E-B89D-F94658A4DC20}"/>
            </a:ext>
          </a:extLst>
        </xdr:cNvPr>
        <xdr:cNvSpPr txBox="1">
          <a:spLocks noChangeArrowheads="1"/>
        </xdr:cNvSpPr>
      </xdr:nvSpPr>
      <xdr:spPr bwMode="auto">
        <a:xfrm>
          <a:off x="16735425" y="4191000"/>
          <a:ext cx="14287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61" name="Text Box 1035" hidden="1">
          <a:extLst>
            <a:ext uri="{FF2B5EF4-FFF2-40B4-BE49-F238E27FC236}">
              <a16:creationId xmlns:a16="http://schemas.microsoft.com/office/drawing/2014/main" id="{01B086A1-DAD1-48E2-855E-A2021E55DE8D}"/>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62" name="Text Box 1034" hidden="1">
          <a:extLst>
            <a:ext uri="{FF2B5EF4-FFF2-40B4-BE49-F238E27FC236}">
              <a16:creationId xmlns:a16="http://schemas.microsoft.com/office/drawing/2014/main" id="{10DE6AB9-ED04-481E-9CBC-287F19B9E0DA}"/>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564092</xdr:colOff>
      <xdr:row>20</xdr:row>
      <xdr:rowOff>95250</xdr:rowOff>
    </xdr:from>
    <xdr:to>
      <xdr:col>20</xdr:col>
      <xdr:colOff>15875</xdr:colOff>
      <xdr:row>24</xdr:row>
      <xdr:rowOff>76200</xdr:rowOff>
    </xdr:to>
    <xdr:sp macro="" textlink="">
      <xdr:nvSpPr>
        <xdr:cNvPr id="63" name="Text Box 1033" hidden="1">
          <a:extLst>
            <a:ext uri="{FF2B5EF4-FFF2-40B4-BE49-F238E27FC236}">
              <a16:creationId xmlns:a16="http://schemas.microsoft.com/office/drawing/2014/main" id="{B78C0C4D-1250-456D-8542-417EC5DA38F2}"/>
            </a:ext>
          </a:extLst>
        </xdr:cNvPr>
        <xdr:cNvSpPr txBox="1">
          <a:spLocks noChangeArrowheads="1"/>
        </xdr:cNvSpPr>
      </xdr:nvSpPr>
      <xdr:spPr bwMode="auto">
        <a:xfrm>
          <a:off x="16735425" y="4191000"/>
          <a:ext cx="14287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64" name="Text Box 1038" hidden="1">
          <a:extLst>
            <a:ext uri="{FF2B5EF4-FFF2-40B4-BE49-F238E27FC236}">
              <a16:creationId xmlns:a16="http://schemas.microsoft.com/office/drawing/2014/main" id="{C4ACEB07-B68B-4A82-AF31-8B2F6592415F}"/>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65" name="Text Box 1037" hidden="1">
          <a:extLst>
            <a:ext uri="{FF2B5EF4-FFF2-40B4-BE49-F238E27FC236}">
              <a16:creationId xmlns:a16="http://schemas.microsoft.com/office/drawing/2014/main" id="{14A91203-D8E4-47E9-BD31-B3CFD6AD86FD}"/>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564092</xdr:colOff>
      <xdr:row>20</xdr:row>
      <xdr:rowOff>95250</xdr:rowOff>
    </xdr:from>
    <xdr:to>
      <xdr:col>20</xdr:col>
      <xdr:colOff>15875</xdr:colOff>
      <xdr:row>24</xdr:row>
      <xdr:rowOff>76200</xdr:rowOff>
    </xdr:to>
    <xdr:sp macro="" textlink="">
      <xdr:nvSpPr>
        <xdr:cNvPr id="66" name="Text Box 1036" hidden="1">
          <a:extLst>
            <a:ext uri="{FF2B5EF4-FFF2-40B4-BE49-F238E27FC236}">
              <a16:creationId xmlns:a16="http://schemas.microsoft.com/office/drawing/2014/main" id="{2E171847-604A-40C1-B709-CB7CB9863402}"/>
            </a:ext>
          </a:extLst>
        </xdr:cNvPr>
        <xdr:cNvSpPr txBox="1">
          <a:spLocks noChangeArrowheads="1"/>
        </xdr:cNvSpPr>
      </xdr:nvSpPr>
      <xdr:spPr bwMode="auto">
        <a:xfrm>
          <a:off x="16735425" y="4191000"/>
          <a:ext cx="14287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67" name="Text Box 1040" hidden="1">
          <a:extLst>
            <a:ext uri="{FF2B5EF4-FFF2-40B4-BE49-F238E27FC236}">
              <a16:creationId xmlns:a16="http://schemas.microsoft.com/office/drawing/2014/main" id="{0EAE56F9-0D04-4B98-B16E-1F8CCB30163D}"/>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564092</xdr:colOff>
      <xdr:row>21</xdr:row>
      <xdr:rowOff>76200</xdr:rowOff>
    </xdr:from>
    <xdr:to>
      <xdr:col>20</xdr:col>
      <xdr:colOff>0</xdr:colOff>
      <xdr:row>25</xdr:row>
      <xdr:rowOff>76200</xdr:rowOff>
    </xdr:to>
    <xdr:sp macro="" textlink="">
      <xdr:nvSpPr>
        <xdr:cNvPr id="68" name="Text Box 1039" hidden="1">
          <a:extLst>
            <a:ext uri="{FF2B5EF4-FFF2-40B4-BE49-F238E27FC236}">
              <a16:creationId xmlns:a16="http://schemas.microsoft.com/office/drawing/2014/main" id="{AB926DBD-38CB-42A2-A78B-FB0739C8E0BC}"/>
            </a:ext>
          </a:extLst>
        </xdr:cNvPr>
        <xdr:cNvSpPr txBox="1">
          <a:spLocks noChangeArrowheads="1"/>
        </xdr:cNvSpPr>
      </xdr:nvSpPr>
      <xdr:spPr bwMode="auto">
        <a:xfrm>
          <a:off x="16735425" y="4352925"/>
          <a:ext cx="14097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114300</xdr:rowOff>
    </xdr:to>
    <xdr:sp macro="" textlink="">
      <xdr:nvSpPr>
        <xdr:cNvPr id="69" name="Text Box 1042" hidden="1">
          <a:extLst>
            <a:ext uri="{FF2B5EF4-FFF2-40B4-BE49-F238E27FC236}">
              <a16:creationId xmlns:a16="http://schemas.microsoft.com/office/drawing/2014/main" id="{8329283A-8087-4C18-A9BD-563DDEB04F15}"/>
            </a:ext>
          </a:extLst>
        </xdr:cNvPr>
        <xdr:cNvSpPr txBox="1">
          <a:spLocks noChangeArrowheads="1"/>
        </xdr:cNvSpPr>
      </xdr:nvSpPr>
      <xdr:spPr bwMode="auto">
        <a:xfrm>
          <a:off x="4533900" y="4191000"/>
          <a:ext cx="12954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695325</xdr:colOff>
      <xdr:row>17</xdr:row>
      <xdr:rowOff>114300</xdr:rowOff>
    </xdr:from>
    <xdr:to>
      <xdr:col>23</xdr:col>
      <xdr:colOff>514350</xdr:colOff>
      <xdr:row>22</xdr:row>
      <xdr:rowOff>0</xdr:rowOff>
    </xdr:to>
    <xdr:sp macro="" textlink="">
      <xdr:nvSpPr>
        <xdr:cNvPr id="305153" name="Text Box 1025" hidden="1">
          <a:extLst>
            <a:ext uri="{FF2B5EF4-FFF2-40B4-BE49-F238E27FC236}">
              <a16:creationId xmlns:a16="http://schemas.microsoft.com/office/drawing/2014/main" id="{8A19B203-8A4B-4469-8F8E-140A390E820F}"/>
            </a:ext>
          </a:extLst>
        </xdr:cNvPr>
        <xdr:cNvSpPr txBox="1">
          <a:spLocks noChangeArrowheads="1"/>
        </xdr:cNvSpPr>
      </xdr:nvSpPr>
      <xdr:spPr bwMode="auto">
        <a:xfrm>
          <a:off x="18783300" y="3743325"/>
          <a:ext cx="1266825"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20</xdr:row>
      <xdr:rowOff>114300</xdr:rowOff>
    </xdr:from>
    <xdr:to>
      <xdr:col>3</xdr:col>
      <xdr:colOff>609600</xdr:colOff>
      <xdr:row>24</xdr:row>
      <xdr:rowOff>161925</xdr:rowOff>
    </xdr:to>
    <xdr:sp macro="" textlink="">
      <xdr:nvSpPr>
        <xdr:cNvPr id="305154" name="Text Box 1026" hidden="1">
          <a:extLst>
            <a:ext uri="{FF2B5EF4-FFF2-40B4-BE49-F238E27FC236}">
              <a16:creationId xmlns:a16="http://schemas.microsoft.com/office/drawing/2014/main" id="{179AB7F1-8982-40B4-9EDB-A6D528CB9452}"/>
            </a:ext>
          </a:extLst>
        </xdr:cNvPr>
        <xdr:cNvSpPr txBox="1">
          <a:spLocks noChangeArrowheads="1"/>
        </xdr:cNvSpPr>
      </xdr:nvSpPr>
      <xdr:spPr bwMode="auto">
        <a:xfrm>
          <a:off x="4352925" y="4295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504825</xdr:colOff>
      <xdr:row>21</xdr:row>
      <xdr:rowOff>114300</xdr:rowOff>
    </xdr:from>
    <xdr:to>
      <xdr:col>19</xdr:col>
      <xdr:colOff>514350</xdr:colOff>
      <xdr:row>25</xdr:row>
      <xdr:rowOff>161925</xdr:rowOff>
    </xdr:to>
    <xdr:sp macro="" textlink="">
      <xdr:nvSpPr>
        <xdr:cNvPr id="305155" name="Text Box 1027" hidden="1">
          <a:extLst>
            <a:ext uri="{FF2B5EF4-FFF2-40B4-BE49-F238E27FC236}">
              <a16:creationId xmlns:a16="http://schemas.microsoft.com/office/drawing/2014/main" id="{7B5117E5-9501-4A02-9D64-D4BC0ED9B360}"/>
            </a:ext>
          </a:extLst>
        </xdr:cNvPr>
        <xdr:cNvSpPr txBox="1">
          <a:spLocks noChangeArrowheads="1"/>
        </xdr:cNvSpPr>
      </xdr:nvSpPr>
      <xdr:spPr bwMode="auto">
        <a:xfrm>
          <a:off x="15982950" y="4486275"/>
          <a:ext cx="1266825"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4.xml><?xml version="1.0" encoding="utf-8"?>
<xdr:wsDr xmlns:xdr="http://schemas.openxmlformats.org/drawingml/2006/spreadsheetDrawing" xmlns:a="http://schemas.openxmlformats.org/drawingml/2006/main">
  <xdr:twoCellAnchor editAs="absolute">
    <xdr:from>
      <xdr:col>3</xdr:col>
      <xdr:colOff>304800</xdr:colOff>
      <xdr:row>66</xdr:row>
      <xdr:rowOff>202212</xdr:rowOff>
    </xdr:from>
    <xdr:to>
      <xdr:col>5</xdr:col>
      <xdr:colOff>0</xdr:colOff>
      <xdr:row>69</xdr:row>
      <xdr:rowOff>2350</xdr:rowOff>
    </xdr:to>
    <xdr:sp macro="" textlink="">
      <xdr:nvSpPr>
        <xdr:cNvPr id="67587" name="Text Box 3" hidden="1">
          <a:extLst>
            <a:ext uri="{FF2B5EF4-FFF2-40B4-BE49-F238E27FC236}">
              <a16:creationId xmlns:a16="http://schemas.microsoft.com/office/drawing/2014/main" id="{13718763-8D19-4B0E-885F-81B95DC5049A}"/>
            </a:ext>
          </a:extLst>
        </xdr:cNvPr>
        <xdr:cNvSpPr txBox="1">
          <a:spLocks noChangeArrowheads="1"/>
        </xdr:cNvSpPr>
      </xdr:nvSpPr>
      <xdr:spPr bwMode="auto">
        <a:xfrm>
          <a:off x="4145280" y="15483840"/>
          <a:ext cx="1310640" cy="10134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66</xdr:row>
      <xdr:rowOff>16558</xdr:rowOff>
    </xdr:from>
    <xdr:to>
      <xdr:col>4</xdr:col>
      <xdr:colOff>800100</xdr:colOff>
      <xdr:row>66</xdr:row>
      <xdr:rowOff>76891</xdr:rowOff>
    </xdr:to>
    <xdr:sp macro="" textlink="">
      <xdr:nvSpPr>
        <xdr:cNvPr id="67588" name="Text Box 4" hidden="1">
          <a:extLst>
            <a:ext uri="{FF2B5EF4-FFF2-40B4-BE49-F238E27FC236}">
              <a16:creationId xmlns:a16="http://schemas.microsoft.com/office/drawing/2014/main" id="{DBD514CE-E09E-4684-8C0C-29F8A0EB4689}"/>
            </a:ext>
          </a:extLst>
        </xdr:cNvPr>
        <xdr:cNvSpPr txBox="1">
          <a:spLocks noChangeArrowheads="1"/>
        </xdr:cNvSpPr>
      </xdr:nvSpPr>
      <xdr:spPr bwMode="auto">
        <a:xfrm>
          <a:off x="4145280" y="15300960"/>
          <a:ext cx="1257300" cy="762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66</xdr:row>
      <xdr:rowOff>202212</xdr:rowOff>
    </xdr:from>
    <xdr:to>
      <xdr:col>5</xdr:col>
      <xdr:colOff>0</xdr:colOff>
      <xdr:row>69</xdr:row>
      <xdr:rowOff>2350</xdr:rowOff>
    </xdr:to>
    <xdr:sp macro="" textlink="">
      <xdr:nvSpPr>
        <xdr:cNvPr id="67589" name="Text Box 5" hidden="1">
          <a:extLst>
            <a:ext uri="{FF2B5EF4-FFF2-40B4-BE49-F238E27FC236}">
              <a16:creationId xmlns:a16="http://schemas.microsoft.com/office/drawing/2014/main" id="{D780B812-8604-469E-9B33-8B1D82C0D7F5}"/>
            </a:ext>
          </a:extLst>
        </xdr:cNvPr>
        <xdr:cNvSpPr txBox="1">
          <a:spLocks noChangeArrowheads="1"/>
        </xdr:cNvSpPr>
      </xdr:nvSpPr>
      <xdr:spPr bwMode="auto">
        <a:xfrm>
          <a:off x="4145280" y="15483840"/>
          <a:ext cx="1310640" cy="10134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221615</xdr:colOff>
      <xdr:row>20</xdr:row>
      <xdr:rowOff>125359</xdr:rowOff>
    </xdr:to>
    <xdr:sp macro="" textlink="">
      <xdr:nvSpPr>
        <xdr:cNvPr id="67590" name="Text Box 6" hidden="1">
          <a:extLst>
            <a:ext uri="{FF2B5EF4-FFF2-40B4-BE49-F238E27FC236}">
              <a16:creationId xmlns:a16="http://schemas.microsoft.com/office/drawing/2014/main" id="{DD4B62F7-79C1-413B-B6E5-8C5EACA6430A}"/>
            </a:ext>
          </a:extLst>
        </xdr:cNvPr>
        <xdr:cNvSpPr txBox="1">
          <a:spLocks noChangeArrowheads="1"/>
        </xdr:cNvSpPr>
      </xdr:nvSpPr>
      <xdr:spPr bwMode="auto">
        <a:xfrm>
          <a:off x="12870180" y="4572000"/>
          <a:ext cx="1264920" cy="7391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08" name="Text Box 1028" hidden="1">
          <a:extLst>
            <a:ext uri="{FF2B5EF4-FFF2-40B4-BE49-F238E27FC236}">
              <a16:creationId xmlns:a16="http://schemas.microsoft.com/office/drawing/2014/main" id="{19F9B95F-4D6C-479F-B6BF-4A92CBE42976}"/>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523216</xdr:rowOff>
    </xdr:from>
    <xdr:to>
      <xdr:col>4</xdr:col>
      <xdr:colOff>800100</xdr:colOff>
      <xdr:row>53</xdr:row>
      <xdr:rowOff>92611</xdr:rowOff>
    </xdr:to>
    <xdr:sp macro="" textlink="">
      <xdr:nvSpPr>
        <xdr:cNvPr id="251907" name="Text Box 1027" hidden="1">
          <a:extLst>
            <a:ext uri="{FF2B5EF4-FFF2-40B4-BE49-F238E27FC236}">
              <a16:creationId xmlns:a16="http://schemas.microsoft.com/office/drawing/2014/main" id="{706B9BE5-43A1-4802-85A7-2869B50DB2F8}"/>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06" name="Text Box 1026" hidden="1">
          <a:extLst>
            <a:ext uri="{FF2B5EF4-FFF2-40B4-BE49-F238E27FC236}">
              <a16:creationId xmlns:a16="http://schemas.microsoft.com/office/drawing/2014/main" id="{90C9A472-F0AE-4653-9D73-036EA63DA01F}"/>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221615</xdr:colOff>
      <xdr:row>20</xdr:row>
      <xdr:rowOff>125359</xdr:rowOff>
    </xdr:to>
    <xdr:sp macro="" textlink="">
      <xdr:nvSpPr>
        <xdr:cNvPr id="251905" name="Text Box 1025" hidden="1">
          <a:extLst>
            <a:ext uri="{FF2B5EF4-FFF2-40B4-BE49-F238E27FC236}">
              <a16:creationId xmlns:a16="http://schemas.microsoft.com/office/drawing/2014/main" id="{85906831-1EED-4A6E-8144-DC1933CE6259}"/>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12" name="Text Box 1032" hidden="1">
          <a:extLst>
            <a:ext uri="{FF2B5EF4-FFF2-40B4-BE49-F238E27FC236}">
              <a16:creationId xmlns:a16="http://schemas.microsoft.com/office/drawing/2014/main" id="{CAC5074E-0474-4CF8-8F13-DC787785896A}"/>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523216</xdr:rowOff>
    </xdr:from>
    <xdr:to>
      <xdr:col>4</xdr:col>
      <xdr:colOff>800100</xdr:colOff>
      <xdr:row>53</xdr:row>
      <xdr:rowOff>92611</xdr:rowOff>
    </xdr:to>
    <xdr:sp macro="" textlink="">
      <xdr:nvSpPr>
        <xdr:cNvPr id="251911" name="Text Box 1031" hidden="1">
          <a:extLst>
            <a:ext uri="{FF2B5EF4-FFF2-40B4-BE49-F238E27FC236}">
              <a16:creationId xmlns:a16="http://schemas.microsoft.com/office/drawing/2014/main" id="{F8E8DC70-AFA6-4217-AE74-066FE68CA59C}"/>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10" name="Text Box 1030" hidden="1">
          <a:extLst>
            <a:ext uri="{FF2B5EF4-FFF2-40B4-BE49-F238E27FC236}">
              <a16:creationId xmlns:a16="http://schemas.microsoft.com/office/drawing/2014/main" id="{EE9EEFB1-F90B-41AB-B797-D9D7FFED9DFD}"/>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221615</xdr:colOff>
      <xdr:row>20</xdr:row>
      <xdr:rowOff>125359</xdr:rowOff>
    </xdr:to>
    <xdr:sp macro="" textlink="">
      <xdr:nvSpPr>
        <xdr:cNvPr id="251909" name="Text Box 1029" hidden="1">
          <a:extLst>
            <a:ext uri="{FF2B5EF4-FFF2-40B4-BE49-F238E27FC236}">
              <a16:creationId xmlns:a16="http://schemas.microsoft.com/office/drawing/2014/main" id="{DC9D6A5D-77D1-45FD-9D1A-07E07768924B}"/>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16" name="Text Box 1036" hidden="1">
          <a:extLst>
            <a:ext uri="{FF2B5EF4-FFF2-40B4-BE49-F238E27FC236}">
              <a16:creationId xmlns:a16="http://schemas.microsoft.com/office/drawing/2014/main" id="{9487BF0F-D50F-4627-B515-69687776B1F6}"/>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523216</xdr:rowOff>
    </xdr:from>
    <xdr:to>
      <xdr:col>4</xdr:col>
      <xdr:colOff>800100</xdr:colOff>
      <xdr:row>53</xdr:row>
      <xdr:rowOff>92611</xdr:rowOff>
    </xdr:to>
    <xdr:sp macro="" textlink="">
      <xdr:nvSpPr>
        <xdr:cNvPr id="251915" name="Text Box 1035" hidden="1">
          <a:extLst>
            <a:ext uri="{FF2B5EF4-FFF2-40B4-BE49-F238E27FC236}">
              <a16:creationId xmlns:a16="http://schemas.microsoft.com/office/drawing/2014/main" id="{3E6B5A71-00D1-450B-88EB-326421E14732}"/>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14" name="Text Box 1034" hidden="1">
          <a:extLst>
            <a:ext uri="{FF2B5EF4-FFF2-40B4-BE49-F238E27FC236}">
              <a16:creationId xmlns:a16="http://schemas.microsoft.com/office/drawing/2014/main" id="{5C7FC14F-A034-4708-8CD9-652DF8A7F12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221615</xdr:colOff>
      <xdr:row>20</xdr:row>
      <xdr:rowOff>125359</xdr:rowOff>
    </xdr:to>
    <xdr:sp macro="" textlink="">
      <xdr:nvSpPr>
        <xdr:cNvPr id="251913" name="Text Box 1033" hidden="1">
          <a:extLst>
            <a:ext uri="{FF2B5EF4-FFF2-40B4-BE49-F238E27FC236}">
              <a16:creationId xmlns:a16="http://schemas.microsoft.com/office/drawing/2014/main" id="{0AAC3D37-5D24-4678-8656-B04A2F6F2BB1}"/>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20" name="Text Box 1040" hidden="1">
          <a:extLst>
            <a:ext uri="{FF2B5EF4-FFF2-40B4-BE49-F238E27FC236}">
              <a16:creationId xmlns:a16="http://schemas.microsoft.com/office/drawing/2014/main" id="{624098F1-CCFF-4517-93B6-26AEA69371C0}"/>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523216</xdr:rowOff>
    </xdr:from>
    <xdr:to>
      <xdr:col>4</xdr:col>
      <xdr:colOff>800100</xdr:colOff>
      <xdr:row>53</xdr:row>
      <xdr:rowOff>92611</xdr:rowOff>
    </xdr:to>
    <xdr:sp macro="" textlink="">
      <xdr:nvSpPr>
        <xdr:cNvPr id="251919" name="Text Box 1039" hidden="1">
          <a:extLst>
            <a:ext uri="{FF2B5EF4-FFF2-40B4-BE49-F238E27FC236}">
              <a16:creationId xmlns:a16="http://schemas.microsoft.com/office/drawing/2014/main" id="{E4E3B710-8F5D-4C3F-9637-245B73F03640}"/>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18" name="Text Box 1038" hidden="1">
          <a:extLst>
            <a:ext uri="{FF2B5EF4-FFF2-40B4-BE49-F238E27FC236}">
              <a16:creationId xmlns:a16="http://schemas.microsoft.com/office/drawing/2014/main" id="{0028AFA5-4302-4741-A540-715887AD824F}"/>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221615</xdr:colOff>
      <xdr:row>20</xdr:row>
      <xdr:rowOff>125359</xdr:rowOff>
    </xdr:to>
    <xdr:sp macro="" textlink="">
      <xdr:nvSpPr>
        <xdr:cNvPr id="251917" name="Text Box 1037" hidden="1">
          <a:extLst>
            <a:ext uri="{FF2B5EF4-FFF2-40B4-BE49-F238E27FC236}">
              <a16:creationId xmlns:a16="http://schemas.microsoft.com/office/drawing/2014/main" id="{CC501E3B-73CE-467F-AFC3-26F55F90FD91}"/>
            </a:ext>
          </a:extLst>
        </xdr:cNvPr>
        <xdr:cNvSpPr txBox="1">
          <a:spLocks noChangeArrowheads="1"/>
        </xdr:cNvSpPr>
      </xdr:nvSpPr>
      <xdr:spPr bwMode="auto">
        <a:xfrm>
          <a:off x="12870180" y="4572000"/>
          <a:ext cx="126492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24" name="Text Box 1044" hidden="1">
          <a:extLst>
            <a:ext uri="{FF2B5EF4-FFF2-40B4-BE49-F238E27FC236}">
              <a16:creationId xmlns:a16="http://schemas.microsoft.com/office/drawing/2014/main" id="{7C42C268-F439-43AF-BD45-62D31FEF7441}"/>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523216</xdr:rowOff>
    </xdr:from>
    <xdr:to>
      <xdr:col>4</xdr:col>
      <xdr:colOff>800100</xdr:colOff>
      <xdr:row>53</xdr:row>
      <xdr:rowOff>92611</xdr:rowOff>
    </xdr:to>
    <xdr:sp macro="" textlink="">
      <xdr:nvSpPr>
        <xdr:cNvPr id="251923" name="Text Box 1043" hidden="1">
          <a:extLst>
            <a:ext uri="{FF2B5EF4-FFF2-40B4-BE49-F238E27FC236}">
              <a16:creationId xmlns:a16="http://schemas.microsoft.com/office/drawing/2014/main" id="{24E3E5E4-8EE9-4F8F-864C-36733ACCCD75}"/>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22" name="Text Box 1042" hidden="1">
          <a:extLst>
            <a:ext uri="{FF2B5EF4-FFF2-40B4-BE49-F238E27FC236}">
              <a16:creationId xmlns:a16="http://schemas.microsoft.com/office/drawing/2014/main" id="{BCA07173-919E-4D2E-9A8E-468B1E31A7BE}"/>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221615</xdr:colOff>
      <xdr:row>20</xdr:row>
      <xdr:rowOff>125359</xdr:rowOff>
    </xdr:to>
    <xdr:sp macro="" textlink="">
      <xdr:nvSpPr>
        <xdr:cNvPr id="251921" name="Text Box 1041" hidden="1">
          <a:extLst>
            <a:ext uri="{FF2B5EF4-FFF2-40B4-BE49-F238E27FC236}">
              <a16:creationId xmlns:a16="http://schemas.microsoft.com/office/drawing/2014/main" id="{20FB8997-4302-4B6E-BB12-655072FA3E6F}"/>
            </a:ext>
          </a:extLst>
        </xdr:cNvPr>
        <xdr:cNvSpPr txBox="1">
          <a:spLocks noChangeArrowheads="1"/>
        </xdr:cNvSpPr>
      </xdr:nvSpPr>
      <xdr:spPr bwMode="auto">
        <a:xfrm>
          <a:off x="12870180" y="4572000"/>
          <a:ext cx="126492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28" name="Text Box 1048" hidden="1">
          <a:extLst>
            <a:ext uri="{FF2B5EF4-FFF2-40B4-BE49-F238E27FC236}">
              <a16:creationId xmlns:a16="http://schemas.microsoft.com/office/drawing/2014/main" id="{81C89C06-EF74-4DCA-86EB-678F070996AC}"/>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523216</xdr:rowOff>
    </xdr:from>
    <xdr:to>
      <xdr:col>4</xdr:col>
      <xdr:colOff>800100</xdr:colOff>
      <xdr:row>53</xdr:row>
      <xdr:rowOff>92611</xdr:rowOff>
    </xdr:to>
    <xdr:sp macro="" textlink="">
      <xdr:nvSpPr>
        <xdr:cNvPr id="251927" name="Text Box 1047" hidden="1">
          <a:extLst>
            <a:ext uri="{FF2B5EF4-FFF2-40B4-BE49-F238E27FC236}">
              <a16:creationId xmlns:a16="http://schemas.microsoft.com/office/drawing/2014/main" id="{EC0F85A6-99CB-49B0-B40A-086745B99F2A}"/>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26" name="Text Box 1046" hidden="1">
          <a:extLst>
            <a:ext uri="{FF2B5EF4-FFF2-40B4-BE49-F238E27FC236}">
              <a16:creationId xmlns:a16="http://schemas.microsoft.com/office/drawing/2014/main" id="{49540C25-BF8A-49F2-8B9E-96E5A8E7D4FD}"/>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221615</xdr:colOff>
      <xdr:row>20</xdr:row>
      <xdr:rowOff>125359</xdr:rowOff>
    </xdr:to>
    <xdr:sp macro="" textlink="">
      <xdr:nvSpPr>
        <xdr:cNvPr id="251925" name="Text Box 1045" hidden="1">
          <a:extLst>
            <a:ext uri="{FF2B5EF4-FFF2-40B4-BE49-F238E27FC236}">
              <a16:creationId xmlns:a16="http://schemas.microsoft.com/office/drawing/2014/main" id="{5396452F-13FF-4BCB-83E7-DD5C323C8548}"/>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32" name="Text Box 1052" hidden="1">
          <a:extLst>
            <a:ext uri="{FF2B5EF4-FFF2-40B4-BE49-F238E27FC236}">
              <a16:creationId xmlns:a16="http://schemas.microsoft.com/office/drawing/2014/main" id="{DA286031-F4EF-4C57-A8B5-FCE018A24E0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523216</xdr:rowOff>
    </xdr:from>
    <xdr:to>
      <xdr:col>4</xdr:col>
      <xdr:colOff>800100</xdr:colOff>
      <xdr:row>53</xdr:row>
      <xdr:rowOff>92611</xdr:rowOff>
    </xdr:to>
    <xdr:sp macro="" textlink="">
      <xdr:nvSpPr>
        <xdr:cNvPr id="251931" name="Text Box 1051" hidden="1">
          <a:extLst>
            <a:ext uri="{FF2B5EF4-FFF2-40B4-BE49-F238E27FC236}">
              <a16:creationId xmlns:a16="http://schemas.microsoft.com/office/drawing/2014/main" id="{447269CA-6073-4766-AF82-6276260FED69}"/>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30" name="Text Box 1050" hidden="1">
          <a:extLst>
            <a:ext uri="{FF2B5EF4-FFF2-40B4-BE49-F238E27FC236}">
              <a16:creationId xmlns:a16="http://schemas.microsoft.com/office/drawing/2014/main" id="{2C89D77A-61B3-418E-9486-EA434904632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35" name="Text Box 1055" hidden="1">
          <a:extLst>
            <a:ext uri="{FF2B5EF4-FFF2-40B4-BE49-F238E27FC236}">
              <a16:creationId xmlns:a16="http://schemas.microsoft.com/office/drawing/2014/main" id="{FE06F0EB-941A-482C-9F0F-952EB2B5AADB}"/>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523216</xdr:rowOff>
    </xdr:from>
    <xdr:to>
      <xdr:col>4</xdr:col>
      <xdr:colOff>800100</xdr:colOff>
      <xdr:row>53</xdr:row>
      <xdr:rowOff>92611</xdr:rowOff>
    </xdr:to>
    <xdr:sp macro="" textlink="">
      <xdr:nvSpPr>
        <xdr:cNvPr id="251934" name="Text Box 1054" hidden="1">
          <a:extLst>
            <a:ext uri="{FF2B5EF4-FFF2-40B4-BE49-F238E27FC236}">
              <a16:creationId xmlns:a16="http://schemas.microsoft.com/office/drawing/2014/main" id="{7A03DF36-3694-414A-8CC7-4B61057CB59D}"/>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33" name="Text Box 1053" hidden="1">
          <a:extLst>
            <a:ext uri="{FF2B5EF4-FFF2-40B4-BE49-F238E27FC236}">
              <a16:creationId xmlns:a16="http://schemas.microsoft.com/office/drawing/2014/main" id="{6E2E8A59-5C6B-4FD5-BDD6-8A5FD5C3E68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145415</xdr:colOff>
      <xdr:row>100</xdr:row>
      <xdr:rowOff>68072</xdr:rowOff>
    </xdr:from>
    <xdr:to>
      <xdr:col>20</xdr:col>
      <xdr:colOff>381000</xdr:colOff>
      <xdr:row>104</xdr:row>
      <xdr:rowOff>22249</xdr:rowOff>
    </xdr:to>
    <xdr:sp macro="" textlink="">
      <xdr:nvSpPr>
        <xdr:cNvPr id="251936" name="Text Box 1056" hidden="1">
          <a:extLst>
            <a:ext uri="{FF2B5EF4-FFF2-40B4-BE49-F238E27FC236}">
              <a16:creationId xmlns:a16="http://schemas.microsoft.com/office/drawing/2014/main" id="{0FF95A32-4A9A-49AF-BD06-64D408FF4B27}"/>
            </a:ext>
          </a:extLst>
        </xdr:cNvPr>
        <xdr:cNvSpPr txBox="1">
          <a:spLocks noChangeArrowheads="1"/>
        </xdr:cNvSpPr>
      </xdr:nvSpPr>
      <xdr:spPr bwMode="auto">
        <a:xfrm>
          <a:off x="12553950" y="23631525"/>
          <a:ext cx="1362075"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40" name="Text Box 1060" hidden="1">
          <a:extLst>
            <a:ext uri="{FF2B5EF4-FFF2-40B4-BE49-F238E27FC236}">
              <a16:creationId xmlns:a16="http://schemas.microsoft.com/office/drawing/2014/main" id="{6ECBD680-B41D-4797-A81D-44A9CB1BE9F6}"/>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523216</xdr:rowOff>
    </xdr:from>
    <xdr:to>
      <xdr:col>4</xdr:col>
      <xdr:colOff>800100</xdr:colOff>
      <xdr:row>53</xdr:row>
      <xdr:rowOff>92611</xdr:rowOff>
    </xdr:to>
    <xdr:sp macro="" textlink="">
      <xdr:nvSpPr>
        <xdr:cNvPr id="251939" name="Text Box 1059" hidden="1">
          <a:extLst>
            <a:ext uri="{FF2B5EF4-FFF2-40B4-BE49-F238E27FC236}">
              <a16:creationId xmlns:a16="http://schemas.microsoft.com/office/drawing/2014/main" id="{090E4475-FA59-4FC4-8319-9D32A7A8B658}"/>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38" name="Text Box 1058" hidden="1">
          <a:extLst>
            <a:ext uri="{FF2B5EF4-FFF2-40B4-BE49-F238E27FC236}">
              <a16:creationId xmlns:a16="http://schemas.microsoft.com/office/drawing/2014/main" id="{63C00021-3770-4737-8444-1784021FE950}"/>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145415</xdr:colOff>
      <xdr:row>98</xdr:row>
      <xdr:rowOff>185641</xdr:rowOff>
    </xdr:from>
    <xdr:to>
      <xdr:col>20</xdr:col>
      <xdr:colOff>381000</xdr:colOff>
      <xdr:row>102</xdr:row>
      <xdr:rowOff>163502</xdr:rowOff>
    </xdr:to>
    <xdr:sp macro="" textlink="">
      <xdr:nvSpPr>
        <xdr:cNvPr id="251941" name="Text Box 1061" hidden="1">
          <a:extLst>
            <a:ext uri="{FF2B5EF4-FFF2-40B4-BE49-F238E27FC236}">
              <a16:creationId xmlns:a16="http://schemas.microsoft.com/office/drawing/2014/main" id="{9164FE8A-661A-47EA-B1D1-FF85BD23B695}"/>
            </a:ext>
          </a:extLst>
        </xdr:cNvPr>
        <xdr:cNvSpPr txBox="1">
          <a:spLocks noChangeArrowheads="1"/>
        </xdr:cNvSpPr>
      </xdr:nvSpPr>
      <xdr:spPr bwMode="auto">
        <a:xfrm>
          <a:off x="12885420" y="23050500"/>
          <a:ext cx="1402080" cy="7391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45" name="Text Box 1065" hidden="1">
          <a:extLst>
            <a:ext uri="{FF2B5EF4-FFF2-40B4-BE49-F238E27FC236}">
              <a16:creationId xmlns:a16="http://schemas.microsoft.com/office/drawing/2014/main" id="{75ECC086-E7F3-4304-9E42-B986D60811CB}"/>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523216</xdr:rowOff>
    </xdr:from>
    <xdr:to>
      <xdr:col>4</xdr:col>
      <xdr:colOff>800100</xdr:colOff>
      <xdr:row>53</xdr:row>
      <xdr:rowOff>92611</xdr:rowOff>
    </xdr:to>
    <xdr:sp macro="" textlink="">
      <xdr:nvSpPr>
        <xdr:cNvPr id="251944" name="Text Box 1064" hidden="1">
          <a:extLst>
            <a:ext uri="{FF2B5EF4-FFF2-40B4-BE49-F238E27FC236}">
              <a16:creationId xmlns:a16="http://schemas.microsoft.com/office/drawing/2014/main" id="{5CAAAF00-180B-442A-908F-A55E8751B3FB}"/>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43" name="Text Box 1063" hidden="1">
          <a:extLst>
            <a:ext uri="{FF2B5EF4-FFF2-40B4-BE49-F238E27FC236}">
              <a16:creationId xmlns:a16="http://schemas.microsoft.com/office/drawing/2014/main" id="{5DD777EF-3364-4FC0-BDFB-9DBA6DD154C9}"/>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121285</xdr:colOff>
      <xdr:row>98</xdr:row>
      <xdr:rowOff>185641</xdr:rowOff>
    </xdr:from>
    <xdr:to>
      <xdr:col>20</xdr:col>
      <xdr:colOff>381000</xdr:colOff>
      <xdr:row>102</xdr:row>
      <xdr:rowOff>163502</xdr:rowOff>
    </xdr:to>
    <xdr:sp macro="" textlink="">
      <xdr:nvSpPr>
        <xdr:cNvPr id="251942" name="Text Box 1062" hidden="1">
          <a:extLst>
            <a:ext uri="{FF2B5EF4-FFF2-40B4-BE49-F238E27FC236}">
              <a16:creationId xmlns:a16="http://schemas.microsoft.com/office/drawing/2014/main" id="{798FFDF5-689E-4B2C-A5B3-1F969BE022CB}"/>
            </a:ext>
          </a:extLst>
        </xdr:cNvPr>
        <xdr:cNvSpPr txBox="1">
          <a:spLocks noChangeArrowheads="1"/>
        </xdr:cNvSpPr>
      </xdr:nvSpPr>
      <xdr:spPr bwMode="auto">
        <a:xfrm>
          <a:off x="12877800" y="23042880"/>
          <a:ext cx="14097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49" name="Text Box 1069" hidden="1">
          <a:extLst>
            <a:ext uri="{FF2B5EF4-FFF2-40B4-BE49-F238E27FC236}">
              <a16:creationId xmlns:a16="http://schemas.microsoft.com/office/drawing/2014/main" id="{C4D7BA3E-C536-4EE0-94D0-3A54F2D4F6B2}"/>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523216</xdr:rowOff>
    </xdr:from>
    <xdr:to>
      <xdr:col>4</xdr:col>
      <xdr:colOff>800100</xdr:colOff>
      <xdr:row>53</xdr:row>
      <xdr:rowOff>92611</xdr:rowOff>
    </xdr:to>
    <xdr:sp macro="" textlink="">
      <xdr:nvSpPr>
        <xdr:cNvPr id="251948" name="Text Box 1068" hidden="1">
          <a:extLst>
            <a:ext uri="{FF2B5EF4-FFF2-40B4-BE49-F238E27FC236}">
              <a16:creationId xmlns:a16="http://schemas.microsoft.com/office/drawing/2014/main" id="{CAEC22FB-38E3-48B9-BAAB-A5D2C0831BE9}"/>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47" name="Text Box 1067" hidden="1">
          <a:extLst>
            <a:ext uri="{FF2B5EF4-FFF2-40B4-BE49-F238E27FC236}">
              <a16:creationId xmlns:a16="http://schemas.microsoft.com/office/drawing/2014/main" id="{054FBDFB-4503-4B86-8DCD-3162FDA6D3E4}"/>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98</xdr:row>
      <xdr:rowOff>185641</xdr:rowOff>
    </xdr:from>
    <xdr:to>
      <xdr:col>20</xdr:col>
      <xdr:colOff>381000</xdr:colOff>
      <xdr:row>102</xdr:row>
      <xdr:rowOff>163502</xdr:rowOff>
    </xdr:to>
    <xdr:sp macro="" textlink="">
      <xdr:nvSpPr>
        <xdr:cNvPr id="251946" name="Text Box 1066" hidden="1">
          <a:extLst>
            <a:ext uri="{FF2B5EF4-FFF2-40B4-BE49-F238E27FC236}">
              <a16:creationId xmlns:a16="http://schemas.microsoft.com/office/drawing/2014/main" id="{24FF4566-F65D-44F6-95A0-B22531095F80}"/>
            </a:ext>
          </a:extLst>
        </xdr:cNvPr>
        <xdr:cNvSpPr txBox="1">
          <a:spLocks noChangeArrowheads="1"/>
        </xdr:cNvSpPr>
      </xdr:nvSpPr>
      <xdr:spPr bwMode="auto">
        <a:xfrm>
          <a:off x="12870180" y="23042880"/>
          <a:ext cx="141732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53" name="Text Box 1073" hidden="1">
          <a:extLst>
            <a:ext uri="{FF2B5EF4-FFF2-40B4-BE49-F238E27FC236}">
              <a16:creationId xmlns:a16="http://schemas.microsoft.com/office/drawing/2014/main" id="{72185ADD-64D2-4942-9710-8B48BBE0B38D}"/>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523216</xdr:rowOff>
    </xdr:from>
    <xdr:to>
      <xdr:col>4</xdr:col>
      <xdr:colOff>800100</xdr:colOff>
      <xdr:row>53</xdr:row>
      <xdr:rowOff>92611</xdr:rowOff>
    </xdr:to>
    <xdr:sp macro="" textlink="">
      <xdr:nvSpPr>
        <xdr:cNvPr id="251952" name="Text Box 1072" hidden="1">
          <a:extLst>
            <a:ext uri="{FF2B5EF4-FFF2-40B4-BE49-F238E27FC236}">
              <a16:creationId xmlns:a16="http://schemas.microsoft.com/office/drawing/2014/main" id="{CD2E9735-6CFF-4D7A-93B7-7EE9EFB73215}"/>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51" name="Text Box 1071" hidden="1">
          <a:extLst>
            <a:ext uri="{FF2B5EF4-FFF2-40B4-BE49-F238E27FC236}">
              <a16:creationId xmlns:a16="http://schemas.microsoft.com/office/drawing/2014/main" id="{768B63E0-AC37-4C1E-9ECC-C995B165E469}"/>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98</xdr:row>
      <xdr:rowOff>185641</xdr:rowOff>
    </xdr:from>
    <xdr:to>
      <xdr:col>20</xdr:col>
      <xdr:colOff>381000</xdr:colOff>
      <xdr:row>102</xdr:row>
      <xdr:rowOff>163502</xdr:rowOff>
    </xdr:to>
    <xdr:sp macro="" textlink="">
      <xdr:nvSpPr>
        <xdr:cNvPr id="251950" name="Text Box 1070" hidden="1">
          <a:extLst>
            <a:ext uri="{FF2B5EF4-FFF2-40B4-BE49-F238E27FC236}">
              <a16:creationId xmlns:a16="http://schemas.microsoft.com/office/drawing/2014/main" id="{E9F38450-1CBD-444A-943B-44193D175419}"/>
            </a:ext>
          </a:extLst>
        </xdr:cNvPr>
        <xdr:cNvSpPr txBox="1">
          <a:spLocks noChangeArrowheads="1"/>
        </xdr:cNvSpPr>
      </xdr:nvSpPr>
      <xdr:spPr bwMode="auto">
        <a:xfrm>
          <a:off x="12525375" y="23364825"/>
          <a:ext cx="13906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173896</xdr:rowOff>
    </xdr:from>
    <xdr:to>
      <xdr:col>5</xdr:col>
      <xdr:colOff>0</xdr:colOff>
      <xdr:row>58</xdr:row>
      <xdr:rowOff>143016</xdr:rowOff>
    </xdr:to>
    <xdr:sp macro="" textlink="">
      <xdr:nvSpPr>
        <xdr:cNvPr id="251957" name="Text Box 1077" hidden="1">
          <a:extLst>
            <a:ext uri="{FF2B5EF4-FFF2-40B4-BE49-F238E27FC236}">
              <a16:creationId xmlns:a16="http://schemas.microsoft.com/office/drawing/2014/main" id="{657808AD-0FB8-484F-8051-D27C2BC95C3D}"/>
            </a:ext>
          </a:extLst>
        </xdr:cNvPr>
        <xdr:cNvSpPr txBox="1">
          <a:spLocks noChangeArrowheads="1"/>
        </xdr:cNvSpPr>
      </xdr:nvSpPr>
      <xdr:spPr bwMode="auto">
        <a:xfrm>
          <a:off x="4038600" y="13134975"/>
          <a:ext cx="1266825" cy="1114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523216</xdr:rowOff>
    </xdr:from>
    <xdr:to>
      <xdr:col>4</xdr:col>
      <xdr:colOff>800100</xdr:colOff>
      <xdr:row>53</xdr:row>
      <xdr:rowOff>92611</xdr:rowOff>
    </xdr:to>
    <xdr:sp macro="" textlink="">
      <xdr:nvSpPr>
        <xdr:cNvPr id="251956" name="Text Box 1076" hidden="1">
          <a:extLst>
            <a:ext uri="{FF2B5EF4-FFF2-40B4-BE49-F238E27FC236}">
              <a16:creationId xmlns:a16="http://schemas.microsoft.com/office/drawing/2014/main" id="{F3707A6E-41E7-47BC-912F-A1492280EBD7}"/>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173896</xdr:rowOff>
    </xdr:from>
    <xdr:to>
      <xdr:col>5</xdr:col>
      <xdr:colOff>0</xdr:colOff>
      <xdr:row>58</xdr:row>
      <xdr:rowOff>143016</xdr:rowOff>
    </xdr:to>
    <xdr:sp macro="" textlink="">
      <xdr:nvSpPr>
        <xdr:cNvPr id="251955" name="Text Box 1075" hidden="1">
          <a:extLst>
            <a:ext uri="{FF2B5EF4-FFF2-40B4-BE49-F238E27FC236}">
              <a16:creationId xmlns:a16="http://schemas.microsoft.com/office/drawing/2014/main" id="{B252879B-34CD-4946-A39C-F26428AA66CA}"/>
            </a:ext>
          </a:extLst>
        </xdr:cNvPr>
        <xdr:cNvSpPr txBox="1">
          <a:spLocks noChangeArrowheads="1"/>
        </xdr:cNvSpPr>
      </xdr:nvSpPr>
      <xdr:spPr bwMode="auto">
        <a:xfrm>
          <a:off x="4038600" y="13134975"/>
          <a:ext cx="1266825" cy="1114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99</xdr:row>
      <xdr:rowOff>76813</xdr:rowOff>
    </xdr:from>
    <xdr:to>
      <xdr:col>20</xdr:col>
      <xdr:colOff>381000</xdr:colOff>
      <xdr:row>103</xdr:row>
      <xdr:rowOff>154012</xdr:rowOff>
    </xdr:to>
    <xdr:sp macro="" textlink="">
      <xdr:nvSpPr>
        <xdr:cNvPr id="251954" name="Text Box 1074" hidden="1">
          <a:extLst>
            <a:ext uri="{FF2B5EF4-FFF2-40B4-BE49-F238E27FC236}">
              <a16:creationId xmlns:a16="http://schemas.microsoft.com/office/drawing/2014/main" id="{432622F3-D6E0-4EC6-9582-5CDE60E3BC4B}"/>
            </a:ext>
          </a:extLst>
        </xdr:cNvPr>
        <xdr:cNvSpPr txBox="1">
          <a:spLocks noChangeArrowheads="1"/>
        </xdr:cNvSpPr>
      </xdr:nvSpPr>
      <xdr:spPr bwMode="auto">
        <a:xfrm>
          <a:off x="12525375" y="23479125"/>
          <a:ext cx="13906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72</xdr:row>
      <xdr:rowOff>139067</xdr:rowOff>
    </xdr:from>
    <xdr:to>
      <xdr:col>5</xdr:col>
      <xdr:colOff>0</xdr:colOff>
      <xdr:row>78</xdr:row>
      <xdr:rowOff>63061</xdr:rowOff>
    </xdr:to>
    <xdr:sp macro="" textlink="">
      <xdr:nvSpPr>
        <xdr:cNvPr id="251961" name="Text Box 1081" hidden="1">
          <a:extLst>
            <a:ext uri="{FF2B5EF4-FFF2-40B4-BE49-F238E27FC236}">
              <a16:creationId xmlns:a16="http://schemas.microsoft.com/office/drawing/2014/main" id="{7DAE9876-79AF-4C04-B235-C9B06004B5DF}"/>
            </a:ext>
          </a:extLst>
        </xdr:cNvPr>
        <xdr:cNvSpPr txBox="1">
          <a:spLocks noChangeArrowheads="1"/>
        </xdr:cNvSpPr>
      </xdr:nvSpPr>
      <xdr:spPr bwMode="auto">
        <a:xfrm>
          <a:off x="4038600" y="17726025"/>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72</xdr:row>
      <xdr:rowOff>147957</xdr:rowOff>
    </xdr:from>
    <xdr:to>
      <xdr:col>4</xdr:col>
      <xdr:colOff>800100</xdr:colOff>
      <xdr:row>72</xdr:row>
      <xdr:rowOff>169547</xdr:rowOff>
    </xdr:to>
    <xdr:sp macro="" textlink="">
      <xdr:nvSpPr>
        <xdr:cNvPr id="251960" name="Text Box 1080" hidden="1">
          <a:extLst>
            <a:ext uri="{FF2B5EF4-FFF2-40B4-BE49-F238E27FC236}">
              <a16:creationId xmlns:a16="http://schemas.microsoft.com/office/drawing/2014/main" id="{8EA217EB-A483-41E4-8760-EE706FAC9B7C}"/>
            </a:ext>
          </a:extLst>
        </xdr:cNvPr>
        <xdr:cNvSpPr txBox="1">
          <a:spLocks noChangeArrowheads="1"/>
        </xdr:cNvSpPr>
      </xdr:nvSpPr>
      <xdr:spPr bwMode="auto">
        <a:xfrm>
          <a:off x="4038600" y="17706975"/>
          <a:ext cx="1238250"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72</xdr:row>
      <xdr:rowOff>139067</xdr:rowOff>
    </xdr:from>
    <xdr:to>
      <xdr:col>5</xdr:col>
      <xdr:colOff>0</xdr:colOff>
      <xdr:row>78</xdr:row>
      <xdr:rowOff>63061</xdr:rowOff>
    </xdr:to>
    <xdr:sp macro="" textlink="">
      <xdr:nvSpPr>
        <xdr:cNvPr id="251959" name="Text Box 1079" hidden="1">
          <a:extLst>
            <a:ext uri="{FF2B5EF4-FFF2-40B4-BE49-F238E27FC236}">
              <a16:creationId xmlns:a16="http://schemas.microsoft.com/office/drawing/2014/main" id="{0E1DD930-89FB-4422-A45C-2F18737238BC}"/>
            </a:ext>
          </a:extLst>
        </xdr:cNvPr>
        <xdr:cNvSpPr txBox="1">
          <a:spLocks noChangeArrowheads="1"/>
        </xdr:cNvSpPr>
      </xdr:nvSpPr>
      <xdr:spPr bwMode="auto">
        <a:xfrm>
          <a:off x="4038600" y="17726025"/>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128</xdr:row>
      <xdr:rowOff>24402</xdr:rowOff>
    </xdr:from>
    <xdr:to>
      <xdr:col>20</xdr:col>
      <xdr:colOff>381000</xdr:colOff>
      <xdr:row>133</xdr:row>
      <xdr:rowOff>83111</xdr:rowOff>
    </xdr:to>
    <xdr:sp macro="" textlink="">
      <xdr:nvSpPr>
        <xdr:cNvPr id="251958" name="Text Box 1078" hidden="1">
          <a:extLst>
            <a:ext uri="{FF2B5EF4-FFF2-40B4-BE49-F238E27FC236}">
              <a16:creationId xmlns:a16="http://schemas.microsoft.com/office/drawing/2014/main" id="{0EA53887-6901-46A5-8B66-846DCCE0D8A4}"/>
            </a:ext>
          </a:extLst>
        </xdr:cNvPr>
        <xdr:cNvSpPr txBox="1">
          <a:spLocks noChangeArrowheads="1"/>
        </xdr:cNvSpPr>
      </xdr:nvSpPr>
      <xdr:spPr bwMode="auto">
        <a:xfrm>
          <a:off x="12525375" y="29918025"/>
          <a:ext cx="1390650" cy="1000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72</xdr:row>
      <xdr:rowOff>139067</xdr:rowOff>
    </xdr:from>
    <xdr:to>
      <xdr:col>5</xdr:col>
      <xdr:colOff>0</xdr:colOff>
      <xdr:row>78</xdr:row>
      <xdr:rowOff>44646</xdr:rowOff>
    </xdr:to>
    <xdr:sp macro="" textlink="">
      <xdr:nvSpPr>
        <xdr:cNvPr id="251965" name="Text Box 1085" hidden="1">
          <a:extLst>
            <a:ext uri="{FF2B5EF4-FFF2-40B4-BE49-F238E27FC236}">
              <a16:creationId xmlns:a16="http://schemas.microsoft.com/office/drawing/2014/main" id="{0AE1BDFF-A322-4006-81B3-140AF08C15F7}"/>
            </a:ext>
          </a:extLst>
        </xdr:cNvPr>
        <xdr:cNvSpPr txBox="1">
          <a:spLocks noChangeArrowheads="1"/>
        </xdr:cNvSpPr>
      </xdr:nvSpPr>
      <xdr:spPr bwMode="auto">
        <a:xfrm>
          <a:off x="4222750" y="17532350"/>
          <a:ext cx="134620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72</xdr:row>
      <xdr:rowOff>139067</xdr:rowOff>
    </xdr:from>
    <xdr:to>
      <xdr:col>4</xdr:col>
      <xdr:colOff>800100</xdr:colOff>
      <xdr:row>72</xdr:row>
      <xdr:rowOff>139067</xdr:rowOff>
    </xdr:to>
    <xdr:sp macro="" textlink="">
      <xdr:nvSpPr>
        <xdr:cNvPr id="251964" name="Text Box 1084" hidden="1">
          <a:extLst>
            <a:ext uri="{FF2B5EF4-FFF2-40B4-BE49-F238E27FC236}">
              <a16:creationId xmlns:a16="http://schemas.microsoft.com/office/drawing/2014/main" id="{E79B9250-43AC-412B-A00E-E74F24890B50}"/>
            </a:ext>
          </a:extLst>
        </xdr:cNvPr>
        <xdr:cNvSpPr txBox="1">
          <a:spLocks noChangeArrowheads="1"/>
        </xdr:cNvSpPr>
      </xdr:nvSpPr>
      <xdr:spPr bwMode="auto">
        <a:xfrm>
          <a:off x="4222750" y="17513300"/>
          <a:ext cx="1276350"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72</xdr:row>
      <xdr:rowOff>139067</xdr:rowOff>
    </xdr:from>
    <xdr:to>
      <xdr:col>5</xdr:col>
      <xdr:colOff>0</xdr:colOff>
      <xdr:row>78</xdr:row>
      <xdr:rowOff>44646</xdr:rowOff>
    </xdr:to>
    <xdr:sp macro="" textlink="">
      <xdr:nvSpPr>
        <xdr:cNvPr id="251963" name="Text Box 1083" hidden="1">
          <a:extLst>
            <a:ext uri="{FF2B5EF4-FFF2-40B4-BE49-F238E27FC236}">
              <a16:creationId xmlns:a16="http://schemas.microsoft.com/office/drawing/2014/main" id="{434770B8-7E56-46BA-A377-5C3F343232B9}"/>
            </a:ext>
          </a:extLst>
        </xdr:cNvPr>
        <xdr:cNvSpPr txBox="1">
          <a:spLocks noChangeArrowheads="1"/>
        </xdr:cNvSpPr>
      </xdr:nvSpPr>
      <xdr:spPr bwMode="auto">
        <a:xfrm>
          <a:off x="4222750" y="17532350"/>
          <a:ext cx="134620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128</xdr:row>
      <xdr:rowOff>6251</xdr:rowOff>
    </xdr:from>
    <xdr:to>
      <xdr:col>20</xdr:col>
      <xdr:colOff>381000</xdr:colOff>
      <xdr:row>133</xdr:row>
      <xdr:rowOff>64696</xdr:rowOff>
    </xdr:to>
    <xdr:sp macro="" textlink="">
      <xdr:nvSpPr>
        <xdr:cNvPr id="251962" name="Text Box 1082" hidden="1">
          <a:extLst>
            <a:ext uri="{FF2B5EF4-FFF2-40B4-BE49-F238E27FC236}">
              <a16:creationId xmlns:a16="http://schemas.microsoft.com/office/drawing/2014/main" id="{90BBE9E0-5CAB-4918-BAE8-C25F7677F71F}"/>
            </a:ext>
          </a:extLst>
        </xdr:cNvPr>
        <xdr:cNvSpPr txBox="1">
          <a:spLocks noChangeArrowheads="1"/>
        </xdr:cNvSpPr>
      </xdr:nvSpPr>
      <xdr:spPr bwMode="auto">
        <a:xfrm>
          <a:off x="13157200" y="29546550"/>
          <a:ext cx="1447800" cy="984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142875</xdr:colOff>
      <xdr:row>44</xdr:row>
      <xdr:rowOff>4299</xdr:rowOff>
    </xdr:from>
    <xdr:to>
      <xdr:col>21</xdr:col>
      <xdr:colOff>438150</xdr:colOff>
      <xdr:row>47</xdr:row>
      <xdr:rowOff>140850</xdr:rowOff>
    </xdr:to>
    <xdr:sp macro="" textlink="">
      <xdr:nvSpPr>
        <xdr:cNvPr id="251966" name="Text Box 1086" hidden="1">
          <a:extLst>
            <a:ext uri="{FF2B5EF4-FFF2-40B4-BE49-F238E27FC236}">
              <a16:creationId xmlns:a16="http://schemas.microsoft.com/office/drawing/2014/main" id="{FF4B2B03-8D85-48F2-B84F-2BA6B63559C5}"/>
            </a:ext>
          </a:extLst>
        </xdr:cNvPr>
        <xdr:cNvSpPr txBox="1">
          <a:spLocks noChangeArrowheads="1"/>
        </xdr:cNvSpPr>
      </xdr:nvSpPr>
      <xdr:spPr bwMode="auto">
        <a:xfrm>
          <a:off x="13792200" y="10591800"/>
          <a:ext cx="144145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142875</xdr:colOff>
      <xdr:row>97</xdr:row>
      <xdr:rowOff>123503</xdr:rowOff>
    </xdr:from>
    <xdr:to>
      <xdr:col>13</xdr:col>
      <xdr:colOff>19050</xdr:colOff>
      <xdr:row>101</xdr:row>
      <xdr:rowOff>89989</xdr:rowOff>
    </xdr:to>
    <xdr:sp macro="" textlink="">
      <xdr:nvSpPr>
        <xdr:cNvPr id="251967" name="Text Box 1087" hidden="1">
          <a:extLst>
            <a:ext uri="{FF2B5EF4-FFF2-40B4-BE49-F238E27FC236}">
              <a16:creationId xmlns:a16="http://schemas.microsoft.com/office/drawing/2014/main" id="{B50FC282-483F-43DD-94EE-DB0FF7345EE9}"/>
            </a:ext>
          </a:extLst>
        </xdr:cNvPr>
        <xdr:cNvSpPr txBox="1">
          <a:spLocks noChangeArrowheads="1"/>
        </xdr:cNvSpPr>
      </xdr:nvSpPr>
      <xdr:spPr bwMode="auto">
        <a:xfrm>
          <a:off x="8763000" y="22821900"/>
          <a:ext cx="14414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152891</xdr:rowOff>
    </xdr:from>
    <xdr:to>
      <xdr:col>5</xdr:col>
      <xdr:colOff>0</xdr:colOff>
      <xdr:row>67</xdr:row>
      <xdr:rowOff>242772</xdr:rowOff>
    </xdr:to>
    <xdr:sp macro="" textlink="">
      <xdr:nvSpPr>
        <xdr:cNvPr id="251973" name="Text Box 1093" hidden="1">
          <a:extLst>
            <a:ext uri="{FF2B5EF4-FFF2-40B4-BE49-F238E27FC236}">
              <a16:creationId xmlns:a16="http://schemas.microsoft.com/office/drawing/2014/main" id="{169F5613-1728-43CD-B080-585B4434F190}"/>
            </a:ext>
          </a:extLst>
        </xdr:cNvPr>
        <xdr:cNvSpPr txBox="1">
          <a:spLocks noChangeArrowheads="1"/>
        </xdr:cNvSpPr>
      </xdr:nvSpPr>
      <xdr:spPr bwMode="auto">
        <a:xfrm>
          <a:off x="4222750" y="1507490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4</xdr:col>
      <xdr:colOff>800100</xdr:colOff>
      <xdr:row>63</xdr:row>
      <xdr:rowOff>152891</xdr:rowOff>
    </xdr:to>
    <xdr:sp macro="" textlink="">
      <xdr:nvSpPr>
        <xdr:cNvPr id="251972" name="Text Box 1092" hidden="1">
          <a:extLst>
            <a:ext uri="{FF2B5EF4-FFF2-40B4-BE49-F238E27FC236}">
              <a16:creationId xmlns:a16="http://schemas.microsoft.com/office/drawing/2014/main" id="{428DF8DA-E27B-4CAC-9076-50D9B164CCE3}"/>
            </a:ext>
          </a:extLst>
        </xdr:cNvPr>
        <xdr:cNvSpPr txBox="1">
          <a:spLocks noChangeArrowheads="1"/>
        </xdr:cNvSpPr>
      </xdr:nvSpPr>
      <xdr:spPr bwMode="auto">
        <a:xfrm>
          <a:off x="4222750" y="15055850"/>
          <a:ext cx="1276350"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152891</xdr:rowOff>
    </xdr:from>
    <xdr:to>
      <xdr:col>5</xdr:col>
      <xdr:colOff>0</xdr:colOff>
      <xdr:row>67</xdr:row>
      <xdr:rowOff>242772</xdr:rowOff>
    </xdr:to>
    <xdr:sp macro="" textlink="">
      <xdr:nvSpPr>
        <xdr:cNvPr id="251971" name="Text Box 1091" hidden="1">
          <a:extLst>
            <a:ext uri="{FF2B5EF4-FFF2-40B4-BE49-F238E27FC236}">
              <a16:creationId xmlns:a16="http://schemas.microsoft.com/office/drawing/2014/main" id="{759CCB70-22EC-4297-B6DF-A1B107819630}"/>
            </a:ext>
          </a:extLst>
        </xdr:cNvPr>
        <xdr:cNvSpPr txBox="1">
          <a:spLocks noChangeArrowheads="1"/>
        </xdr:cNvSpPr>
      </xdr:nvSpPr>
      <xdr:spPr bwMode="auto">
        <a:xfrm>
          <a:off x="4222750" y="1507490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106</xdr:row>
      <xdr:rowOff>113070</xdr:rowOff>
    </xdr:from>
    <xdr:to>
      <xdr:col>20</xdr:col>
      <xdr:colOff>381000</xdr:colOff>
      <xdr:row>110</xdr:row>
      <xdr:rowOff>136061</xdr:rowOff>
    </xdr:to>
    <xdr:sp macro="" textlink="">
      <xdr:nvSpPr>
        <xdr:cNvPr id="251970" name="Text Box 1090" hidden="1">
          <a:extLst>
            <a:ext uri="{FF2B5EF4-FFF2-40B4-BE49-F238E27FC236}">
              <a16:creationId xmlns:a16="http://schemas.microsoft.com/office/drawing/2014/main" id="{5214A7F8-6FBE-4E1F-AA18-3AF745636412}"/>
            </a:ext>
          </a:extLst>
        </xdr:cNvPr>
        <xdr:cNvSpPr txBox="1">
          <a:spLocks noChangeArrowheads="1"/>
        </xdr:cNvSpPr>
      </xdr:nvSpPr>
      <xdr:spPr bwMode="auto">
        <a:xfrm>
          <a:off x="13157200" y="24657050"/>
          <a:ext cx="144780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133350</xdr:colOff>
      <xdr:row>31</xdr:row>
      <xdr:rowOff>228163</xdr:rowOff>
    </xdr:from>
    <xdr:to>
      <xdr:col>21</xdr:col>
      <xdr:colOff>438150</xdr:colOff>
      <xdr:row>32</xdr:row>
      <xdr:rowOff>173090</xdr:rowOff>
    </xdr:to>
    <xdr:sp macro="" textlink="">
      <xdr:nvSpPr>
        <xdr:cNvPr id="251969" name="Text Box 1089" hidden="1">
          <a:extLst>
            <a:ext uri="{FF2B5EF4-FFF2-40B4-BE49-F238E27FC236}">
              <a16:creationId xmlns:a16="http://schemas.microsoft.com/office/drawing/2014/main" id="{05F613D8-04C6-4375-9CA1-727ABF740BDD}"/>
            </a:ext>
          </a:extLst>
        </xdr:cNvPr>
        <xdr:cNvSpPr txBox="1">
          <a:spLocks noChangeArrowheads="1"/>
        </xdr:cNvSpPr>
      </xdr:nvSpPr>
      <xdr:spPr bwMode="auto">
        <a:xfrm>
          <a:off x="13785850" y="7581900"/>
          <a:ext cx="14478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133350</xdr:colOff>
      <xdr:row>85</xdr:row>
      <xdr:rowOff>11880</xdr:rowOff>
    </xdr:from>
    <xdr:to>
      <xdr:col>13</xdr:col>
      <xdr:colOff>19050</xdr:colOff>
      <xdr:row>88</xdr:row>
      <xdr:rowOff>74068</xdr:rowOff>
    </xdr:to>
    <xdr:sp macro="" textlink="">
      <xdr:nvSpPr>
        <xdr:cNvPr id="251968" name="Text Box 1088" hidden="1">
          <a:extLst>
            <a:ext uri="{FF2B5EF4-FFF2-40B4-BE49-F238E27FC236}">
              <a16:creationId xmlns:a16="http://schemas.microsoft.com/office/drawing/2014/main" id="{59A17960-AA96-4437-8F69-D8C5BD453C07}"/>
            </a:ext>
          </a:extLst>
        </xdr:cNvPr>
        <xdr:cNvSpPr txBox="1">
          <a:spLocks noChangeArrowheads="1"/>
        </xdr:cNvSpPr>
      </xdr:nvSpPr>
      <xdr:spPr bwMode="auto">
        <a:xfrm>
          <a:off x="8756650" y="20034250"/>
          <a:ext cx="144780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95250</xdr:colOff>
      <xdr:row>108</xdr:row>
      <xdr:rowOff>66621</xdr:rowOff>
    </xdr:from>
    <xdr:to>
      <xdr:col>21</xdr:col>
      <xdr:colOff>266700</xdr:colOff>
      <xdr:row>112</xdr:row>
      <xdr:rowOff>25507</xdr:rowOff>
    </xdr:to>
    <xdr:sp macro="" textlink="">
      <xdr:nvSpPr>
        <xdr:cNvPr id="251974" name="Text Box 1094" hidden="1">
          <a:extLst>
            <a:ext uri="{FF2B5EF4-FFF2-40B4-BE49-F238E27FC236}">
              <a16:creationId xmlns:a16="http://schemas.microsoft.com/office/drawing/2014/main" id="{3DA92314-7B10-4EC4-9720-4886F705B438}"/>
            </a:ext>
          </a:extLst>
        </xdr:cNvPr>
        <xdr:cNvSpPr txBox="1">
          <a:spLocks noChangeArrowheads="1"/>
        </xdr:cNvSpPr>
      </xdr:nvSpPr>
      <xdr:spPr bwMode="auto">
        <a:xfrm>
          <a:off x="13747750" y="25139650"/>
          <a:ext cx="131445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1981" name="Text Box 1101" hidden="1">
          <a:extLst>
            <a:ext uri="{FF2B5EF4-FFF2-40B4-BE49-F238E27FC236}">
              <a16:creationId xmlns:a16="http://schemas.microsoft.com/office/drawing/2014/main" id="{EC7962EE-4ED2-4240-8C59-AB0679CB2CF9}"/>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4</xdr:col>
      <xdr:colOff>800100</xdr:colOff>
      <xdr:row>63</xdr:row>
      <xdr:rowOff>114791</xdr:rowOff>
    </xdr:to>
    <xdr:sp macro="" textlink="">
      <xdr:nvSpPr>
        <xdr:cNvPr id="251980" name="Text Box 1100" hidden="1">
          <a:extLst>
            <a:ext uri="{FF2B5EF4-FFF2-40B4-BE49-F238E27FC236}">
              <a16:creationId xmlns:a16="http://schemas.microsoft.com/office/drawing/2014/main" id="{AF034AC4-5143-4988-93B7-5535E420909D}"/>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1979" name="Text Box 1099" hidden="1">
          <a:extLst>
            <a:ext uri="{FF2B5EF4-FFF2-40B4-BE49-F238E27FC236}">
              <a16:creationId xmlns:a16="http://schemas.microsoft.com/office/drawing/2014/main" id="{31D60284-3CA8-45D5-8360-C8F57E068E81}"/>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106</xdr:row>
      <xdr:rowOff>113070</xdr:rowOff>
    </xdr:from>
    <xdr:to>
      <xdr:col>20</xdr:col>
      <xdr:colOff>381000</xdr:colOff>
      <xdr:row>110</xdr:row>
      <xdr:rowOff>136061</xdr:rowOff>
    </xdr:to>
    <xdr:sp macro="" textlink="">
      <xdr:nvSpPr>
        <xdr:cNvPr id="251978" name="Text Box 1098" hidden="1">
          <a:extLst>
            <a:ext uri="{FF2B5EF4-FFF2-40B4-BE49-F238E27FC236}">
              <a16:creationId xmlns:a16="http://schemas.microsoft.com/office/drawing/2014/main" id="{E8FAB7A1-662B-4C15-8304-863C33752D03}"/>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212146</xdr:rowOff>
    </xdr:from>
    <xdr:to>
      <xdr:col>21</xdr:col>
      <xdr:colOff>419100</xdr:colOff>
      <xdr:row>32</xdr:row>
      <xdr:rowOff>154040</xdr:rowOff>
    </xdr:to>
    <xdr:sp macro="" textlink="">
      <xdr:nvSpPr>
        <xdr:cNvPr id="251977" name="Text Box 1097" hidden="1">
          <a:extLst>
            <a:ext uri="{FF2B5EF4-FFF2-40B4-BE49-F238E27FC236}">
              <a16:creationId xmlns:a16="http://schemas.microsoft.com/office/drawing/2014/main" id="{99DE35C0-4FC1-4368-B796-9AD80FBBF8FA}"/>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7118</xdr:rowOff>
    </xdr:from>
    <xdr:to>
      <xdr:col>13</xdr:col>
      <xdr:colOff>0</xdr:colOff>
      <xdr:row>88</xdr:row>
      <xdr:rowOff>74068</xdr:rowOff>
    </xdr:to>
    <xdr:sp macro="" textlink="">
      <xdr:nvSpPr>
        <xdr:cNvPr id="251976" name="Text Box 1096" hidden="1">
          <a:extLst>
            <a:ext uri="{FF2B5EF4-FFF2-40B4-BE49-F238E27FC236}">
              <a16:creationId xmlns:a16="http://schemas.microsoft.com/office/drawing/2014/main" id="{CD306671-3948-43B1-A982-6DF26C3BE808}"/>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108</xdr:row>
      <xdr:rowOff>66621</xdr:rowOff>
    </xdr:from>
    <xdr:to>
      <xdr:col>21</xdr:col>
      <xdr:colOff>266700</xdr:colOff>
      <xdr:row>111</xdr:row>
      <xdr:rowOff>162995</xdr:rowOff>
    </xdr:to>
    <xdr:sp macro="" textlink="">
      <xdr:nvSpPr>
        <xdr:cNvPr id="251975" name="Text Box 1095" hidden="1">
          <a:extLst>
            <a:ext uri="{FF2B5EF4-FFF2-40B4-BE49-F238E27FC236}">
              <a16:creationId xmlns:a16="http://schemas.microsoft.com/office/drawing/2014/main" id="{7386195F-7295-4893-B983-742583E18545}"/>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1988" name="Text Box 1108" hidden="1">
          <a:extLst>
            <a:ext uri="{FF2B5EF4-FFF2-40B4-BE49-F238E27FC236}">
              <a16:creationId xmlns:a16="http://schemas.microsoft.com/office/drawing/2014/main" id="{FC3B9A22-BB64-4B9F-81CA-1AB669D54203}"/>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4</xdr:col>
      <xdr:colOff>800100</xdr:colOff>
      <xdr:row>63</xdr:row>
      <xdr:rowOff>114791</xdr:rowOff>
    </xdr:to>
    <xdr:sp macro="" textlink="">
      <xdr:nvSpPr>
        <xdr:cNvPr id="251987" name="Text Box 1107" hidden="1">
          <a:extLst>
            <a:ext uri="{FF2B5EF4-FFF2-40B4-BE49-F238E27FC236}">
              <a16:creationId xmlns:a16="http://schemas.microsoft.com/office/drawing/2014/main" id="{FB443918-9D80-4309-B929-A55B5D8D4A27}"/>
            </a:ext>
          </a:extLst>
        </xdr:cNvPr>
        <xdr:cNvSpPr txBox="1">
          <a:spLocks noChangeArrowheads="1"/>
        </xdr:cNvSpPr>
      </xdr:nvSpPr>
      <xdr:spPr bwMode="auto">
        <a:xfrm>
          <a:off x="4222750" y="15055850"/>
          <a:ext cx="12763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1986" name="Text Box 1106" hidden="1">
          <a:extLst>
            <a:ext uri="{FF2B5EF4-FFF2-40B4-BE49-F238E27FC236}">
              <a16:creationId xmlns:a16="http://schemas.microsoft.com/office/drawing/2014/main" id="{29E77375-409B-467D-A1A6-2CBABC436C7D}"/>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106</xdr:row>
      <xdr:rowOff>113070</xdr:rowOff>
    </xdr:from>
    <xdr:to>
      <xdr:col>20</xdr:col>
      <xdr:colOff>381000</xdr:colOff>
      <xdr:row>110</xdr:row>
      <xdr:rowOff>136061</xdr:rowOff>
    </xdr:to>
    <xdr:sp macro="" textlink="">
      <xdr:nvSpPr>
        <xdr:cNvPr id="251985" name="Text Box 1105" hidden="1">
          <a:extLst>
            <a:ext uri="{FF2B5EF4-FFF2-40B4-BE49-F238E27FC236}">
              <a16:creationId xmlns:a16="http://schemas.microsoft.com/office/drawing/2014/main" id="{4AC94954-F2D6-41E9-B47E-807DFEC901A1}"/>
            </a:ext>
          </a:extLst>
        </xdr:cNvPr>
        <xdr:cNvSpPr txBox="1">
          <a:spLocks noChangeArrowheads="1"/>
        </xdr:cNvSpPr>
      </xdr:nvSpPr>
      <xdr:spPr bwMode="auto">
        <a:xfrm>
          <a:off x="13157200" y="24657050"/>
          <a:ext cx="145415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212146</xdr:rowOff>
    </xdr:from>
    <xdr:to>
      <xdr:col>21</xdr:col>
      <xdr:colOff>419100</xdr:colOff>
      <xdr:row>32</xdr:row>
      <xdr:rowOff>154040</xdr:rowOff>
    </xdr:to>
    <xdr:sp macro="" textlink="">
      <xdr:nvSpPr>
        <xdr:cNvPr id="251984" name="Text Box 1104" hidden="1">
          <a:extLst>
            <a:ext uri="{FF2B5EF4-FFF2-40B4-BE49-F238E27FC236}">
              <a16:creationId xmlns:a16="http://schemas.microsoft.com/office/drawing/2014/main" id="{B14C94AF-5325-45B4-9846-DD548DECDBD4}"/>
            </a:ext>
          </a:extLst>
        </xdr:cNvPr>
        <xdr:cNvSpPr txBox="1">
          <a:spLocks noChangeArrowheads="1"/>
        </xdr:cNvSpPr>
      </xdr:nvSpPr>
      <xdr:spPr bwMode="auto">
        <a:xfrm>
          <a:off x="13773150" y="75819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7118</xdr:rowOff>
    </xdr:from>
    <xdr:to>
      <xdr:col>13</xdr:col>
      <xdr:colOff>0</xdr:colOff>
      <xdr:row>88</xdr:row>
      <xdr:rowOff>74068</xdr:rowOff>
    </xdr:to>
    <xdr:sp macro="" textlink="">
      <xdr:nvSpPr>
        <xdr:cNvPr id="251983" name="Text Box 1103" hidden="1">
          <a:extLst>
            <a:ext uri="{FF2B5EF4-FFF2-40B4-BE49-F238E27FC236}">
              <a16:creationId xmlns:a16="http://schemas.microsoft.com/office/drawing/2014/main" id="{3D48479A-A510-4B99-BEF1-CF2888E3CE93}"/>
            </a:ext>
          </a:extLst>
        </xdr:cNvPr>
        <xdr:cNvSpPr txBox="1">
          <a:spLocks noChangeArrowheads="1"/>
        </xdr:cNvSpPr>
      </xdr:nvSpPr>
      <xdr:spPr bwMode="auto">
        <a:xfrm>
          <a:off x="8737600" y="20015200"/>
          <a:ext cx="1447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108</xdr:row>
      <xdr:rowOff>66621</xdr:rowOff>
    </xdr:from>
    <xdr:to>
      <xdr:col>21</xdr:col>
      <xdr:colOff>266700</xdr:colOff>
      <xdr:row>111</xdr:row>
      <xdr:rowOff>162995</xdr:rowOff>
    </xdr:to>
    <xdr:sp macro="" textlink="">
      <xdr:nvSpPr>
        <xdr:cNvPr id="251982" name="Text Box 1102" hidden="1">
          <a:extLst>
            <a:ext uri="{FF2B5EF4-FFF2-40B4-BE49-F238E27FC236}">
              <a16:creationId xmlns:a16="http://schemas.microsoft.com/office/drawing/2014/main" id="{DD1D27DB-8EA2-4528-A3C3-80BB589B6C08}"/>
            </a:ext>
          </a:extLst>
        </xdr:cNvPr>
        <xdr:cNvSpPr txBox="1">
          <a:spLocks noChangeArrowheads="1"/>
        </xdr:cNvSpPr>
      </xdr:nvSpPr>
      <xdr:spPr bwMode="auto">
        <a:xfrm>
          <a:off x="13735050" y="25139650"/>
          <a:ext cx="13335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1995" name="Text Box 1115" hidden="1">
          <a:extLst>
            <a:ext uri="{FF2B5EF4-FFF2-40B4-BE49-F238E27FC236}">
              <a16:creationId xmlns:a16="http://schemas.microsoft.com/office/drawing/2014/main" id="{20AC4FB9-32B1-4267-8949-AE9B118D5155}"/>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4</xdr:col>
      <xdr:colOff>800100</xdr:colOff>
      <xdr:row>63</xdr:row>
      <xdr:rowOff>114791</xdr:rowOff>
    </xdr:to>
    <xdr:sp macro="" textlink="">
      <xdr:nvSpPr>
        <xdr:cNvPr id="251994" name="Text Box 1114" hidden="1">
          <a:extLst>
            <a:ext uri="{FF2B5EF4-FFF2-40B4-BE49-F238E27FC236}">
              <a16:creationId xmlns:a16="http://schemas.microsoft.com/office/drawing/2014/main" id="{0B599199-3261-4C33-8430-D8D67D7B820D}"/>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1993" name="Text Box 1113" hidden="1">
          <a:extLst>
            <a:ext uri="{FF2B5EF4-FFF2-40B4-BE49-F238E27FC236}">
              <a16:creationId xmlns:a16="http://schemas.microsoft.com/office/drawing/2014/main" id="{6F854041-C871-4D28-AA8C-0AAEA6822C52}"/>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106</xdr:row>
      <xdr:rowOff>113070</xdr:rowOff>
    </xdr:from>
    <xdr:to>
      <xdr:col>20</xdr:col>
      <xdr:colOff>381000</xdr:colOff>
      <xdr:row>110</xdr:row>
      <xdr:rowOff>136061</xdr:rowOff>
    </xdr:to>
    <xdr:sp macro="" textlink="">
      <xdr:nvSpPr>
        <xdr:cNvPr id="251992" name="Text Box 1112" hidden="1">
          <a:extLst>
            <a:ext uri="{FF2B5EF4-FFF2-40B4-BE49-F238E27FC236}">
              <a16:creationId xmlns:a16="http://schemas.microsoft.com/office/drawing/2014/main" id="{4169791F-CF40-421F-A12F-08E6F579701A}"/>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212146</xdr:rowOff>
    </xdr:from>
    <xdr:to>
      <xdr:col>21</xdr:col>
      <xdr:colOff>419100</xdr:colOff>
      <xdr:row>32</xdr:row>
      <xdr:rowOff>154040</xdr:rowOff>
    </xdr:to>
    <xdr:sp macro="" textlink="">
      <xdr:nvSpPr>
        <xdr:cNvPr id="251991" name="Text Box 1111" hidden="1">
          <a:extLst>
            <a:ext uri="{FF2B5EF4-FFF2-40B4-BE49-F238E27FC236}">
              <a16:creationId xmlns:a16="http://schemas.microsoft.com/office/drawing/2014/main" id="{1294A92E-CEB7-4C51-B95A-781B45616DE5}"/>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7118</xdr:rowOff>
    </xdr:from>
    <xdr:to>
      <xdr:col>13</xdr:col>
      <xdr:colOff>0</xdr:colOff>
      <xdr:row>88</xdr:row>
      <xdr:rowOff>74068</xdr:rowOff>
    </xdr:to>
    <xdr:sp macro="" textlink="">
      <xdr:nvSpPr>
        <xdr:cNvPr id="251990" name="Text Box 1110" hidden="1">
          <a:extLst>
            <a:ext uri="{FF2B5EF4-FFF2-40B4-BE49-F238E27FC236}">
              <a16:creationId xmlns:a16="http://schemas.microsoft.com/office/drawing/2014/main" id="{CFEF325D-5F90-4819-9E83-66E324B62CC0}"/>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108</xdr:row>
      <xdr:rowOff>66621</xdr:rowOff>
    </xdr:from>
    <xdr:to>
      <xdr:col>21</xdr:col>
      <xdr:colOff>266700</xdr:colOff>
      <xdr:row>111</xdr:row>
      <xdr:rowOff>162995</xdr:rowOff>
    </xdr:to>
    <xdr:sp macro="" textlink="">
      <xdr:nvSpPr>
        <xdr:cNvPr id="251989" name="Text Box 1109" hidden="1">
          <a:extLst>
            <a:ext uri="{FF2B5EF4-FFF2-40B4-BE49-F238E27FC236}">
              <a16:creationId xmlns:a16="http://schemas.microsoft.com/office/drawing/2014/main" id="{D2A3F652-7BA8-47CC-B1EE-EAB4C7596C6A}"/>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2016" name="Text Box 1136" hidden="1">
          <a:extLst>
            <a:ext uri="{FF2B5EF4-FFF2-40B4-BE49-F238E27FC236}">
              <a16:creationId xmlns:a16="http://schemas.microsoft.com/office/drawing/2014/main" id="{A078B7EB-F249-4B7A-A631-11FA8C7D7DC3}"/>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4</xdr:col>
      <xdr:colOff>800100</xdr:colOff>
      <xdr:row>63</xdr:row>
      <xdr:rowOff>114791</xdr:rowOff>
    </xdr:to>
    <xdr:sp macro="" textlink="">
      <xdr:nvSpPr>
        <xdr:cNvPr id="252015" name="Text Box 1135" hidden="1">
          <a:extLst>
            <a:ext uri="{FF2B5EF4-FFF2-40B4-BE49-F238E27FC236}">
              <a16:creationId xmlns:a16="http://schemas.microsoft.com/office/drawing/2014/main" id="{557AD597-27EC-495D-BC09-467BAAEAF609}"/>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2014" name="Text Box 1134" hidden="1">
          <a:extLst>
            <a:ext uri="{FF2B5EF4-FFF2-40B4-BE49-F238E27FC236}">
              <a16:creationId xmlns:a16="http://schemas.microsoft.com/office/drawing/2014/main" id="{09D81D85-3AEB-4B01-B097-F9E9FDC5A1A8}"/>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106</xdr:row>
      <xdr:rowOff>113070</xdr:rowOff>
    </xdr:from>
    <xdr:to>
      <xdr:col>20</xdr:col>
      <xdr:colOff>381000</xdr:colOff>
      <xdr:row>110</xdr:row>
      <xdr:rowOff>136061</xdr:rowOff>
    </xdr:to>
    <xdr:sp macro="" textlink="">
      <xdr:nvSpPr>
        <xdr:cNvPr id="252013" name="Text Box 1133" hidden="1">
          <a:extLst>
            <a:ext uri="{FF2B5EF4-FFF2-40B4-BE49-F238E27FC236}">
              <a16:creationId xmlns:a16="http://schemas.microsoft.com/office/drawing/2014/main" id="{1A51DC67-8792-4628-9675-C3C8BA7B11D7}"/>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212146</xdr:rowOff>
    </xdr:from>
    <xdr:to>
      <xdr:col>21</xdr:col>
      <xdr:colOff>419100</xdr:colOff>
      <xdr:row>32</xdr:row>
      <xdr:rowOff>154040</xdr:rowOff>
    </xdr:to>
    <xdr:sp macro="" textlink="">
      <xdr:nvSpPr>
        <xdr:cNvPr id="252012" name="Text Box 1132" hidden="1">
          <a:extLst>
            <a:ext uri="{FF2B5EF4-FFF2-40B4-BE49-F238E27FC236}">
              <a16:creationId xmlns:a16="http://schemas.microsoft.com/office/drawing/2014/main" id="{3F457E8B-9071-4383-A903-925EFD4B280F}"/>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7118</xdr:rowOff>
    </xdr:from>
    <xdr:to>
      <xdr:col>13</xdr:col>
      <xdr:colOff>0</xdr:colOff>
      <xdr:row>88</xdr:row>
      <xdr:rowOff>74068</xdr:rowOff>
    </xdr:to>
    <xdr:sp macro="" textlink="">
      <xdr:nvSpPr>
        <xdr:cNvPr id="252011" name="Text Box 1131" hidden="1">
          <a:extLst>
            <a:ext uri="{FF2B5EF4-FFF2-40B4-BE49-F238E27FC236}">
              <a16:creationId xmlns:a16="http://schemas.microsoft.com/office/drawing/2014/main" id="{8B1110A6-7827-4206-AA88-552984CB4591}"/>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108</xdr:row>
      <xdr:rowOff>66621</xdr:rowOff>
    </xdr:from>
    <xdr:to>
      <xdr:col>21</xdr:col>
      <xdr:colOff>266700</xdr:colOff>
      <xdr:row>111</xdr:row>
      <xdr:rowOff>162995</xdr:rowOff>
    </xdr:to>
    <xdr:sp macro="" textlink="">
      <xdr:nvSpPr>
        <xdr:cNvPr id="252010" name="Text Box 1130" hidden="1">
          <a:extLst>
            <a:ext uri="{FF2B5EF4-FFF2-40B4-BE49-F238E27FC236}">
              <a16:creationId xmlns:a16="http://schemas.microsoft.com/office/drawing/2014/main" id="{A46F4962-0EBE-4E6A-97AE-BAED469F21F4}"/>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2009" name="Text Box 1129" hidden="1">
          <a:extLst>
            <a:ext uri="{FF2B5EF4-FFF2-40B4-BE49-F238E27FC236}">
              <a16:creationId xmlns:a16="http://schemas.microsoft.com/office/drawing/2014/main" id="{0B5463A9-DCE0-4CAF-B1AE-03BC4977E222}"/>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4</xdr:col>
      <xdr:colOff>800100</xdr:colOff>
      <xdr:row>63</xdr:row>
      <xdr:rowOff>114791</xdr:rowOff>
    </xdr:to>
    <xdr:sp macro="" textlink="">
      <xdr:nvSpPr>
        <xdr:cNvPr id="252008" name="Text Box 1128" hidden="1">
          <a:extLst>
            <a:ext uri="{FF2B5EF4-FFF2-40B4-BE49-F238E27FC236}">
              <a16:creationId xmlns:a16="http://schemas.microsoft.com/office/drawing/2014/main" id="{432E5410-5180-47B3-AEEF-3514B9DFA2BE}"/>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2007" name="Text Box 1127" hidden="1">
          <a:extLst>
            <a:ext uri="{FF2B5EF4-FFF2-40B4-BE49-F238E27FC236}">
              <a16:creationId xmlns:a16="http://schemas.microsoft.com/office/drawing/2014/main" id="{78A2312C-0371-4312-9289-4CB40CC87361}"/>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106</xdr:row>
      <xdr:rowOff>113070</xdr:rowOff>
    </xdr:from>
    <xdr:to>
      <xdr:col>20</xdr:col>
      <xdr:colOff>381000</xdr:colOff>
      <xdr:row>110</xdr:row>
      <xdr:rowOff>136061</xdr:rowOff>
    </xdr:to>
    <xdr:sp macro="" textlink="">
      <xdr:nvSpPr>
        <xdr:cNvPr id="252006" name="Text Box 1126" hidden="1">
          <a:extLst>
            <a:ext uri="{FF2B5EF4-FFF2-40B4-BE49-F238E27FC236}">
              <a16:creationId xmlns:a16="http://schemas.microsoft.com/office/drawing/2014/main" id="{DD45C663-B009-4618-B003-D4128FC6112C}"/>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212146</xdr:rowOff>
    </xdr:from>
    <xdr:to>
      <xdr:col>21</xdr:col>
      <xdr:colOff>419100</xdr:colOff>
      <xdr:row>32</xdr:row>
      <xdr:rowOff>154040</xdr:rowOff>
    </xdr:to>
    <xdr:sp macro="" textlink="">
      <xdr:nvSpPr>
        <xdr:cNvPr id="252005" name="Text Box 1125" hidden="1">
          <a:extLst>
            <a:ext uri="{FF2B5EF4-FFF2-40B4-BE49-F238E27FC236}">
              <a16:creationId xmlns:a16="http://schemas.microsoft.com/office/drawing/2014/main" id="{180101FA-46A1-466E-B9B5-28FB93D9262F}"/>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7118</xdr:rowOff>
    </xdr:from>
    <xdr:to>
      <xdr:col>13</xdr:col>
      <xdr:colOff>0</xdr:colOff>
      <xdr:row>88</xdr:row>
      <xdr:rowOff>74068</xdr:rowOff>
    </xdr:to>
    <xdr:sp macro="" textlink="">
      <xdr:nvSpPr>
        <xdr:cNvPr id="252004" name="Text Box 1124" hidden="1">
          <a:extLst>
            <a:ext uri="{FF2B5EF4-FFF2-40B4-BE49-F238E27FC236}">
              <a16:creationId xmlns:a16="http://schemas.microsoft.com/office/drawing/2014/main" id="{74918F63-F361-474A-9262-E2E019CAFD5F}"/>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108</xdr:row>
      <xdr:rowOff>66621</xdr:rowOff>
    </xdr:from>
    <xdr:to>
      <xdr:col>21</xdr:col>
      <xdr:colOff>266700</xdr:colOff>
      <xdr:row>111</xdr:row>
      <xdr:rowOff>162995</xdr:rowOff>
    </xdr:to>
    <xdr:sp macro="" textlink="">
      <xdr:nvSpPr>
        <xdr:cNvPr id="252003" name="Text Box 1123" hidden="1">
          <a:extLst>
            <a:ext uri="{FF2B5EF4-FFF2-40B4-BE49-F238E27FC236}">
              <a16:creationId xmlns:a16="http://schemas.microsoft.com/office/drawing/2014/main" id="{0DF80242-43DE-4CC9-A4FA-9B1A9A1E5F0C}"/>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2002" name="Text Box 1122" hidden="1">
          <a:extLst>
            <a:ext uri="{FF2B5EF4-FFF2-40B4-BE49-F238E27FC236}">
              <a16:creationId xmlns:a16="http://schemas.microsoft.com/office/drawing/2014/main" id="{AB3B20CD-F02D-4EC0-8C40-DED0BA25262D}"/>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4</xdr:col>
      <xdr:colOff>800100</xdr:colOff>
      <xdr:row>63</xdr:row>
      <xdr:rowOff>114791</xdr:rowOff>
    </xdr:to>
    <xdr:sp macro="" textlink="">
      <xdr:nvSpPr>
        <xdr:cNvPr id="252001" name="Text Box 1121" hidden="1">
          <a:extLst>
            <a:ext uri="{FF2B5EF4-FFF2-40B4-BE49-F238E27FC236}">
              <a16:creationId xmlns:a16="http://schemas.microsoft.com/office/drawing/2014/main" id="{8998727E-B600-4E6E-A29D-E15EEDD8B6AC}"/>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2000" name="Text Box 1120" hidden="1">
          <a:extLst>
            <a:ext uri="{FF2B5EF4-FFF2-40B4-BE49-F238E27FC236}">
              <a16:creationId xmlns:a16="http://schemas.microsoft.com/office/drawing/2014/main" id="{F137F477-79A6-43F6-8661-C6E6E47EA907}"/>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106</xdr:row>
      <xdr:rowOff>113070</xdr:rowOff>
    </xdr:from>
    <xdr:to>
      <xdr:col>20</xdr:col>
      <xdr:colOff>381000</xdr:colOff>
      <xdr:row>110</xdr:row>
      <xdr:rowOff>136061</xdr:rowOff>
    </xdr:to>
    <xdr:sp macro="" textlink="">
      <xdr:nvSpPr>
        <xdr:cNvPr id="251999" name="Text Box 1119" hidden="1">
          <a:extLst>
            <a:ext uri="{FF2B5EF4-FFF2-40B4-BE49-F238E27FC236}">
              <a16:creationId xmlns:a16="http://schemas.microsoft.com/office/drawing/2014/main" id="{426B642F-A42D-415D-98D3-AE85DFAFD39A}"/>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212146</xdr:rowOff>
    </xdr:from>
    <xdr:to>
      <xdr:col>21</xdr:col>
      <xdr:colOff>419100</xdr:colOff>
      <xdr:row>32</xdr:row>
      <xdr:rowOff>154040</xdr:rowOff>
    </xdr:to>
    <xdr:sp macro="" textlink="">
      <xdr:nvSpPr>
        <xdr:cNvPr id="251998" name="Text Box 1118" hidden="1">
          <a:extLst>
            <a:ext uri="{FF2B5EF4-FFF2-40B4-BE49-F238E27FC236}">
              <a16:creationId xmlns:a16="http://schemas.microsoft.com/office/drawing/2014/main" id="{2AAEAEC0-F19C-4CE4-936F-58A986E6EC07}"/>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7118</xdr:rowOff>
    </xdr:from>
    <xdr:to>
      <xdr:col>13</xdr:col>
      <xdr:colOff>0</xdr:colOff>
      <xdr:row>88</xdr:row>
      <xdr:rowOff>74068</xdr:rowOff>
    </xdr:to>
    <xdr:sp macro="" textlink="">
      <xdr:nvSpPr>
        <xdr:cNvPr id="251997" name="Text Box 1117" hidden="1">
          <a:extLst>
            <a:ext uri="{FF2B5EF4-FFF2-40B4-BE49-F238E27FC236}">
              <a16:creationId xmlns:a16="http://schemas.microsoft.com/office/drawing/2014/main" id="{A05F41FA-8F4B-4194-B1BC-AFC6C2A11063}"/>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108</xdr:row>
      <xdr:rowOff>66621</xdr:rowOff>
    </xdr:from>
    <xdr:to>
      <xdr:col>21</xdr:col>
      <xdr:colOff>266700</xdr:colOff>
      <xdr:row>111</xdr:row>
      <xdr:rowOff>162995</xdr:rowOff>
    </xdr:to>
    <xdr:sp macro="" textlink="">
      <xdr:nvSpPr>
        <xdr:cNvPr id="251996" name="Text Box 1116" hidden="1">
          <a:extLst>
            <a:ext uri="{FF2B5EF4-FFF2-40B4-BE49-F238E27FC236}">
              <a16:creationId xmlns:a16="http://schemas.microsoft.com/office/drawing/2014/main" id="{CE617B58-960F-44C8-97AA-CE424A357E66}"/>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2037" name="Text Box 1157" hidden="1">
          <a:extLst>
            <a:ext uri="{FF2B5EF4-FFF2-40B4-BE49-F238E27FC236}">
              <a16:creationId xmlns:a16="http://schemas.microsoft.com/office/drawing/2014/main" id="{93C97E4F-F6E1-47E1-AAA2-257EF16DBABD}"/>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4</xdr:col>
      <xdr:colOff>800100</xdr:colOff>
      <xdr:row>63</xdr:row>
      <xdr:rowOff>114791</xdr:rowOff>
    </xdr:to>
    <xdr:sp macro="" textlink="">
      <xdr:nvSpPr>
        <xdr:cNvPr id="252036" name="Text Box 1156" hidden="1">
          <a:extLst>
            <a:ext uri="{FF2B5EF4-FFF2-40B4-BE49-F238E27FC236}">
              <a16:creationId xmlns:a16="http://schemas.microsoft.com/office/drawing/2014/main" id="{E4BDEE3D-E92A-4D4B-B4F6-BBE776816902}"/>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2035" name="Text Box 1155" hidden="1">
          <a:extLst>
            <a:ext uri="{FF2B5EF4-FFF2-40B4-BE49-F238E27FC236}">
              <a16:creationId xmlns:a16="http://schemas.microsoft.com/office/drawing/2014/main" id="{F87765DF-E56E-4FB8-9077-119349DEF6EF}"/>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106</xdr:row>
      <xdr:rowOff>113070</xdr:rowOff>
    </xdr:from>
    <xdr:to>
      <xdr:col>20</xdr:col>
      <xdr:colOff>381000</xdr:colOff>
      <xdr:row>110</xdr:row>
      <xdr:rowOff>136061</xdr:rowOff>
    </xdr:to>
    <xdr:sp macro="" textlink="">
      <xdr:nvSpPr>
        <xdr:cNvPr id="252034" name="Text Box 1154" hidden="1">
          <a:extLst>
            <a:ext uri="{FF2B5EF4-FFF2-40B4-BE49-F238E27FC236}">
              <a16:creationId xmlns:a16="http://schemas.microsoft.com/office/drawing/2014/main" id="{D791D423-8408-4763-A1F2-BAE54F61C6F5}"/>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212146</xdr:rowOff>
    </xdr:from>
    <xdr:to>
      <xdr:col>21</xdr:col>
      <xdr:colOff>419100</xdr:colOff>
      <xdr:row>32</xdr:row>
      <xdr:rowOff>154040</xdr:rowOff>
    </xdr:to>
    <xdr:sp macro="" textlink="">
      <xdr:nvSpPr>
        <xdr:cNvPr id="252033" name="Text Box 1153" hidden="1">
          <a:extLst>
            <a:ext uri="{FF2B5EF4-FFF2-40B4-BE49-F238E27FC236}">
              <a16:creationId xmlns:a16="http://schemas.microsoft.com/office/drawing/2014/main" id="{7F5C50E3-6116-403D-BAC3-DEA6FE17E7B7}"/>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7118</xdr:rowOff>
    </xdr:from>
    <xdr:to>
      <xdr:col>13</xdr:col>
      <xdr:colOff>0</xdr:colOff>
      <xdr:row>88</xdr:row>
      <xdr:rowOff>74068</xdr:rowOff>
    </xdr:to>
    <xdr:sp macro="" textlink="">
      <xdr:nvSpPr>
        <xdr:cNvPr id="252032" name="Text Box 1152" hidden="1">
          <a:extLst>
            <a:ext uri="{FF2B5EF4-FFF2-40B4-BE49-F238E27FC236}">
              <a16:creationId xmlns:a16="http://schemas.microsoft.com/office/drawing/2014/main" id="{C4D42879-FD2D-454A-B51B-7F3EC8CD8D32}"/>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108</xdr:row>
      <xdr:rowOff>66621</xdr:rowOff>
    </xdr:from>
    <xdr:to>
      <xdr:col>21</xdr:col>
      <xdr:colOff>266700</xdr:colOff>
      <xdr:row>111</xdr:row>
      <xdr:rowOff>162995</xdr:rowOff>
    </xdr:to>
    <xdr:sp macro="" textlink="">
      <xdr:nvSpPr>
        <xdr:cNvPr id="252031" name="Text Box 1151" hidden="1">
          <a:extLst>
            <a:ext uri="{FF2B5EF4-FFF2-40B4-BE49-F238E27FC236}">
              <a16:creationId xmlns:a16="http://schemas.microsoft.com/office/drawing/2014/main" id="{A49B9002-5F5E-4933-866F-3B82BC804A19}"/>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2030" name="Text Box 1150" hidden="1">
          <a:extLst>
            <a:ext uri="{FF2B5EF4-FFF2-40B4-BE49-F238E27FC236}">
              <a16:creationId xmlns:a16="http://schemas.microsoft.com/office/drawing/2014/main" id="{2ACCE138-E05E-47A3-B803-D81D9882AF10}"/>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4</xdr:col>
      <xdr:colOff>800100</xdr:colOff>
      <xdr:row>63</xdr:row>
      <xdr:rowOff>114791</xdr:rowOff>
    </xdr:to>
    <xdr:sp macro="" textlink="">
      <xdr:nvSpPr>
        <xdr:cNvPr id="252029" name="Text Box 1149" hidden="1">
          <a:extLst>
            <a:ext uri="{FF2B5EF4-FFF2-40B4-BE49-F238E27FC236}">
              <a16:creationId xmlns:a16="http://schemas.microsoft.com/office/drawing/2014/main" id="{FF50026F-0045-4995-BCE4-4C51AA5AF02B}"/>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2028" name="Text Box 1148" hidden="1">
          <a:extLst>
            <a:ext uri="{FF2B5EF4-FFF2-40B4-BE49-F238E27FC236}">
              <a16:creationId xmlns:a16="http://schemas.microsoft.com/office/drawing/2014/main" id="{7240F781-A41D-4458-B0F5-D71D24C14CBE}"/>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106</xdr:row>
      <xdr:rowOff>113070</xdr:rowOff>
    </xdr:from>
    <xdr:to>
      <xdr:col>20</xdr:col>
      <xdr:colOff>381000</xdr:colOff>
      <xdr:row>110</xdr:row>
      <xdr:rowOff>136061</xdr:rowOff>
    </xdr:to>
    <xdr:sp macro="" textlink="">
      <xdr:nvSpPr>
        <xdr:cNvPr id="252027" name="Text Box 1147" hidden="1">
          <a:extLst>
            <a:ext uri="{FF2B5EF4-FFF2-40B4-BE49-F238E27FC236}">
              <a16:creationId xmlns:a16="http://schemas.microsoft.com/office/drawing/2014/main" id="{2233D495-C919-45A1-844E-25B803977729}"/>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212146</xdr:rowOff>
    </xdr:from>
    <xdr:to>
      <xdr:col>21</xdr:col>
      <xdr:colOff>419100</xdr:colOff>
      <xdr:row>32</xdr:row>
      <xdr:rowOff>154040</xdr:rowOff>
    </xdr:to>
    <xdr:sp macro="" textlink="">
      <xdr:nvSpPr>
        <xdr:cNvPr id="252026" name="Text Box 1146" hidden="1">
          <a:extLst>
            <a:ext uri="{FF2B5EF4-FFF2-40B4-BE49-F238E27FC236}">
              <a16:creationId xmlns:a16="http://schemas.microsoft.com/office/drawing/2014/main" id="{32036B17-B8C4-4565-9732-B7C243CBCC42}"/>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7118</xdr:rowOff>
    </xdr:from>
    <xdr:to>
      <xdr:col>13</xdr:col>
      <xdr:colOff>0</xdr:colOff>
      <xdr:row>88</xdr:row>
      <xdr:rowOff>74068</xdr:rowOff>
    </xdr:to>
    <xdr:sp macro="" textlink="">
      <xdr:nvSpPr>
        <xdr:cNvPr id="252025" name="Text Box 1145" hidden="1">
          <a:extLst>
            <a:ext uri="{FF2B5EF4-FFF2-40B4-BE49-F238E27FC236}">
              <a16:creationId xmlns:a16="http://schemas.microsoft.com/office/drawing/2014/main" id="{3A85BCCC-0977-4CC0-8E66-DBE057B60059}"/>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108</xdr:row>
      <xdr:rowOff>66621</xdr:rowOff>
    </xdr:from>
    <xdr:to>
      <xdr:col>21</xdr:col>
      <xdr:colOff>266700</xdr:colOff>
      <xdr:row>111</xdr:row>
      <xdr:rowOff>162995</xdr:rowOff>
    </xdr:to>
    <xdr:sp macro="" textlink="">
      <xdr:nvSpPr>
        <xdr:cNvPr id="252024" name="Text Box 1144" hidden="1">
          <a:extLst>
            <a:ext uri="{FF2B5EF4-FFF2-40B4-BE49-F238E27FC236}">
              <a16:creationId xmlns:a16="http://schemas.microsoft.com/office/drawing/2014/main" id="{C9B5DC22-A7AB-48F6-943E-EC9E8CE12A0B}"/>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2023" name="Text Box 1143" hidden="1">
          <a:extLst>
            <a:ext uri="{FF2B5EF4-FFF2-40B4-BE49-F238E27FC236}">
              <a16:creationId xmlns:a16="http://schemas.microsoft.com/office/drawing/2014/main" id="{9DFAF1BC-DE27-4F17-8D3B-29C1CDDFD5D9}"/>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4</xdr:col>
      <xdr:colOff>800100</xdr:colOff>
      <xdr:row>63</xdr:row>
      <xdr:rowOff>114791</xdr:rowOff>
    </xdr:to>
    <xdr:sp macro="" textlink="">
      <xdr:nvSpPr>
        <xdr:cNvPr id="252022" name="Text Box 1142" hidden="1">
          <a:extLst>
            <a:ext uri="{FF2B5EF4-FFF2-40B4-BE49-F238E27FC236}">
              <a16:creationId xmlns:a16="http://schemas.microsoft.com/office/drawing/2014/main" id="{8E1804F3-DFEF-4DE1-99D6-0CCAA8D8C0C8}"/>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2021" name="Text Box 1141" hidden="1">
          <a:extLst>
            <a:ext uri="{FF2B5EF4-FFF2-40B4-BE49-F238E27FC236}">
              <a16:creationId xmlns:a16="http://schemas.microsoft.com/office/drawing/2014/main" id="{D37D9035-B832-4430-BE28-B946CDCB13D1}"/>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106</xdr:row>
      <xdr:rowOff>113070</xdr:rowOff>
    </xdr:from>
    <xdr:to>
      <xdr:col>20</xdr:col>
      <xdr:colOff>381000</xdr:colOff>
      <xdr:row>110</xdr:row>
      <xdr:rowOff>136061</xdr:rowOff>
    </xdr:to>
    <xdr:sp macro="" textlink="">
      <xdr:nvSpPr>
        <xdr:cNvPr id="252020" name="Text Box 1140" hidden="1">
          <a:extLst>
            <a:ext uri="{FF2B5EF4-FFF2-40B4-BE49-F238E27FC236}">
              <a16:creationId xmlns:a16="http://schemas.microsoft.com/office/drawing/2014/main" id="{5FBC1B2B-4D27-4B5D-B928-DA12FD581E42}"/>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212146</xdr:rowOff>
    </xdr:from>
    <xdr:to>
      <xdr:col>21</xdr:col>
      <xdr:colOff>419100</xdr:colOff>
      <xdr:row>32</xdr:row>
      <xdr:rowOff>154040</xdr:rowOff>
    </xdr:to>
    <xdr:sp macro="" textlink="">
      <xdr:nvSpPr>
        <xdr:cNvPr id="252019" name="Text Box 1139" hidden="1">
          <a:extLst>
            <a:ext uri="{FF2B5EF4-FFF2-40B4-BE49-F238E27FC236}">
              <a16:creationId xmlns:a16="http://schemas.microsoft.com/office/drawing/2014/main" id="{660E006F-CED3-47BE-A5A2-B9FD2CB530FE}"/>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7118</xdr:rowOff>
    </xdr:from>
    <xdr:to>
      <xdr:col>13</xdr:col>
      <xdr:colOff>0</xdr:colOff>
      <xdr:row>88</xdr:row>
      <xdr:rowOff>74068</xdr:rowOff>
    </xdr:to>
    <xdr:sp macro="" textlink="">
      <xdr:nvSpPr>
        <xdr:cNvPr id="252018" name="Text Box 1138" hidden="1">
          <a:extLst>
            <a:ext uri="{FF2B5EF4-FFF2-40B4-BE49-F238E27FC236}">
              <a16:creationId xmlns:a16="http://schemas.microsoft.com/office/drawing/2014/main" id="{4AE2770A-85EC-4EAC-86EC-D7CDC7B61441}"/>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108</xdr:row>
      <xdr:rowOff>66621</xdr:rowOff>
    </xdr:from>
    <xdr:to>
      <xdr:col>21</xdr:col>
      <xdr:colOff>266700</xdr:colOff>
      <xdr:row>111</xdr:row>
      <xdr:rowOff>162995</xdr:rowOff>
    </xdr:to>
    <xdr:sp macro="" textlink="">
      <xdr:nvSpPr>
        <xdr:cNvPr id="252017" name="Text Box 1137" hidden="1">
          <a:extLst>
            <a:ext uri="{FF2B5EF4-FFF2-40B4-BE49-F238E27FC236}">
              <a16:creationId xmlns:a16="http://schemas.microsoft.com/office/drawing/2014/main" id="{399C5A40-08F7-4459-A2F7-E451D20678AE}"/>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2044" name="Text Box 1164" hidden="1">
          <a:extLst>
            <a:ext uri="{FF2B5EF4-FFF2-40B4-BE49-F238E27FC236}">
              <a16:creationId xmlns:a16="http://schemas.microsoft.com/office/drawing/2014/main" id="{4389088C-6A33-4F49-BC41-0D72115967DF}"/>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4</xdr:col>
      <xdr:colOff>800100</xdr:colOff>
      <xdr:row>63</xdr:row>
      <xdr:rowOff>114791</xdr:rowOff>
    </xdr:to>
    <xdr:sp macro="" textlink="">
      <xdr:nvSpPr>
        <xdr:cNvPr id="252043" name="Text Box 1163" hidden="1">
          <a:extLst>
            <a:ext uri="{FF2B5EF4-FFF2-40B4-BE49-F238E27FC236}">
              <a16:creationId xmlns:a16="http://schemas.microsoft.com/office/drawing/2014/main" id="{6C2EC84C-A584-4936-B1C6-379E1BFE0AFA}"/>
            </a:ext>
          </a:extLst>
        </xdr:cNvPr>
        <xdr:cNvSpPr txBox="1">
          <a:spLocks noChangeArrowheads="1"/>
        </xdr:cNvSpPr>
      </xdr:nvSpPr>
      <xdr:spPr bwMode="auto">
        <a:xfrm>
          <a:off x="4048125" y="15211425"/>
          <a:ext cx="12477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2042" name="Text Box 1162" hidden="1">
          <a:extLst>
            <a:ext uri="{FF2B5EF4-FFF2-40B4-BE49-F238E27FC236}">
              <a16:creationId xmlns:a16="http://schemas.microsoft.com/office/drawing/2014/main" id="{74645F5D-87CF-488E-A08F-61E7F4F34DD9}"/>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106</xdr:row>
      <xdr:rowOff>113070</xdr:rowOff>
    </xdr:from>
    <xdr:to>
      <xdr:col>20</xdr:col>
      <xdr:colOff>381000</xdr:colOff>
      <xdr:row>110</xdr:row>
      <xdr:rowOff>136061</xdr:rowOff>
    </xdr:to>
    <xdr:sp macro="" textlink="">
      <xdr:nvSpPr>
        <xdr:cNvPr id="252041" name="Text Box 1161" hidden="1">
          <a:extLst>
            <a:ext uri="{FF2B5EF4-FFF2-40B4-BE49-F238E27FC236}">
              <a16:creationId xmlns:a16="http://schemas.microsoft.com/office/drawing/2014/main" id="{A90B1259-B399-445F-A476-4F7D8B875518}"/>
            </a:ext>
          </a:extLst>
        </xdr:cNvPr>
        <xdr:cNvSpPr txBox="1">
          <a:spLocks noChangeArrowheads="1"/>
        </xdr:cNvSpPr>
      </xdr:nvSpPr>
      <xdr:spPr bwMode="auto">
        <a:xfrm>
          <a:off x="12611100" y="24945975"/>
          <a:ext cx="1400175"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212146</xdr:rowOff>
    </xdr:from>
    <xdr:to>
      <xdr:col>21</xdr:col>
      <xdr:colOff>419100</xdr:colOff>
      <xdr:row>32</xdr:row>
      <xdr:rowOff>154040</xdr:rowOff>
    </xdr:to>
    <xdr:sp macro="" textlink="">
      <xdr:nvSpPr>
        <xdr:cNvPr id="252040" name="Text Box 1160" hidden="1">
          <a:extLst>
            <a:ext uri="{FF2B5EF4-FFF2-40B4-BE49-F238E27FC236}">
              <a16:creationId xmlns:a16="http://schemas.microsoft.com/office/drawing/2014/main" id="{1AD2F970-1FA8-478C-B603-12D432A4AECF}"/>
            </a:ext>
          </a:extLst>
        </xdr:cNvPr>
        <xdr:cNvSpPr txBox="1">
          <a:spLocks noChangeArrowheads="1"/>
        </xdr:cNvSpPr>
      </xdr:nvSpPr>
      <xdr:spPr bwMode="auto">
        <a:xfrm>
          <a:off x="13192125" y="7658100"/>
          <a:ext cx="1409700"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7118</xdr:rowOff>
    </xdr:from>
    <xdr:to>
      <xdr:col>13</xdr:col>
      <xdr:colOff>0</xdr:colOff>
      <xdr:row>88</xdr:row>
      <xdr:rowOff>74068</xdr:rowOff>
    </xdr:to>
    <xdr:sp macro="" textlink="">
      <xdr:nvSpPr>
        <xdr:cNvPr id="252039" name="Text Box 1159" hidden="1">
          <a:extLst>
            <a:ext uri="{FF2B5EF4-FFF2-40B4-BE49-F238E27FC236}">
              <a16:creationId xmlns:a16="http://schemas.microsoft.com/office/drawing/2014/main" id="{5DA0E931-24D8-4022-B733-C943DACC8137}"/>
            </a:ext>
          </a:extLst>
        </xdr:cNvPr>
        <xdr:cNvSpPr txBox="1">
          <a:spLocks noChangeArrowheads="1"/>
        </xdr:cNvSpPr>
      </xdr:nvSpPr>
      <xdr:spPr bwMode="auto">
        <a:xfrm>
          <a:off x="8362950" y="20250150"/>
          <a:ext cx="13716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108</xdr:row>
      <xdr:rowOff>66621</xdr:rowOff>
    </xdr:from>
    <xdr:to>
      <xdr:col>21</xdr:col>
      <xdr:colOff>266700</xdr:colOff>
      <xdr:row>111</xdr:row>
      <xdr:rowOff>162995</xdr:rowOff>
    </xdr:to>
    <xdr:sp macro="" textlink="">
      <xdr:nvSpPr>
        <xdr:cNvPr id="252038" name="Text Box 1158" hidden="1">
          <a:extLst>
            <a:ext uri="{FF2B5EF4-FFF2-40B4-BE49-F238E27FC236}">
              <a16:creationId xmlns:a16="http://schemas.microsoft.com/office/drawing/2014/main" id="{0144FF79-D64F-410F-8EFA-CF08DBF84094}"/>
            </a:ext>
          </a:extLst>
        </xdr:cNvPr>
        <xdr:cNvSpPr txBox="1">
          <a:spLocks noChangeArrowheads="1"/>
        </xdr:cNvSpPr>
      </xdr:nvSpPr>
      <xdr:spPr bwMode="auto">
        <a:xfrm>
          <a:off x="13154025" y="25431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2051" name="Text Box 1171" hidden="1">
          <a:extLst>
            <a:ext uri="{FF2B5EF4-FFF2-40B4-BE49-F238E27FC236}">
              <a16:creationId xmlns:a16="http://schemas.microsoft.com/office/drawing/2014/main" id="{5034679F-54CE-4EFE-8513-A93B54543F99}"/>
            </a:ext>
          </a:extLst>
        </xdr:cNvPr>
        <xdr:cNvSpPr txBox="1">
          <a:spLocks noChangeArrowheads="1"/>
        </xdr:cNvSpPr>
      </xdr:nvSpPr>
      <xdr:spPr bwMode="auto">
        <a:xfrm>
          <a:off x="4160520" y="15026640"/>
          <a:ext cx="132588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4</xdr:col>
      <xdr:colOff>800100</xdr:colOff>
      <xdr:row>63</xdr:row>
      <xdr:rowOff>114791</xdr:rowOff>
    </xdr:to>
    <xdr:sp macro="" textlink="">
      <xdr:nvSpPr>
        <xdr:cNvPr id="252050" name="Text Box 1170" hidden="1">
          <a:extLst>
            <a:ext uri="{FF2B5EF4-FFF2-40B4-BE49-F238E27FC236}">
              <a16:creationId xmlns:a16="http://schemas.microsoft.com/office/drawing/2014/main" id="{C3206BD2-25D3-43B7-810A-F367DCCC77F0}"/>
            </a:ext>
          </a:extLst>
        </xdr:cNvPr>
        <xdr:cNvSpPr txBox="1">
          <a:spLocks noChangeArrowheads="1"/>
        </xdr:cNvSpPr>
      </xdr:nvSpPr>
      <xdr:spPr bwMode="auto">
        <a:xfrm>
          <a:off x="4160520" y="15026640"/>
          <a:ext cx="12725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2049" name="Text Box 1169" hidden="1">
          <a:extLst>
            <a:ext uri="{FF2B5EF4-FFF2-40B4-BE49-F238E27FC236}">
              <a16:creationId xmlns:a16="http://schemas.microsoft.com/office/drawing/2014/main" id="{5C3DDD3B-E216-4726-97EC-5F7FC3A75005}"/>
            </a:ext>
          </a:extLst>
        </xdr:cNvPr>
        <xdr:cNvSpPr txBox="1">
          <a:spLocks noChangeArrowheads="1"/>
        </xdr:cNvSpPr>
      </xdr:nvSpPr>
      <xdr:spPr bwMode="auto">
        <a:xfrm>
          <a:off x="4160520" y="15026640"/>
          <a:ext cx="132588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106</xdr:row>
      <xdr:rowOff>113070</xdr:rowOff>
    </xdr:from>
    <xdr:to>
      <xdr:col>20</xdr:col>
      <xdr:colOff>381000</xdr:colOff>
      <xdr:row>110</xdr:row>
      <xdr:rowOff>136061</xdr:rowOff>
    </xdr:to>
    <xdr:sp macro="" textlink="">
      <xdr:nvSpPr>
        <xdr:cNvPr id="252048" name="Text Box 1168" hidden="1">
          <a:extLst>
            <a:ext uri="{FF2B5EF4-FFF2-40B4-BE49-F238E27FC236}">
              <a16:creationId xmlns:a16="http://schemas.microsoft.com/office/drawing/2014/main" id="{6E706B32-F3B8-49DD-8817-4EF29DAFDEA4}"/>
            </a:ext>
          </a:extLst>
        </xdr:cNvPr>
        <xdr:cNvSpPr txBox="1">
          <a:spLocks noChangeArrowheads="1"/>
        </xdr:cNvSpPr>
      </xdr:nvSpPr>
      <xdr:spPr bwMode="auto">
        <a:xfrm>
          <a:off x="1300734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212146</xdr:rowOff>
    </xdr:from>
    <xdr:to>
      <xdr:col>21</xdr:col>
      <xdr:colOff>419100</xdr:colOff>
      <xdr:row>32</xdr:row>
      <xdr:rowOff>154040</xdr:rowOff>
    </xdr:to>
    <xdr:sp macro="" textlink="">
      <xdr:nvSpPr>
        <xdr:cNvPr id="252047" name="Text Box 1167" hidden="1">
          <a:extLst>
            <a:ext uri="{FF2B5EF4-FFF2-40B4-BE49-F238E27FC236}">
              <a16:creationId xmlns:a16="http://schemas.microsoft.com/office/drawing/2014/main" id="{91CCAE61-6E86-468C-81B5-BA708EF2ECC1}"/>
            </a:ext>
          </a:extLst>
        </xdr:cNvPr>
        <xdr:cNvSpPr txBox="1">
          <a:spLocks noChangeArrowheads="1"/>
        </xdr:cNvSpPr>
      </xdr:nvSpPr>
      <xdr:spPr bwMode="auto">
        <a:xfrm>
          <a:off x="13601700" y="7581900"/>
          <a:ext cx="144780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7118</xdr:rowOff>
    </xdr:from>
    <xdr:to>
      <xdr:col>13</xdr:col>
      <xdr:colOff>0</xdr:colOff>
      <xdr:row>88</xdr:row>
      <xdr:rowOff>74068</xdr:rowOff>
    </xdr:to>
    <xdr:sp macro="" textlink="">
      <xdr:nvSpPr>
        <xdr:cNvPr id="252046" name="Text Box 1166" hidden="1">
          <a:extLst>
            <a:ext uri="{FF2B5EF4-FFF2-40B4-BE49-F238E27FC236}">
              <a16:creationId xmlns:a16="http://schemas.microsoft.com/office/drawing/2014/main" id="{C1FC316E-DBC0-4D79-AF2F-C828F1357D62}"/>
            </a:ext>
          </a:extLst>
        </xdr:cNvPr>
        <xdr:cNvSpPr txBox="1">
          <a:spLocks noChangeArrowheads="1"/>
        </xdr:cNvSpPr>
      </xdr:nvSpPr>
      <xdr:spPr bwMode="auto">
        <a:xfrm>
          <a:off x="861822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108</xdr:row>
      <xdr:rowOff>66621</xdr:rowOff>
    </xdr:from>
    <xdr:to>
      <xdr:col>21</xdr:col>
      <xdr:colOff>266700</xdr:colOff>
      <xdr:row>111</xdr:row>
      <xdr:rowOff>162995</xdr:rowOff>
    </xdr:to>
    <xdr:sp macro="" textlink="">
      <xdr:nvSpPr>
        <xdr:cNvPr id="252045" name="Text Box 1165" hidden="1">
          <a:extLst>
            <a:ext uri="{FF2B5EF4-FFF2-40B4-BE49-F238E27FC236}">
              <a16:creationId xmlns:a16="http://schemas.microsoft.com/office/drawing/2014/main" id="{05EDC26C-67FC-4231-A1F7-52298B0F0BE6}"/>
            </a:ext>
          </a:extLst>
        </xdr:cNvPr>
        <xdr:cNvSpPr txBox="1">
          <a:spLocks noChangeArrowheads="1"/>
        </xdr:cNvSpPr>
      </xdr:nvSpPr>
      <xdr:spPr bwMode="auto">
        <a:xfrm>
          <a:off x="13563600" y="25085040"/>
          <a:ext cx="13335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2058" name="Text Box 1178" hidden="1">
          <a:extLst>
            <a:ext uri="{FF2B5EF4-FFF2-40B4-BE49-F238E27FC236}">
              <a16:creationId xmlns:a16="http://schemas.microsoft.com/office/drawing/2014/main" id="{2C8D152F-3884-4D4C-84AA-EB302F6F5EA7}"/>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4</xdr:col>
      <xdr:colOff>800100</xdr:colOff>
      <xdr:row>63</xdr:row>
      <xdr:rowOff>114791</xdr:rowOff>
    </xdr:to>
    <xdr:sp macro="" textlink="">
      <xdr:nvSpPr>
        <xdr:cNvPr id="252057" name="Text Box 1177" hidden="1">
          <a:extLst>
            <a:ext uri="{FF2B5EF4-FFF2-40B4-BE49-F238E27FC236}">
              <a16:creationId xmlns:a16="http://schemas.microsoft.com/office/drawing/2014/main" id="{498047AF-AAE9-4F8A-8500-E0E90FE391EC}"/>
            </a:ext>
          </a:extLst>
        </xdr:cNvPr>
        <xdr:cNvSpPr txBox="1">
          <a:spLocks noChangeArrowheads="1"/>
        </xdr:cNvSpPr>
      </xdr:nvSpPr>
      <xdr:spPr bwMode="auto">
        <a:xfrm>
          <a:off x="4048125" y="15211425"/>
          <a:ext cx="12477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2056" name="Text Box 1176" hidden="1">
          <a:extLst>
            <a:ext uri="{FF2B5EF4-FFF2-40B4-BE49-F238E27FC236}">
              <a16:creationId xmlns:a16="http://schemas.microsoft.com/office/drawing/2014/main" id="{C7F24D32-4DF8-45DF-8FA0-11DC9B447B48}"/>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106</xdr:row>
      <xdr:rowOff>113070</xdr:rowOff>
    </xdr:from>
    <xdr:to>
      <xdr:col>20</xdr:col>
      <xdr:colOff>381000</xdr:colOff>
      <xdr:row>110</xdr:row>
      <xdr:rowOff>136061</xdr:rowOff>
    </xdr:to>
    <xdr:sp macro="" textlink="">
      <xdr:nvSpPr>
        <xdr:cNvPr id="252055" name="Text Box 1175" hidden="1">
          <a:extLst>
            <a:ext uri="{FF2B5EF4-FFF2-40B4-BE49-F238E27FC236}">
              <a16:creationId xmlns:a16="http://schemas.microsoft.com/office/drawing/2014/main" id="{C74896F8-3A3D-4CE8-9F27-C5B54D926227}"/>
            </a:ext>
          </a:extLst>
        </xdr:cNvPr>
        <xdr:cNvSpPr txBox="1">
          <a:spLocks noChangeArrowheads="1"/>
        </xdr:cNvSpPr>
      </xdr:nvSpPr>
      <xdr:spPr bwMode="auto">
        <a:xfrm>
          <a:off x="12611100" y="24945975"/>
          <a:ext cx="1400175"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212146</xdr:rowOff>
    </xdr:from>
    <xdr:to>
      <xdr:col>21</xdr:col>
      <xdr:colOff>419100</xdr:colOff>
      <xdr:row>32</xdr:row>
      <xdr:rowOff>154040</xdr:rowOff>
    </xdr:to>
    <xdr:sp macro="" textlink="">
      <xdr:nvSpPr>
        <xdr:cNvPr id="252054" name="Text Box 1174" hidden="1">
          <a:extLst>
            <a:ext uri="{FF2B5EF4-FFF2-40B4-BE49-F238E27FC236}">
              <a16:creationId xmlns:a16="http://schemas.microsoft.com/office/drawing/2014/main" id="{1C60E7B6-1D14-41FA-AA03-B419F6E48EEC}"/>
            </a:ext>
          </a:extLst>
        </xdr:cNvPr>
        <xdr:cNvSpPr txBox="1">
          <a:spLocks noChangeArrowheads="1"/>
        </xdr:cNvSpPr>
      </xdr:nvSpPr>
      <xdr:spPr bwMode="auto">
        <a:xfrm>
          <a:off x="13192125" y="7658100"/>
          <a:ext cx="1409700"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7118</xdr:rowOff>
    </xdr:from>
    <xdr:to>
      <xdr:col>13</xdr:col>
      <xdr:colOff>0</xdr:colOff>
      <xdr:row>88</xdr:row>
      <xdr:rowOff>74068</xdr:rowOff>
    </xdr:to>
    <xdr:sp macro="" textlink="">
      <xdr:nvSpPr>
        <xdr:cNvPr id="252053" name="Text Box 1173" hidden="1">
          <a:extLst>
            <a:ext uri="{FF2B5EF4-FFF2-40B4-BE49-F238E27FC236}">
              <a16:creationId xmlns:a16="http://schemas.microsoft.com/office/drawing/2014/main" id="{8598895C-2D46-4727-8FE2-385EF828CA6E}"/>
            </a:ext>
          </a:extLst>
        </xdr:cNvPr>
        <xdr:cNvSpPr txBox="1">
          <a:spLocks noChangeArrowheads="1"/>
        </xdr:cNvSpPr>
      </xdr:nvSpPr>
      <xdr:spPr bwMode="auto">
        <a:xfrm>
          <a:off x="8362950" y="20250150"/>
          <a:ext cx="13716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108</xdr:row>
      <xdr:rowOff>66621</xdr:rowOff>
    </xdr:from>
    <xdr:to>
      <xdr:col>21</xdr:col>
      <xdr:colOff>266700</xdr:colOff>
      <xdr:row>111</xdr:row>
      <xdr:rowOff>162995</xdr:rowOff>
    </xdr:to>
    <xdr:sp macro="" textlink="">
      <xdr:nvSpPr>
        <xdr:cNvPr id="252052" name="Text Box 1172" hidden="1">
          <a:extLst>
            <a:ext uri="{FF2B5EF4-FFF2-40B4-BE49-F238E27FC236}">
              <a16:creationId xmlns:a16="http://schemas.microsoft.com/office/drawing/2014/main" id="{EE583212-0F9E-4D9A-88EA-9912DD1EC720}"/>
            </a:ext>
          </a:extLst>
        </xdr:cNvPr>
        <xdr:cNvSpPr txBox="1">
          <a:spLocks noChangeArrowheads="1"/>
        </xdr:cNvSpPr>
      </xdr:nvSpPr>
      <xdr:spPr bwMode="auto">
        <a:xfrm>
          <a:off x="13154025" y="25431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2065" name="Text Box 1185" hidden="1">
          <a:extLst>
            <a:ext uri="{FF2B5EF4-FFF2-40B4-BE49-F238E27FC236}">
              <a16:creationId xmlns:a16="http://schemas.microsoft.com/office/drawing/2014/main" id="{C227EB26-E903-480E-B1D4-A43B391597B0}"/>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4</xdr:col>
      <xdr:colOff>800100</xdr:colOff>
      <xdr:row>63</xdr:row>
      <xdr:rowOff>114791</xdr:rowOff>
    </xdr:to>
    <xdr:sp macro="" textlink="">
      <xdr:nvSpPr>
        <xdr:cNvPr id="252064" name="Text Box 1184" hidden="1">
          <a:extLst>
            <a:ext uri="{FF2B5EF4-FFF2-40B4-BE49-F238E27FC236}">
              <a16:creationId xmlns:a16="http://schemas.microsoft.com/office/drawing/2014/main" id="{01D36F64-FBD2-4F14-8DFD-3210CCA12A4B}"/>
            </a:ext>
          </a:extLst>
        </xdr:cNvPr>
        <xdr:cNvSpPr txBox="1">
          <a:spLocks noChangeArrowheads="1"/>
        </xdr:cNvSpPr>
      </xdr:nvSpPr>
      <xdr:spPr bwMode="auto">
        <a:xfrm>
          <a:off x="4222750" y="15055850"/>
          <a:ext cx="12763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2063" name="Text Box 1183" hidden="1">
          <a:extLst>
            <a:ext uri="{FF2B5EF4-FFF2-40B4-BE49-F238E27FC236}">
              <a16:creationId xmlns:a16="http://schemas.microsoft.com/office/drawing/2014/main" id="{773C4D44-3717-4309-9CE0-77940CBE616A}"/>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106</xdr:row>
      <xdr:rowOff>113070</xdr:rowOff>
    </xdr:from>
    <xdr:to>
      <xdr:col>20</xdr:col>
      <xdr:colOff>381000</xdr:colOff>
      <xdr:row>110</xdr:row>
      <xdr:rowOff>136061</xdr:rowOff>
    </xdr:to>
    <xdr:sp macro="" textlink="">
      <xdr:nvSpPr>
        <xdr:cNvPr id="252062" name="Text Box 1182" hidden="1">
          <a:extLst>
            <a:ext uri="{FF2B5EF4-FFF2-40B4-BE49-F238E27FC236}">
              <a16:creationId xmlns:a16="http://schemas.microsoft.com/office/drawing/2014/main" id="{5F7C242E-8AF4-479A-89FE-0426E3991AAC}"/>
            </a:ext>
          </a:extLst>
        </xdr:cNvPr>
        <xdr:cNvSpPr txBox="1">
          <a:spLocks noChangeArrowheads="1"/>
        </xdr:cNvSpPr>
      </xdr:nvSpPr>
      <xdr:spPr bwMode="auto">
        <a:xfrm>
          <a:off x="13157200" y="24657050"/>
          <a:ext cx="145415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231196</xdr:rowOff>
    </xdr:from>
    <xdr:to>
      <xdr:col>21</xdr:col>
      <xdr:colOff>419100</xdr:colOff>
      <xdr:row>32</xdr:row>
      <xdr:rowOff>154040</xdr:rowOff>
    </xdr:to>
    <xdr:sp macro="" textlink="">
      <xdr:nvSpPr>
        <xdr:cNvPr id="252061" name="Text Box 1181" hidden="1">
          <a:extLst>
            <a:ext uri="{FF2B5EF4-FFF2-40B4-BE49-F238E27FC236}">
              <a16:creationId xmlns:a16="http://schemas.microsoft.com/office/drawing/2014/main" id="{B0C2D165-FB6B-4C3E-B17A-036210639E25}"/>
            </a:ext>
          </a:extLst>
        </xdr:cNvPr>
        <xdr:cNvSpPr txBox="1">
          <a:spLocks noChangeArrowheads="1"/>
        </xdr:cNvSpPr>
      </xdr:nvSpPr>
      <xdr:spPr bwMode="auto">
        <a:xfrm>
          <a:off x="13773150" y="75819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7118</xdr:rowOff>
    </xdr:from>
    <xdr:to>
      <xdr:col>13</xdr:col>
      <xdr:colOff>0</xdr:colOff>
      <xdr:row>88</xdr:row>
      <xdr:rowOff>74068</xdr:rowOff>
    </xdr:to>
    <xdr:sp macro="" textlink="">
      <xdr:nvSpPr>
        <xdr:cNvPr id="252060" name="Text Box 1180" hidden="1">
          <a:extLst>
            <a:ext uri="{FF2B5EF4-FFF2-40B4-BE49-F238E27FC236}">
              <a16:creationId xmlns:a16="http://schemas.microsoft.com/office/drawing/2014/main" id="{96BBF136-CE44-4A9A-BF3D-F6D90F3FFF35}"/>
            </a:ext>
          </a:extLst>
        </xdr:cNvPr>
        <xdr:cNvSpPr txBox="1">
          <a:spLocks noChangeArrowheads="1"/>
        </xdr:cNvSpPr>
      </xdr:nvSpPr>
      <xdr:spPr bwMode="auto">
        <a:xfrm>
          <a:off x="8737600" y="20015200"/>
          <a:ext cx="1447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108</xdr:row>
      <xdr:rowOff>66621</xdr:rowOff>
    </xdr:from>
    <xdr:to>
      <xdr:col>21</xdr:col>
      <xdr:colOff>266700</xdr:colOff>
      <xdr:row>111</xdr:row>
      <xdr:rowOff>162995</xdr:rowOff>
    </xdr:to>
    <xdr:sp macro="" textlink="">
      <xdr:nvSpPr>
        <xdr:cNvPr id="252059" name="Text Box 1179" hidden="1">
          <a:extLst>
            <a:ext uri="{FF2B5EF4-FFF2-40B4-BE49-F238E27FC236}">
              <a16:creationId xmlns:a16="http://schemas.microsoft.com/office/drawing/2014/main" id="{BDE8E9EE-40D5-452B-887B-458EA39A3002}"/>
            </a:ext>
          </a:extLst>
        </xdr:cNvPr>
        <xdr:cNvSpPr txBox="1">
          <a:spLocks noChangeArrowheads="1"/>
        </xdr:cNvSpPr>
      </xdr:nvSpPr>
      <xdr:spPr bwMode="auto">
        <a:xfrm>
          <a:off x="13735050" y="25139650"/>
          <a:ext cx="13335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2072" name="Text Box 1192" hidden="1">
          <a:extLst>
            <a:ext uri="{FF2B5EF4-FFF2-40B4-BE49-F238E27FC236}">
              <a16:creationId xmlns:a16="http://schemas.microsoft.com/office/drawing/2014/main" id="{A188E377-C478-487B-8BB7-AC45A0A5F321}"/>
            </a:ext>
          </a:extLst>
        </xdr:cNvPr>
        <xdr:cNvSpPr txBox="1">
          <a:spLocks noChangeArrowheads="1"/>
        </xdr:cNvSpPr>
      </xdr:nvSpPr>
      <xdr:spPr bwMode="auto">
        <a:xfrm>
          <a:off x="4038600" y="15211425"/>
          <a:ext cx="1266825"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4</xdr:col>
      <xdr:colOff>800100</xdr:colOff>
      <xdr:row>63</xdr:row>
      <xdr:rowOff>114791</xdr:rowOff>
    </xdr:to>
    <xdr:sp macro="" textlink="">
      <xdr:nvSpPr>
        <xdr:cNvPr id="252071" name="Text Box 1191" hidden="1">
          <a:extLst>
            <a:ext uri="{FF2B5EF4-FFF2-40B4-BE49-F238E27FC236}">
              <a16:creationId xmlns:a16="http://schemas.microsoft.com/office/drawing/2014/main" id="{9EF5D299-973C-40DD-B42E-DE8D0B9E46BA}"/>
            </a:ext>
          </a:extLst>
        </xdr:cNvPr>
        <xdr:cNvSpPr txBox="1">
          <a:spLocks noChangeArrowheads="1"/>
        </xdr:cNvSpPr>
      </xdr:nvSpPr>
      <xdr:spPr bwMode="auto">
        <a:xfrm>
          <a:off x="4038600" y="15211425"/>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2070" name="Text Box 1190" hidden="1">
          <a:extLst>
            <a:ext uri="{FF2B5EF4-FFF2-40B4-BE49-F238E27FC236}">
              <a16:creationId xmlns:a16="http://schemas.microsoft.com/office/drawing/2014/main" id="{22CBB9E5-2F9E-4025-A4BC-9D9E7E2E4105}"/>
            </a:ext>
          </a:extLst>
        </xdr:cNvPr>
        <xdr:cNvSpPr txBox="1">
          <a:spLocks noChangeArrowheads="1"/>
        </xdr:cNvSpPr>
      </xdr:nvSpPr>
      <xdr:spPr bwMode="auto">
        <a:xfrm>
          <a:off x="4038600" y="15211425"/>
          <a:ext cx="1266825"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106</xdr:row>
      <xdr:rowOff>113070</xdr:rowOff>
    </xdr:from>
    <xdr:to>
      <xdr:col>20</xdr:col>
      <xdr:colOff>381000</xdr:colOff>
      <xdr:row>110</xdr:row>
      <xdr:rowOff>136061</xdr:rowOff>
    </xdr:to>
    <xdr:sp macro="" textlink="">
      <xdr:nvSpPr>
        <xdr:cNvPr id="252069" name="Text Box 1189" hidden="1">
          <a:extLst>
            <a:ext uri="{FF2B5EF4-FFF2-40B4-BE49-F238E27FC236}">
              <a16:creationId xmlns:a16="http://schemas.microsoft.com/office/drawing/2014/main" id="{F85BACF5-7DA0-4BAF-B758-C39589498CF2}"/>
            </a:ext>
          </a:extLst>
        </xdr:cNvPr>
        <xdr:cNvSpPr txBox="1">
          <a:spLocks noChangeArrowheads="1"/>
        </xdr:cNvSpPr>
      </xdr:nvSpPr>
      <xdr:spPr bwMode="auto">
        <a:xfrm>
          <a:off x="12525375" y="24945975"/>
          <a:ext cx="1400175"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231196</xdr:rowOff>
    </xdr:from>
    <xdr:to>
      <xdr:col>21</xdr:col>
      <xdr:colOff>419100</xdr:colOff>
      <xdr:row>32</xdr:row>
      <xdr:rowOff>154040</xdr:rowOff>
    </xdr:to>
    <xdr:sp macro="" textlink="">
      <xdr:nvSpPr>
        <xdr:cNvPr id="252068" name="Text Box 1188" hidden="1">
          <a:extLst>
            <a:ext uri="{FF2B5EF4-FFF2-40B4-BE49-F238E27FC236}">
              <a16:creationId xmlns:a16="http://schemas.microsoft.com/office/drawing/2014/main" id="{772D3347-81B3-4AEB-A86C-2A720FBA6C16}"/>
            </a:ext>
          </a:extLst>
        </xdr:cNvPr>
        <xdr:cNvSpPr txBox="1">
          <a:spLocks noChangeArrowheads="1"/>
        </xdr:cNvSpPr>
      </xdr:nvSpPr>
      <xdr:spPr bwMode="auto">
        <a:xfrm>
          <a:off x="13115925" y="7658100"/>
          <a:ext cx="1390650"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7118</xdr:rowOff>
    </xdr:from>
    <xdr:to>
      <xdr:col>13</xdr:col>
      <xdr:colOff>0</xdr:colOff>
      <xdr:row>88</xdr:row>
      <xdr:rowOff>74068</xdr:rowOff>
    </xdr:to>
    <xdr:sp macro="" textlink="">
      <xdr:nvSpPr>
        <xdr:cNvPr id="252067" name="Text Box 1187" hidden="1">
          <a:extLst>
            <a:ext uri="{FF2B5EF4-FFF2-40B4-BE49-F238E27FC236}">
              <a16:creationId xmlns:a16="http://schemas.microsoft.com/office/drawing/2014/main" id="{C4241641-7743-4F5C-9CCD-13D76D7C67CB}"/>
            </a:ext>
          </a:extLst>
        </xdr:cNvPr>
        <xdr:cNvSpPr txBox="1">
          <a:spLocks noChangeArrowheads="1"/>
        </xdr:cNvSpPr>
      </xdr:nvSpPr>
      <xdr:spPr bwMode="auto">
        <a:xfrm>
          <a:off x="8324850" y="20250150"/>
          <a:ext cx="13716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108</xdr:row>
      <xdr:rowOff>66621</xdr:rowOff>
    </xdr:from>
    <xdr:to>
      <xdr:col>21</xdr:col>
      <xdr:colOff>266700</xdr:colOff>
      <xdr:row>111</xdr:row>
      <xdr:rowOff>162995</xdr:rowOff>
    </xdr:to>
    <xdr:sp macro="" textlink="">
      <xdr:nvSpPr>
        <xdr:cNvPr id="252066" name="Text Box 1186" hidden="1">
          <a:extLst>
            <a:ext uri="{FF2B5EF4-FFF2-40B4-BE49-F238E27FC236}">
              <a16:creationId xmlns:a16="http://schemas.microsoft.com/office/drawing/2014/main" id="{3911940D-7527-41EF-B2AE-533A65AE47AF}"/>
            </a:ext>
          </a:extLst>
        </xdr:cNvPr>
        <xdr:cNvSpPr txBox="1">
          <a:spLocks noChangeArrowheads="1"/>
        </xdr:cNvSpPr>
      </xdr:nvSpPr>
      <xdr:spPr bwMode="auto">
        <a:xfrm>
          <a:off x="13077825" y="254317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313424</xdr:rowOff>
    </xdr:from>
    <xdr:to>
      <xdr:col>5</xdr:col>
      <xdr:colOff>0</xdr:colOff>
      <xdr:row>63</xdr:row>
      <xdr:rowOff>56767</xdr:rowOff>
    </xdr:to>
    <xdr:sp macro="" textlink="">
      <xdr:nvSpPr>
        <xdr:cNvPr id="252079" name="Text Box 175" hidden="1">
          <a:extLst>
            <a:ext uri="{FF2B5EF4-FFF2-40B4-BE49-F238E27FC236}">
              <a16:creationId xmlns:a16="http://schemas.microsoft.com/office/drawing/2014/main" id="{B317AF6B-AB28-405B-AB9E-DC2D27725253}"/>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313424</xdr:rowOff>
    </xdr:from>
    <xdr:to>
      <xdr:col>4</xdr:col>
      <xdr:colOff>800100</xdr:colOff>
      <xdr:row>56</xdr:row>
      <xdr:rowOff>313424</xdr:rowOff>
    </xdr:to>
    <xdr:sp macro="" textlink="">
      <xdr:nvSpPr>
        <xdr:cNvPr id="252078" name="Text Box 174" hidden="1">
          <a:extLst>
            <a:ext uri="{FF2B5EF4-FFF2-40B4-BE49-F238E27FC236}">
              <a16:creationId xmlns:a16="http://schemas.microsoft.com/office/drawing/2014/main" id="{73198BB2-144A-46FB-8C39-79C98FFD6DDD}"/>
            </a:ext>
          </a:extLst>
        </xdr:cNvPr>
        <xdr:cNvSpPr txBox="1">
          <a:spLocks noChangeArrowheads="1"/>
        </xdr:cNvSpPr>
      </xdr:nvSpPr>
      <xdr:spPr bwMode="auto">
        <a:xfrm>
          <a:off x="4038600" y="13754100"/>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313424</xdr:rowOff>
    </xdr:from>
    <xdr:to>
      <xdr:col>5</xdr:col>
      <xdr:colOff>0</xdr:colOff>
      <xdr:row>63</xdr:row>
      <xdr:rowOff>56767</xdr:rowOff>
    </xdr:to>
    <xdr:sp macro="" textlink="">
      <xdr:nvSpPr>
        <xdr:cNvPr id="252077" name="Text Box 173" hidden="1">
          <a:extLst>
            <a:ext uri="{FF2B5EF4-FFF2-40B4-BE49-F238E27FC236}">
              <a16:creationId xmlns:a16="http://schemas.microsoft.com/office/drawing/2014/main" id="{A27AFE38-3437-4BFD-B95C-6CA2542FC5CA}"/>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89</xdr:row>
      <xdr:rowOff>129408</xdr:rowOff>
    </xdr:from>
    <xdr:to>
      <xdr:col>20</xdr:col>
      <xdr:colOff>381000</xdr:colOff>
      <xdr:row>95</xdr:row>
      <xdr:rowOff>72561</xdr:rowOff>
    </xdr:to>
    <xdr:sp macro="" textlink="">
      <xdr:nvSpPr>
        <xdr:cNvPr id="252076" name="Text Box 172" hidden="1">
          <a:extLst>
            <a:ext uri="{FF2B5EF4-FFF2-40B4-BE49-F238E27FC236}">
              <a16:creationId xmlns:a16="http://schemas.microsoft.com/office/drawing/2014/main" id="{74AF9B0D-1D3E-4FC0-AC16-5320098F13EC}"/>
            </a:ext>
          </a:extLst>
        </xdr:cNvPr>
        <xdr:cNvSpPr txBox="1">
          <a:spLocks noChangeArrowheads="1"/>
        </xdr:cNvSpPr>
      </xdr:nvSpPr>
      <xdr:spPr bwMode="auto">
        <a:xfrm>
          <a:off x="12525375" y="21278850"/>
          <a:ext cx="14001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38100</xdr:rowOff>
    </xdr:from>
    <xdr:to>
      <xdr:col>21</xdr:col>
      <xdr:colOff>419100</xdr:colOff>
      <xdr:row>30</xdr:row>
      <xdr:rowOff>120900</xdr:rowOff>
    </xdr:to>
    <xdr:sp macro="" textlink="">
      <xdr:nvSpPr>
        <xdr:cNvPr id="252075" name="Text Box 171" hidden="1">
          <a:extLst>
            <a:ext uri="{FF2B5EF4-FFF2-40B4-BE49-F238E27FC236}">
              <a16:creationId xmlns:a16="http://schemas.microsoft.com/office/drawing/2014/main" id="{34B62A09-15C5-434E-B4AA-02E776BFFD35}"/>
            </a:ext>
          </a:extLst>
        </xdr:cNvPr>
        <xdr:cNvSpPr txBox="1">
          <a:spLocks noChangeArrowheads="1"/>
        </xdr:cNvSpPr>
      </xdr:nvSpPr>
      <xdr:spPr bwMode="auto">
        <a:xfrm>
          <a:off x="13115925" y="5876925"/>
          <a:ext cx="1390650" cy="1495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77</xdr:row>
      <xdr:rowOff>129052</xdr:rowOff>
    </xdr:from>
    <xdr:to>
      <xdr:col>13</xdr:col>
      <xdr:colOff>0</xdr:colOff>
      <xdr:row>81</xdr:row>
      <xdr:rowOff>188529</xdr:rowOff>
    </xdr:to>
    <xdr:sp macro="" textlink="">
      <xdr:nvSpPr>
        <xdr:cNvPr id="252074" name="Text Box 170" hidden="1">
          <a:extLst>
            <a:ext uri="{FF2B5EF4-FFF2-40B4-BE49-F238E27FC236}">
              <a16:creationId xmlns:a16="http://schemas.microsoft.com/office/drawing/2014/main" id="{6F0195D3-C642-4437-89BE-DC4E4C4C0272}"/>
            </a:ext>
          </a:extLst>
        </xdr:cNvPr>
        <xdr:cNvSpPr txBox="1">
          <a:spLocks noChangeArrowheads="1"/>
        </xdr:cNvSpPr>
      </xdr:nvSpPr>
      <xdr:spPr bwMode="auto">
        <a:xfrm>
          <a:off x="8324850" y="18888075"/>
          <a:ext cx="13716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91</xdr:row>
      <xdr:rowOff>189956</xdr:rowOff>
    </xdr:from>
    <xdr:to>
      <xdr:col>21</xdr:col>
      <xdr:colOff>266700</xdr:colOff>
      <xdr:row>96</xdr:row>
      <xdr:rowOff>38840</xdr:rowOff>
    </xdr:to>
    <xdr:sp macro="" textlink="">
      <xdr:nvSpPr>
        <xdr:cNvPr id="252073" name="Text Box 169" hidden="1">
          <a:extLst>
            <a:ext uri="{FF2B5EF4-FFF2-40B4-BE49-F238E27FC236}">
              <a16:creationId xmlns:a16="http://schemas.microsoft.com/office/drawing/2014/main" id="{80445609-5411-4278-B7C3-B7C2B212B897}"/>
            </a:ext>
          </a:extLst>
        </xdr:cNvPr>
        <xdr:cNvSpPr txBox="1">
          <a:spLocks noChangeArrowheads="1"/>
        </xdr:cNvSpPr>
      </xdr:nvSpPr>
      <xdr:spPr bwMode="auto">
        <a:xfrm>
          <a:off x="13077825" y="21745575"/>
          <a:ext cx="12763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95250</xdr:colOff>
      <xdr:row>10</xdr:row>
      <xdr:rowOff>152400</xdr:rowOff>
    </xdr:from>
    <xdr:to>
      <xdr:col>12</xdr:col>
      <xdr:colOff>361950</xdr:colOff>
      <xdr:row>14</xdr:row>
      <xdr:rowOff>152400</xdr:rowOff>
    </xdr:to>
    <xdr:sp macro="" textlink="">
      <xdr:nvSpPr>
        <xdr:cNvPr id="252084" name="Text Box 180" hidden="1">
          <a:extLst>
            <a:ext uri="{FF2B5EF4-FFF2-40B4-BE49-F238E27FC236}">
              <a16:creationId xmlns:a16="http://schemas.microsoft.com/office/drawing/2014/main" id="{098C99D5-88C7-4093-8D63-B0F6F920F530}"/>
            </a:ext>
          </a:extLst>
        </xdr:cNvPr>
        <xdr:cNvSpPr txBox="1">
          <a:spLocks noChangeArrowheads="1"/>
        </xdr:cNvSpPr>
      </xdr:nvSpPr>
      <xdr:spPr bwMode="auto">
        <a:xfrm>
          <a:off x="8305800" y="2724150"/>
          <a:ext cx="12573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79</xdr:row>
      <xdr:rowOff>133403</xdr:rowOff>
    </xdr:from>
    <xdr:to>
      <xdr:col>4</xdr:col>
      <xdr:colOff>133350</xdr:colOff>
      <xdr:row>83</xdr:row>
      <xdr:rowOff>161185</xdr:rowOff>
    </xdr:to>
    <xdr:sp macro="" textlink="">
      <xdr:nvSpPr>
        <xdr:cNvPr id="252086" name="Text Box 182" hidden="1">
          <a:extLst>
            <a:ext uri="{FF2B5EF4-FFF2-40B4-BE49-F238E27FC236}">
              <a16:creationId xmlns:a16="http://schemas.microsoft.com/office/drawing/2014/main" id="{5CE36323-38F8-4F09-8D0C-98FF0650FBB3}"/>
            </a:ext>
          </a:extLst>
        </xdr:cNvPr>
        <xdr:cNvSpPr txBox="1">
          <a:spLocks noChangeArrowheads="1"/>
        </xdr:cNvSpPr>
      </xdr:nvSpPr>
      <xdr:spPr bwMode="auto">
        <a:xfrm>
          <a:off x="3352800" y="19326225"/>
          <a:ext cx="12573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96</xdr:row>
      <xdr:rowOff>70590</xdr:rowOff>
    </xdr:from>
    <xdr:to>
      <xdr:col>4</xdr:col>
      <xdr:colOff>133350</xdr:colOff>
      <xdr:row>100</xdr:row>
      <xdr:rowOff>47820</xdr:rowOff>
    </xdr:to>
    <xdr:sp macro="" textlink="">
      <xdr:nvSpPr>
        <xdr:cNvPr id="252087" name="Text Box 183" hidden="1">
          <a:extLst>
            <a:ext uri="{FF2B5EF4-FFF2-40B4-BE49-F238E27FC236}">
              <a16:creationId xmlns:a16="http://schemas.microsoft.com/office/drawing/2014/main" id="{F226E613-9971-4656-A20C-BA011308C0E0}"/>
            </a:ext>
          </a:extLst>
        </xdr:cNvPr>
        <xdr:cNvSpPr txBox="1">
          <a:spLocks noChangeArrowheads="1"/>
        </xdr:cNvSpPr>
      </xdr:nvSpPr>
      <xdr:spPr bwMode="auto">
        <a:xfrm>
          <a:off x="3352800" y="22802850"/>
          <a:ext cx="125730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313424</xdr:rowOff>
    </xdr:from>
    <xdr:to>
      <xdr:col>5</xdr:col>
      <xdr:colOff>0</xdr:colOff>
      <xdr:row>63</xdr:row>
      <xdr:rowOff>56767</xdr:rowOff>
    </xdr:to>
    <xdr:sp macro="" textlink="">
      <xdr:nvSpPr>
        <xdr:cNvPr id="293898" name="Text Box 10" hidden="1">
          <a:extLst>
            <a:ext uri="{FF2B5EF4-FFF2-40B4-BE49-F238E27FC236}">
              <a16:creationId xmlns:a16="http://schemas.microsoft.com/office/drawing/2014/main" id="{E0512BDE-B27D-4003-BD6C-0D4D977B66CF}"/>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313424</xdr:rowOff>
    </xdr:from>
    <xdr:to>
      <xdr:col>4</xdr:col>
      <xdr:colOff>800100</xdr:colOff>
      <xdr:row>56</xdr:row>
      <xdr:rowOff>313424</xdr:rowOff>
    </xdr:to>
    <xdr:sp macro="" textlink="">
      <xdr:nvSpPr>
        <xdr:cNvPr id="293897" name="Text Box 9" hidden="1">
          <a:extLst>
            <a:ext uri="{FF2B5EF4-FFF2-40B4-BE49-F238E27FC236}">
              <a16:creationId xmlns:a16="http://schemas.microsoft.com/office/drawing/2014/main" id="{76A602A8-F02E-4B7D-A82E-C860BCE72439}"/>
            </a:ext>
          </a:extLst>
        </xdr:cNvPr>
        <xdr:cNvSpPr txBox="1">
          <a:spLocks noChangeArrowheads="1"/>
        </xdr:cNvSpPr>
      </xdr:nvSpPr>
      <xdr:spPr bwMode="auto">
        <a:xfrm>
          <a:off x="4038600" y="13754100"/>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313424</xdr:rowOff>
    </xdr:from>
    <xdr:to>
      <xdr:col>5</xdr:col>
      <xdr:colOff>0</xdr:colOff>
      <xdr:row>63</xdr:row>
      <xdr:rowOff>56767</xdr:rowOff>
    </xdr:to>
    <xdr:sp macro="" textlink="">
      <xdr:nvSpPr>
        <xdr:cNvPr id="293896" name="Text Box 8" hidden="1">
          <a:extLst>
            <a:ext uri="{FF2B5EF4-FFF2-40B4-BE49-F238E27FC236}">
              <a16:creationId xmlns:a16="http://schemas.microsoft.com/office/drawing/2014/main" id="{945EEC46-747C-43C6-B4D5-F96343CC99B8}"/>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89</xdr:row>
      <xdr:rowOff>129408</xdr:rowOff>
    </xdr:from>
    <xdr:to>
      <xdr:col>20</xdr:col>
      <xdr:colOff>381000</xdr:colOff>
      <xdr:row>95</xdr:row>
      <xdr:rowOff>72561</xdr:rowOff>
    </xdr:to>
    <xdr:sp macro="" textlink="">
      <xdr:nvSpPr>
        <xdr:cNvPr id="293895" name="Text Box 7" hidden="1">
          <a:extLst>
            <a:ext uri="{FF2B5EF4-FFF2-40B4-BE49-F238E27FC236}">
              <a16:creationId xmlns:a16="http://schemas.microsoft.com/office/drawing/2014/main" id="{4BFBC3AF-C8D0-491D-895C-F4FD2E0F5ABE}"/>
            </a:ext>
          </a:extLst>
        </xdr:cNvPr>
        <xdr:cNvSpPr txBox="1">
          <a:spLocks noChangeArrowheads="1"/>
        </xdr:cNvSpPr>
      </xdr:nvSpPr>
      <xdr:spPr bwMode="auto">
        <a:xfrm>
          <a:off x="12525375" y="21278850"/>
          <a:ext cx="14001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38100</xdr:rowOff>
    </xdr:from>
    <xdr:to>
      <xdr:col>21</xdr:col>
      <xdr:colOff>419100</xdr:colOff>
      <xdr:row>30</xdr:row>
      <xdr:rowOff>120900</xdr:rowOff>
    </xdr:to>
    <xdr:sp macro="" textlink="">
      <xdr:nvSpPr>
        <xdr:cNvPr id="293894" name="Text Box 6" hidden="1">
          <a:extLst>
            <a:ext uri="{FF2B5EF4-FFF2-40B4-BE49-F238E27FC236}">
              <a16:creationId xmlns:a16="http://schemas.microsoft.com/office/drawing/2014/main" id="{23270087-C0ED-42DB-97D1-B54C954DAA7D}"/>
            </a:ext>
          </a:extLst>
        </xdr:cNvPr>
        <xdr:cNvSpPr txBox="1">
          <a:spLocks noChangeArrowheads="1"/>
        </xdr:cNvSpPr>
      </xdr:nvSpPr>
      <xdr:spPr bwMode="auto">
        <a:xfrm>
          <a:off x="13115925" y="5876925"/>
          <a:ext cx="1390650" cy="1495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77</xdr:row>
      <xdr:rowOff>129052</xdr:rowOff>
    </xdr:from>
    <xdr:to>
      <xdr:col>13</xdr:col>
      <xdr:colOff>0</xdr:colOff>
      <xdr:row>81</xdr:row>
      <xdr:rowOff>188529</xdr:rowOff>
    </xdr:to>
    <xdr:sp macro="" textlink="">
      <xdr:nvSpPr>
        <xdr:cNvPr id="293893" name="Text Box 5" hidden="1">
          <a:extLst>
            <a:ext uri="{FF2B5EF4-FFF2-40B4-BE49-F238E27FC236}">
              <a16:creationId xmlns:a16="http://schemas.microsoft.com/office/drawing/2014/main" id="{DD4CF83D-6C63-4158-8AF2-EB7363DC65B1}"/>
            </a:ext>
          </a:extLst>
        </xdr:cNvPr>
        <xdr:cNvSpPr txBox="1">
          <a:spLocks noChangeArrowheads="1"/>
        </xdr:cNvSpPr>
      </xdr:nvSpPr>
      <xdr:spPr bwMode="auto">
        <a:xfrm>
          <a:off x="8324850" y="18888075"/>
          <a:ext cx="13716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91</xdr:row>
      <xdr:rowOff>189956</xdr:rowOff>
    </xdr:from>
    <xdr:to>
      <xdr:col>21</xdr:col>
      <xdr:colOff>266700</xdr:colOff>
      <xdr:row>96</xdr:row>
      <xdr:rowOff>38840</xdr:rowOff>
    </xdr:to>
    <xdr:sp macro="" textlink="">
      <xdr:nvSpPr>
        <xdr:cNvPr id="293892" name="Text Box 4" hidden="1">
          <a:extLst>
            <a:ext uri="{FF2B5EF4-FFF2-40B4-BE49-F238E27FC236}">
              <a16:creationId xmlns:a16="http://schemas.microsoft.com/office/drawing/2014/main" id="{460E213B-E6D5-466E-842C-68B8FD561918}"/>
            </a:ext>
          </a:extLst>
        </xdr:cNvPr>
        <xdr:cNvSpPr txBox="1">
          <a:spLocks noChangeArrowheads="1"/>
        </xdr:cNvSpPr>
      </xdr:nvSpPr>
      <xdr:spPr bwMode="auto">
        <a:xfrm>
          <a:off x="13077825" y="21745575"/>
          <a:ext cx="12763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95250</xdr:colOff>
      <xdr:row>10</xdr:row>
      <xdr:rowOff>152400</xdr:rowOff>
    </xdr:from>
    <xdr:to>
      <xdr:col>12</xdr:col>
      <xdr:colOff>361950</xdr:colOff>
      <xdr:row>14</xdr:row>
      <xdr:rowOff>152400</xdr:rowOff>
    </xdr:to>
    <xdr:sp macro="" textlink="">
      <xdr:nvSpPr>
        <xdr:cNvPr id="293891" name="Text Box 3" hidden="1">
          <a:extLst>
            <a:ext uri="{FF2B5EF4-FFF2-40B4-BE49-F238E27FC236}">
              <a16:creationId xmlns:a16="http://schemas.microsoft.com/office/drawing/2014/main" id="{DB7B5F7B-73D5-4B5E-A4CF-572E21432B74}"/>
            </a:ext>
          </a:extLst>
        </xdr:cNvPr>
        <xdr:cNvSpPr txBox="1">
          <a:spLocks noChangeArrowheads="1"/>
        </xdr:cNvSpPr>
      </xdr:nvSpPr>
      <xdr:spPr bwMode="auto">
        <a:xfrm>
          <a:off x="8305800" y="2724150"/>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79</xdr:row>
      <xdr:rowOff>133403</xdr:rowOff>
    </xdr:from>
    <xdr:to>
      <xdr:col>4</xdr:col>
      <xdr:colOff>133350</xdr:colOff>
      <xdr:row>83</xdr:row>
      <xdr:rowOff>161185</xdr:rowOff>
    </xdr:to>
    <xdr:sp macro="" textlink="">
      <xdr:nvSpPr>
        <xdr:cNvPr id="293890" name="Text Box 2" hidden="1">
          <a:extLst>
            <a:ext uri="{FF2B5EF4-FFF2-40B4-BE49-F238E27FC236}">
              <a16:creationId xmlns:a16="http://schemas.microsoft.com/office/drawing/2014/main" id="{C559AF24-FEFF-4607-99C7-236F5938B8A7}"/>
            </a:ext>
          </a:extLst>
        </xdr:cNvPr>
        <xdr:cNvSpPr txBox="1">
          <a:spLocks noChangeArrowheads="1"/>
        </xdr:cNvSpPr>
      </xdr:nvSpPr>
      <xdr:spPr bwMode="auto">
        <a:xfrm>
          <a:off x="3352800" y="19326225"/>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96</xdr:row>
      <xdr:rowOff>70590</xdr:rowOff>
    </xdr:from>
    <xdr:to>
      <xdr:col>4</xdr:col>
      <xdr:colOff>133350</xdr:colOff>
      <xdr:row>100</xdr:row>
      <xdr:rowOff>47820</xdr:rowOff>
    </xdr:to>
    <xdr:sp macro="" textlink="">
      <xdr:nvSpPr>
        <xdr:cNvPr id="293889" name="Text Box 1" hidden="1">
          <a:extLst>
            <a:ext uri="{FF2B5EF4-FFF2-40B4-BE49-F238E27FC236}">
              <a16:creationId xmlns:a16="http://schemas.microsoft.com/office/drawing/2014/main" id="{C6A1FBF9-DEFD-45A9-8A8C-63C78447F6EB}"/>
            </a:ext>
          </a:extLst>
        </xdr:cNvPr>
        <xdr:cNvSpPr txBox="1">
          <a:spLocks noChangeArrowheads="1"/>
        </xdr:cNvSpPr>
      </xdr:nvSpPr>
      <xdr:spPr bwMode="auto">
        <a:xfrm>
          <a:off x="3352800" y="22802850"/>
          <a:ext cx="12573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313424</xdr:rowOff>
    </xdr:from>
    <xdr:to>
      <xdr:col>5</xdr:col>
      <xdr:colOff>0</xdr:colOff>
      <xdr:row>63</xdr:row>
      <xdr:rowOff>56767</xdr:rowOff>
    </xdr:to>
    <xdr:sp macro="" textlink="">
      <xdr:nvSpPr>
        <xdr:cNvPr id="293908" name="Text Box 20" hidden="1">
          <a:extLst>
            <a:ext uri="{FF2B5EF4-FFF2-40B4-BE49-F238E27FC236}">
              <a16:creationId xmlns:a16="http://schemas.microsoft.com/office/drawing/2014/main" id="{9A22CBFF-6911-45D6-B6F2-CF7180014863}"/>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313424</xdr:rowOff>
    </xdr:from>
    <xdr:to>
      <xdr:col>4</xdr:col>
      <xdr:colOff>800100</xdr:colOff>
      <xdr:row>56</xdr:row>
      <xdr:rowOff>313424</xdr:rowOff>
    </xdr:to>
    <xdr:sp macro="" textlink="">
      <xdr:nvSpPr>
        <xdr:cNvPr id="293907" name="Text Box 19" hidden="1">
          <a:extLst>
            <a:ext uri="{FF2B5EF4-FFF2-40B4-BE49-F238E27FC236}">
              <a16:creationId xmlns:a16="http://schemas.microsoft.com/office/drawing/2014/main" id="{FE833D99-F3A8-431D-AFAB-091F895F8C0F}"/>
            </a:ext>
          </a:extLst>
        </xdr:cNvPr>
        <xdr:cNvSpPr txBox="1">
          <a:spLocks noChangeArrowheads="1"/>
        </xdr:cNvSpPr>
      </xdr:nvSpPr>
      <xdr:spPr bwMode="auto">
        <a:xfrm>
          <a:off x="4038600" y="13754100"/>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313424</xdr:rowOff>
    </xdr:from>
    <xdr:to>
      <xdr:col>5</xdr:col>
      <xdr:colOff>0</xdr:colOff>
      <xdr:row>63</xdr:row>
      <xdr:rowOff>56767</xdr:rowOff>
    </xdr:to>
    <xdr:sp macro="" textlink="">
      <xdr:nvSpPr>
        <xdr:cNvPr id="293906" name="Text Box 18" hidden="1">
          <a:extLst>
            <a:ext uri="{FF2B5EF4-FFF2-40B4-BE49-F238E27FC236}">
              <a16:creationId xmlns:a16="http://schemas.microsoft.com/office/drawing/2014/main" id="{7167697A-213C-4FC5-8E7E-A593E6E0DCEE}"/>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89</xdr:row>
      <xdr:rowOff>129408</xdr:rowOff>
    </xdr:from>
    <xdr:to>
      <xdr:col>20</xdr:col>
      <xdr:colOff>381000</xdr:colOff>
      <xdr:row>95</xdr:row>
      <xdr:rowOff>72561</xdr:rowOff>
    </xdr:to>
    <xdr:sp macro="" textlink="">
      <xdr:nvSpPr>
        <xdr:cNvPr id="293905" name="Text Box 17" hidden="1">
          <a:extLst>
            <a:ext uri="{FF2B5EF4-FFF2-40B4-BE49-F238E27FC236}">
              <a16:creationId xmlns:a16="http://schemas.microsoft.com/office/drawing/2014/main" id="{DBD9EB33-023C-426C-AE7A-CA4A9D3A81B7}"/>
            </a:ext>
          </a:extLst>
        </xdr:cNvPr>
        <xdr:cNvSpPr txBox="1">
          <a:spLocks noChangeArrowheads="1"/>
        </xdr:cNvSpPr>
      </xdr:nvSpPr>
      <xdr:spPr bwMode="auto">
        <a:xfrm>
          <a:off x="12525375" y="21278850"/>
          <a:ext cx="14001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38100</xdr:rowOff>
    </xdr:from>
    <xdr:to>
      <xdr:col>21</xdr:col>
      <xdr:colOff>419100</xdr:colOff>
      <xdr:row>30</xdr:row>
      <xdr:rowOff>120900</xdr:rowOff>
    </xdr:to>
    <xdr:sp macro="" textlink="">
      <xdr:nvSpPr>
        <xdr:cNvPr id="293904" name="Text Box 16" hidden="1">
          <a:extLst>
            <a:ext uri="{FF2B5EF4-FFF2-40B4-BE49-F238E27FC236}">
              <a16:creationId xmlns:a16="http://schemas.microsoft.com/office/drawing/2014/main" id="{773F0D6C-6EAB-46C3-A076-FFEFF612EFB3}"/>
            </a:ext>
          </a:extLst>
        </xdr:cNvPr>
        <xdr:cNvSpPr txBox="1">
          <a:spLocks noChangeArrowheads="1"/>
        </xdr:cNvSpPr>
      </xdr:nvSpPr>
      <xdr:spPr bwMode="auto">
        <a:xfrm>
          <a:off x="13115925" y="5876925"/>
          <a:ext cx="1390650" cy="1495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77</xdr:row>
      <xdr:rowOff>129052</xdr:rowOff>
    </xdr:from>
    <xdr:to>
      <xdr:col>13</xdr:col>
      <xdr:colOff>0</xdr:colOff>
      <xdr:row>81</xdr:row>
      <xdr:rowOff>188529</xdr:rowOff>
    </xdr:to>
    <xdr:sp macro="" textlink="">
      <xdr:nvSpPr>
        <xdr:cNvPr id="293903" name="Text Box 15" hidden="1">
          <a:extLst>
            <a:ext uri="{FF2B5EF4-FFF2-40B4-BE49-F238E27FC236}">
              <a16:creationId xmlns:a16="http://schemas.microsoft.com/office/drawing/2014/main" id="{54EEE69D-FD9D-4DC1-95C3-6338D5AD6D77}"/>
            </a:ext>
          </a:extLst>
        </xdr:cNvPr>
        <xdr:cNvSpPr txBox="1">
          <a:spLocks noChangeArrowheads="1"/>
        </xdr:cNvSpPr>
      </xdr:nvSpPr>
      <xdr:spPr bwMode="auto">
        <a:xfrm>
          <a:off x="8324850" y="18888075"/>
          <a:ext cx="13716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91</xdr:row>
      <xdr:rowOff>189956</xdr:rowOff>
    </xdr:from>
    <xdr:to>
      <xdr:col>21</xdr:col>
      <xdr:colOff>266700</xdr:colOff>
      <xdr:row>96</xdr:row>
      <xdr:rowOff>38840</xdr:rowOff>
    </xdr:to>
    <xdr:sp macro="" textlink="">
      <xdr:nvSpPr>
        <xdr:cNvPr id="293902" name="Text Box 14" hidden="1">
          <a:extLst>
            <a:ext uri="{FF2B5EF4-FFF2-40B4-BE49-F238E27FC236}">
              <a16:creationId xmlns:a16="http://schemas.microsoft.com/office/drawing/2014/main" id="{F7AE9D25-33AB-4B08-B99B-754E426F6B9E}"/>
            </a:ext>
          </a:extLst>
        </xdr:cNvPr>
        <xdr:cNvSpPr txBox="1">
          <a:spLocks noChangeArrowheads="1"/>
        </xdr:cNvSpPr>
      </xdr:nvSpPr>
      <xdr:spPr bwMode="auto">
        <a:xfrm>
          <a:off x="13077825" y="21745575"/>
          <a:ext cx="12763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95250</xdr:colOff>
      <xdr:row>10</xdr:row>
      <xdr:rowOff>152400</xdr:rowOff>
    </xdr:from>
    <xdr:to>
      <xdr:col>12</xdr:col>
      <xdr:colOff>361950</xdr:colOff>
      <xdr:row>14</xdr:row>
      <xdr:rowOff>152400</xdr:rowOff>
    </xdr:to>
    <xdr:sp macro="" textlink="">
      <xdr:nvSpPr>
        <xdr:cNvPr id="293901" name="Text Box 13" hidden="1">
          <a:extLst>
            <a:ext uri="{FF2B5EF4-FFF2-40B4-BE49-F238E27FC236}">
              <a16:creationId xmlns:a16="http://schemas.microsoft.com/office/drawing/2014/main" id="{C7FA5DC9-9DC5-46CB-A873-0EEB4CBEC103}"/>
            </a:ext>
          </a:extLst>
        </xdr:cNvPr>
        <xdr:cNvSpPr txBox="1">
          <a:spLocks noChangeArrowheads="1"/>
        </xdr:cNvSpPr>
      </xdr:nvSpPr>
      <xdr:spPr bwMode="auto">
        <a:xfrm>
          <a:off x="8305800" y="2724150"/>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79</xdr:row>
      <xdr:rowOff>133403</xdr:rowOff>
    </xdr:from>
    <xdr:to>
      <xdr:col>4</xdr:col>
      <xdr:colOff>133350</xdr:colOff>
      <xdr:row>83</xdr:row>
      <xdr:rowOff>161185</xdr:rowOff>
    </xdr:to>
    <xdr:sp macro="" textlink="">
      <xdr:nvSpPr>
        <xdr:cNvPr id="293900" name="Text Box 12" hidden="1">
          <a:extLst>
            <a:ext uri="{FF2B5EF4-FFF2-40B4-BE49-F238E27FC236}">
              <a16:creationId xmlns:a16="http://schemas.microsoft.com/office/drawing/2014/main" id="{A870F692-4263-41B1-8A35-550F35C8A241}"/>
            </a:ext>
          </a:extLst>
        </xdr:cNvPr>
        <xdr:cNvSpPr txBox="1">
          <a:spLocks noChangeArrowheads="1"/>
        </xdr:cNvSpPr>
      </xdr:nvSpPr>
      <xdr:spPr bwMode="auto">
        <a:xfrm>
          <a:off x="3352800" y="19326225"/>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96</xdr:row>
      <xdr:rowOff>70590</xdr:rowOff>
    </xdr:from>
    <xdr:to>
      <xdr:col>4</xdr:col>
      <xdr:colOff>133350</xdr:colOff>
      <xdr:row>100</xdr:row>
      <xdr:rowOff>47820</xdr:rowOff>
    </xdr:to>
    <xdr:sp macro="" textlink="">
      <xdr:nvSpPr>
        <xdr:cNvPr id="293899" name="Text Box 11" hidden="1">
          <a:extLst>
            <a:ext uri="{FF2B5EF4-FFF2-40B4-BE49-F238E27FC236}">
              <a16:creationId xmlns:a16="http://schemas.microsoft.com/office/drawing/2014/main" id="{BD907220-6F42-4A24-9F6B-B304CDE65EE0}"/>
            </a:ext>
          </a:extLst>
        </xdr:cNvPr>
        <xdr:cNvSpPr txBox="1">
          <a:spLocks noChangeArrowheads="1"/>
        </xdr:cNvSpPr>
      </xdr:nvSpPr>
      <xdr:spPr bwMode="auto">
        <a:xfrm>
          <a:off x="3352800" y="22802850"/>
          <a:ext cx="12573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313424</xdr:rowOff>
    </xdr:from>
    <xdr:to>
      <xdr:col>5</xdr:col>
      <xdr:colOff>0</xdr:colOff>
      <xdr:row>63</xdr:row>
      <xdr:rowOff>56767</xdr:rowOff>
    </xdr:to>
    <xdr:sp macro="" textlink="">
      <xdr:nvSpPr>
        <xdr:cNvPr id="293918" name="Text Box 30" hidden="1">
          <a:extLst>
            <a:ext uri="{FF2B5EF4-FFF2-40B4-BE49-F238E27FC236}">
              <a16:creationId xmlns:a16="http://schemas.microsoft.com/office/drawing/2014/main" id="{B2E1EA6C-0375-463A-BA05-D54B5FC3862C}"/>
            </a:ext>
          </a:extLst>
        </xdr:cNvPr>
        <xdr:cNvSpPr txBox="1">
          <a:spLocks noChangeArrowheads="1"/>
        </xdr:cNvSpPr>
      </xdr:nvSpPr>
      <xdr:spPr bwMode="auto">
        <a:xfrm>
          <a:off x="4222750" y="13608050"/>
          <a:ext cx="1346200" cy="132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313424</xdr:rowOff>
    </xdr:from>
    <xdr:to>
      <xdr:col>4</xdr:col>
      <xdr:colOff>800100</xdr:colOff>
      <xdr:row>56</xdr:row>
      <xdr:rowOff>313424</xdr:rowOff>
    </xdr:to>
    <xdr:sp macro="" textlink="">
      <xdr:nvSpPr>
        <xdr:cNvPr id="293917" name="Text Box 29" hidden="1">
          <a:extLst>
            <a:ext uri="{FF2B5EF4-FFF2-40B4-BE49-F238E27FC236}">
              <a16:creationId xmlns:a16="http://schemas.microsoft.com/office/drawing/2014/main" id="{8801CE6A-F259-4898-A62D-2DC4E7A4316C}"/>
            </a:ext>
          </a:extLst>
        </xdr:cNvPr>
        <xdr:cNvSpPr txBox="1">
          <a:spLocks noChangeArrowheads="1"/>
        </xdr:cNvSpPr>
      </xdr:nvSpPr>
      <xdr:spPr bwMode="auto">
        <a:xfrm>
          <a:off x="4222750" y="13608050"/>
          <a:ext cx="12763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313424</xdr:rowOff>
    </xdr:from>
    <xdr:to>
      <xdr:col>5</xdr:col>
      <xdr:colOff>0</xdr:colOff>
      <xdr:row>63</xdr:row>
      <xdr:rowOff>56767</xdr:rowOff>
    </xdr:to>
    <xdr:sp macro="" textlink="">
      <xdr:nvSpPr>
        <xdr:cNvPr id="293916" name="Text Box 28" hidden="1">
          <a:extLst>
            <a:ext uri="{FF2B5EF4-FFF2-40B4-BE49-F238E27FC236}">
              <a16:creationId xmlns:a16="http://schemas.microsoft.com/office/drawing/2014/main" id="{6312F2BE-F356-4382-B40C-9E512E8986AB}"/>
            </a:ext>
          </a:extLst>
        </xdr:cNvPr>
        <xdr:cNvSpPr txBox="1">
          <a:spLocks noChangeArrowheads="1"/>
        </xdr:cNvSpPr>
      </xdr:nvSpPr>
      <xdr:spPr bwMode="auto">
        <a:xfrm>
          <a:off x="4222750" y="13608050"/>
          <a:ext cx="1346200" cy="132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89</xdr:row>
      <xdr:rowOff>129408</xdr:rowOff>
    </xdr:from>
    <xdr:to>
      <xdr:col>20</xdr:col>
      <xdr:colOff>381000</xdr:colOff>
      <xdr:row>95</xdr:row>
      <xdr:rowOff>72561</xdr:rowOff>
    </xdr:to>
    <xdr:sp macro="" textlink="">
      <xdr:nvSpPr>
        <xdr:cNvPr id="293915" name="Text Box 27" hidden="1">
          <a:extLst>
            <a:ext uri="{FF2B5EF4-FFF2-40B4-BE49-F238E27FC236}">
              <a16:creationId xmlns:a16="http://schemas.microsoft.com/office/drawing/2014/main" id="{606E5DAA-DF8D-4557-B462-96985283BBF8}"/>
            </a:ext>
          </a:extLst>
        </xdr:cNvPr>
        <xdr:cNvSpPr txBox="1">
          <a:spLocks noChangeArrowheads="1"/>
        </xdr:cNvSpPr>
      </xdr:nvSpPr>
      <xdr:spPr bwMode="auto">
        <a:xfrm>
          <a:off x="13157200" y="21050250"/>
          <a:ext cx="1454150" cy="132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38100</xdr:rowOff>
    </xdr:from>
    <xdr:to>
      <xdr:col>21</xdr:col>
      <xdr:colOff>419100</xdr:colOff>
      <xdr:row>30</xdr:row>
      <xdr:rowOff>120900</xdr:rowOff>
    </xdr:to>
    <xdr:sp macro="" textlink="">
      <xdr:nvSpPr>
        <xdr:cNvPr id="293914" name="Text Box 26" hidden="1">
          <a:extLst>
            <a:ext uri="{FF2B5EF4-FFF2-40B4-BE49-F238E27FC236}">
              <a16:creationId xmlns:a16="http://schemas.microsoft.com/office/drawing/2014/main" id="{884887B6-232C-4031-A623-49A23BF28F6D}"/>
            </a:ext>
          </a:extLst>
        </xdr:cNvPr>
        <xdr:cNvSpPr txBox="1">
          <a:spLocks noChangeArrowheads="1"/>
        </xdr:cNvSpPr>
      </xdr:nvSpPr>
      <xdr:spPr bwMode="auto">
        <a:xfrm>
          <a:off x="13773150" y="5835650"/>
          <a:ext cx="1447800" cy="1473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77</xdr:row>
      <xdr:rowOff>129052</xdr:rowOff>
    </xdr:from>
    <xdr:to>
      <xdr:col>13</xdr:col>
      <xdr:colOff>0</xdr:colOff>
      <xdr:row>81</xdr:row>
      <xdr:rowOff>188529</xdr:rowOff>
    </xdr:to>
    <xdr:sp macro="" textlink="">
      <xdr:nvSpPr>
        <xdr:cNvPr id="293913" name="Text Box 25" hidden="1">
          <a:extLst>
            <a:ext uri="{FF2B5EF4-FFF2-40B4-BE49-F238E27FC236}">
              <a16:creationId xmlns:a16="http://schemas.microsoft.com/office/drawing/2014/main" id="{6FA5BD45-CED1-4A00-AD86-DD02A8F62B8C}"/>
            </a:ext>
          </a:extLst>
        </xdr:cNvPr>
        <xdr:cNvSpPr txBox="1">
          <a:spLocks noChangeArrowheads="1"/>
        </xdr:cNvSpPr>
      </xdr:nvSpPr>
      <xdr:spPr bwMode="auto">
        <a:xfrm>
          <a:off x="8737600" y="18681700"/>
          <a:ext cx="144780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91</xdr:row>
      <xdr:rowOff>189956</xdr:rowOff>
    </xdr:from>
    <xdr:to>
      <xdr:col>21</xdr:col>
      <xdr:colOff>266700</xdr:colOff>
      <xdr:row>96</xdr:row>
      <xdr:rowOff>38840</xdr:rowOff>
    </xdr:to>
    <xdr:sp macro="" textlink="">
      <xdr:nvSpPr>
        <xdr:cNvPr id="293912" name="Text Box 24" hidden="1">
          <a:extLst>
            <a:ext uri="{FF2B5EF4-FFF2-40B4-BE49-F238E27FC236}">
              <a16:creationId xmlns:a16="http://schemas.microsoft.com/office/drawing/2014/main" id="{D4ACAA66-78EF-4D39-815D-EED2DD3665F4}"/>
            </a:ext>
          </a:extLst>
        </xdr:cNvPr>
        <xdr:cNvSpPr txBox="1">
          <a:spLocks noChangeArrowheads="1"/>
        </xdr:cNvSpPr>
      </xdr:nvSpPr>
      <xdr:spPr bwMode="auto">
        <a:xfrm>
          <a:off x="13735050" y="21501100"/>
          <a:ext cx="1333500" cy="1016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95250</xdr:colOff>
      <xdr:row>10</xdr:row>
      <xdr:rowOff>152400</xdr:rowOff>
    </xdr:from>
    <xdr:to>
      <xdr:col>12</xdr:col>
      <xdr:colOff>361950</xdr:colOff>
      <xdr:row>14</xdr:row>
      <xdr:rowOff>152400</xdr:rowOff>
    </xdr:to>
    <xdr:sp macro="" textlink="">
      <xdr:nvSpPr>
        <xdr:cNvPr id="293911" name="Text Box 23" hidden="1">
          <a:extLst>
            <a:ext uri="{FF2B5EF4-FFF2-40B4-BE49-F238E27FC236}">
              <a16:creationId xmlns:a16="http://schemas.microsoft.com/office/drawing/2014/main" id="{8870F2A7-9904-4ED1-8516-AA6531CFBAAD}"/>
            </a:ext>
          </a:extLst>
        </xdr:cNvPr>
        <xdr:cNvSpPr txBox="1">
          <a:spLocks noChangeArrowheads="1"/>
        </xdr:cNvSpPr>
      </xdr:nvSpPr>
      <xdr:spPr bwMode="auto">
        <a:xfrm>
          <a:off x="871855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79</xdr:row>
      <xdr:rowOff>133403</xdr:rowOff>
    </xdr:from>
    <xdr:to>
      <xdr:col>4</xdr:col>
      <xdr:colOff>133350</xdr:colOff>
      <xdr:row>83</xdr:row>
      <xdr:rowOff>161185</xdr:rowOff>
    </xdr:to>
    <xdr:sp macro="" textlink="">
      <xdr:nvSpPr>
        <xdr:cNvPr id="293910" name="Text Box 22" hidden="1">
          <a:extLst>
            <a:ext uri="{FF2B5EF4-FFF2-40B4-BE49-F238E27FC236}">
              <a16:creationId xmlns:a16="http://schemas.microsoft.com/office/drawing/2014/main" id="{6260F265-9379-49E2-BAF0-F2ED08F458DB}"/>
            </a:ext>
          </a:extLst>
        </xdr:cNvPr>
        <xdr:cNvSpPr txBox="1">
          <a:spLocks noChangeArrowheads="1"/>
        </xdr:cNvSpPr>
      </xdr:nvSpPr>
      <xdr:spPr bwMode="auto">
        <a:xfrm>
          <a:off x="3511550" y="19107150"/>
          <a:ext cx="13208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96</xdr:row>
      <xdr:rowOff>70590</xdr:rowOff>
    </xdr:from>
    <xdr:to>
      <xdr:col>4</xdr:col>
      <xdr:colOff>133350</xdr:colOff>
      <xdr:row>100</xdr:row>
      <xdr:rowOff>47820</xdr:rowOff>
    </xdr:to>
    <xdr:sp macro="" textlink="">
      <xdr:nvSpPr>
        <xdr:cNvPr id="293909" name="Text Box 21" hidden="1">
          <a:extLst>
            <a:ext uri="{FF2B5EF4-FFF2-40B4-BE49-F238E27FC236}">
              <a16:creationId xmlns:a16="http://schemas.microsoft.com/office/drawing/2014/main" id="{AAB2EA4F-E386-4D01-982E-EC5155D176D8}"/>
            </a:ext>
          </a:extLst>
        </xdr:cNvPr>
        <xdr:cNvSpPr txBox="1">
          <a:spLocks noChangeArrowheads="1"/>
        </xdr:cNvSpPr>
      </xdr:nvSpPr>
      <xdr:spPr bwMode="auto">
        <a:xfrm>
          <a:off x="3511550" y="22555200"/>
          <a:ext cx="13208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313424</xdr:rowOff>
    </xdr:from>
    <xdr:to>
      <xdr:col>5</xdr:col>
      <xdr:colOff>0</xdr:colOff>
      <xdr:row>63</xdr:row>
      <xdr:rowOff>37717</xdr:rowOff>
    </xdr:to>
    <xdr:sp macro="" textlink="">
      <xdr:nvSpPr>
        <xdr:cNvPr id="293928" name="Text Box 40" hidden="1">
          <a:extLst>
            <a:ext uri="{FF2B5EF4-FFF2-40B4-BE49-F238E27FC236}">
              <a16:creationId xmlns:a16="http://schemas.microsoft.com/office/drawing/2014/main" id="{6A9F0DBB-4C56-48C3-ABCF-464DD54B0B77}"/>
            </a:ext>
          </a:extLst>
        </xdr:cNvPr>
        <xdr:cNvSpPr txBox="1">
          <a:spLocks noChangeArrowheads="1"/>
        </xdr:cNvSpPr>
      </xdr:nvSpPr>
      <xdr:spPr bwMode="auto">
        <a:xfrm>
          <a:off x="4222750" y="13608050"/>
          <a:ext cx="134620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313424</xdr:rowOff>
    </xdr:from>
    <xdr:to>
      <xdr:col>4</xdr:col>
      <xdr:colOff>800100</xdr:colOff>
      <xdr:row>56</xdr:row>
      <xdr:rowOff>313424</xdr:rowOff>
    </xdr:to>
    <xdr:sp macro="" textlink="">
      <xdr:nvSpPr>
        <xdr:cNvPr id="293927" name="Text Box 39" hidden="1">
          <a:extLst>
            <a:ext uri="{FF2B5EF4-FFF2-40B4-BE49-F238E27FC236}">
              <a16:creationId xmlns:a16="http://schemas.microsoft.com/office/drawing/2014/main" id="{F8434335-8BD3-4D5E-A177-655A820DECAD}"/>
            </a:ext>
          </a:extLst>
        </xdr:cNvPr>
        <xdr:cNvSpPr txBox="1">
          <a:spLocks noChangeArrowheads="1"/>
        </xdr:cNvSpPr>
      </xdr:nvSpPr>
      <xdr:spPr bwMode="auto">
        <a:xfrm>
          <a:off x="4222750" y="13608050"/>
          <a:ext cx="12763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313424</xdr:rowOff>
    </xdr:from>
    <xdr:to>
      <xdr:col>5</xdr:col>
      <xdr:colOff>0</xdr:colOff>
      <xdr:row>63</xdr:row>
      <xdr:rowOff>37717</xdr:rowOff>
    </xdr:to>
    <xdr:sp macro="" textlink="">
      <xdr:nvSpPr>
        <xdr:cNvPr id="293926" name="Text Box 38" hidden="1">
          <a:extLst>
            <a:ext uri="{FF2B5EF4-FFF2-40B4-BE49-F238E27FC236}">
              <a16:creationId xmlns:a16="http://schemas.microsoft.com/office/drawing/2014/main" id="{F7A2B2FF-6DAE-41B3-960A-647E8CE0E6D1}"/>
            </a:ext>
          </a:extLst>
        </xdr:cNvPr>
        <xdr:cNvSpPr txBox="1">
          <a:spLocks noChangeArrowheads="1"/>
        </xdr:cNvSpPr>
      </xdr:nvSpPr>
      <xdr:spPr bwMode="auto">
        <a:xfrm>
          <a:off x="4222750" y="13608050"/>
          <a:ext cx="134620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89</xdr:row>
      <xdr:rowOff>129408</xdr:rowOff>
    </xdr:from>
    <xdr:to>
      <xdr:col>20</xdr:col>
      <xdr:colOff>381000</xdr:colOff>
      <xdr:row>95</xdr:row>
      <xdr:rowOff>72561</xdr:rowOff>
    </xdr:to>
    <xdr:sp macro="" textlink="">
      <xdr:nvSpPr>
        <xdr:cNvPr id="293925" name="Text Box 37" hidden="1">
          <a:extLst>
            <a:ext uri="{FF2B5EF4-FFF2-40B4-BE49-F238E27FC236}">
              <a16:creationId xmlns:a16="http://schemas.microsoft.com/office/drawing/2014/main" id="{948A30CE-1213-4705-BC4B-36387289EF7D}"/>
            </a:ext>
          </a:extLst>
        </xdr:cNvPr>
        <xdr:cNvSpPr txBox="1">
          <a:spLocks noChangeArrowheads="1"/>
        </xdr:cNvSpPr>
      </xdr:nvSpPr>
      <xdr:spPr bwMode="auto">
        <a:xfrm>
          <a:off x="13157200" y="21050250"/>
          <a:ext cx="1454150" cy="132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38100</xdr:rowOff>
    </xdr:from>
    <xdr:to>
      <xdr:col>21</xdr:col>
      <xdr:colOff>419100</xdr:colOff>
      <xdr:row>30</xdr:row>
      <xdr:rowOff>120900</xdr:rowOff>
    </xdr:to>
    <xdr:sp macro="" textlink="">
      <xdr:nvSpPr>
        <xdr:cNvPr id="293924" name="Text Box 36" hidden="1">
          <a:extLst>
            <a:ext uri="{FF2B5EF4-FFF2-40B4-BE49-F238E27FC236}">
              <a16:creationId xmlns:a16="http://schemas.microsoft.com/office/drawing/2014/main" id="{E79A4A16-D1A4-44B7-8C31-3CD29328D54C}"/>
            </a:ext>
          </a:extLst>
        </xdr:cNvPr>
        <xdr:cNvSpPr txBox="1">
          <a:spLocks noChangeArrowheads="1"/>
        </xdr:cNvSpPr>
      </xdr:nvSpPr>
      <xdr:spPr bwMode="auto">
        <a:xfrm>
          <a:off x="13773150" y="5835650"/>
          <a:ext cx="1447800" cy="1473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77</xdr:row>
      <xdr:rowOff>130399</xdr:rowOff>
    </xdr:from>
    <xdr:to>
      <xdr:col>13</xdr:col>
      <xdr:colOff>0</xdr:colOff>
      <xdr:row>81</xdr:row>
      <xdr:rowOff>169479</xdr:rowOff>
    </xdr:to>
    <xdr:sp macro="" textlink="">
      <xdr:nvSpPr>
        <xdr:cNvPr id="293923" name="Text Box 35" hidden="1">
          <a:extLst>
            <a:ext uri="{FF2B5EF4-FFF2-40B4-BE49-F238E27FC236}">
              <a16:creationId xmlns:a16="http://schemas.microsoft.com/office/drawing/2014/main" id="{BC75D42F-5419-4EC5-820C-9BCED42AA7EF}"/>
            </a:ext>
          </a:extLst>
        </xdr:cNvPr>
        <xdr:cNvSpPr txBox="1">
          <a:spLocks noChangeArrowheads="1"/>
        </xdr:cNvSpPr>
      </xdr:nvSpPr>
      <xdr:spPr bwMode="auto">
        <a:xfrm>
          <a:off x="8737600" y="18662650"/>
          <a:ext cx="144780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91</xdr:row>
      <xdr:rowOff>189956</xdr:rowOff>
    </xdr:from>
    <xdr:to>
      <xdr:col>21</xdr:col>
      <xdr:colOff>266700</xdr:colOff>
      <xdr:row>96</xdr:row>
      <xdr:rowOff>38840</xdr:rowOff>
    </xdr:to>
    <xdr:sp macro="" textlink="">
      <xdr:nvSpPr>
        <xdr:cNvPr id="293922" name="Text Box 34" hidden="1">
          <a:extLst>
            <a:ext uri="{FF2B5EF4-FFF2-40B4-BE49-F238E27FC236}">
              <a16:creationId xmlns:a16="http://schemas.microsoft.com/office/drawing/2014/main" id="{47818C34-E616-4C45-B7DE-32AF00F869E8}"/>
            </a:ext>
          </a:extLst>
        </xdr:cNvPr>
        <xdr:cNvSpPr txBox="1">
          <a:spLocks noChangeArrowheads="1"/>
        </xdr:cNvSpPr>
      </xdr:nvSpPr>
      <xdr:spPr bwMode="auto">
        <a:xfrm>
          <a:off x="13735050" y="21501100"/>
          <a:ext cx="1333500" cy="1016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293921" name="Text Box 33" hidden="1">
          <a:extLst>
            <a:ext uri="{FF2B5EF4-FFF2-40B4-BE49-F238E27FC236}">
              <a16:creationId xmlns:a16="http://schemas.microsoft.com/office/drawing/2014/main" id="{604F62BE-5642-4DA9-93D5-0FAF95BB142C}"/>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79</xdr:row>
      <xdr:rowOff>133403</xdr:rowOff>
    </xdr:from>
    <xdr:to>
      <xdr:col>4</xdr:col>
      <xdr:colOff>114300</xdr:colOff>
      <xdr:row>83</xdr:row>
      <xdr:rowOff>138960</xdr:rowOff>
    </xdr:to>
    <xdr:sp macro="" textlink="">
      <xdr:nvSpPr>
        <xdr:cNvPr id="293920" name="Text Box 32" hidden="1">
          <a:extLst>
            <a:ext uri="{FF2B5EF4-FFF2-40B4-BE49-F238E27FC236}">
              <a16:creationId xmlns:a16="http://schemas.microsoft.com/office/drawing/2014/main" id="{672E5FD3-2777-4DD8-B59B-EC7AA0CD0EEE}"/>
            </a:ext>
          </a:extLst>
        </xdr:cNvPr>
        <xdr:cNvSpPr txBox="1">
          <a:spLocks noChangeArrowheads="1"/>
        </xdr:cNvSpPr>
      </xdr:nvSpPr>
      <xdr:spPr bwMode="auto">
        <a:xfrm>
          <a:off x="3492500" y="19107150"/>
          <a:ext cx="1320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96</xdr:row>
      <xdr:rowOff>70590</xdr:rowOff>
    </xdr:from>
    <xdr:to>
      <xdr:col>4</xdr:col>
      <xdr:colOff>114300</xdr:colOff>
      <xdr:row>100</xdr:row>
      <xdr:rowOff>28770</xdr:rowOff>
    </xdr:to>
    <xdr:sp macro="" textlink="">
      <xdr:nvSpPr>
        <xdr:cNvPr id="293919" name="Text Box 31" hidden="1">
          <a:extLst>
            <a:ext uri="{FF2B5EF4-FFF2-40B4-BE49-F238E27FC236}">
              <a16:creationId xmlns:a16="http://schemas.microsoft.com/office/drawing/2014/main" id="{2BCFB714-DF4E-493D-A49A-8B2A4B8BBE60}"/>
            </a:ext>
          </a:extLst>
        </xdr:cNvPr>
        <xdr:cNvSpPr txBox="1">
          <a:spLocks noChangeArrowheads="1"/>
        </xdr:cNvSpPr>
      </xdr:nvSpPr>
      <xdr:spPr bwMode="auto">
        <a:xfrm>
          <a:off x="3492500" y="2255520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313424</xdr:rowOff>
    </xdr:from>
    <xdr:to>
      <xdr:col>5</xdr:col>
      <xdr:colOff>0</xdr:colOff>
      <xdr:row>63</xdr:row>
      <xdr:rowOff>37717</xdr:rowOff>
    </xdr:to>
    <xdr:sp macro="" textlink="">
      <xdr:nvSpPr>
        <xdr:cNvPr id="306187" name="Text Box 11" hidden="1">
          <a:extLst>
            <a:ext uri="{FF2B5EF4-FFF2-40B4-BE49-F238E27FC236}">
              <a16:creationId xmlns:a16="http://schemas.microsoft.com/office/drawing/2014/main" id="{5B811DD8-6A0A-4A9E-AB81-4878733C605A}"/>
            </a:ext>
          </a:extLst>
        </xdr:cNvPr>
        <xdr:cNvSpPr txBox="1">
          <a:spLocks noChangeArrowheads="1"/>
        </xdr:cNvSpPr>
      </xdr:nvSpPr>
      <xdr:spPr bwMode="auto">
        <a:xfrm>
          <a:off x="4038600" y="13754100"/>
          <a:ext cx="1266825"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313424</xdr:rowOff>
    </xdr:from>
    <xdr:to>
      <xdr:col>4</xdr:col>
      <xdr:colOff>800100</xdr:colOff>
      <xdr:row>56</xdr:row>
      <xdr:rowOff>313424</xdr:rowOff>
    </xdr:to>
    <xdr:sp macro="" textlink="">
      <xdr:nvSpPr>
        <xdr:cNvPr id="306186" name="Text Box 10" hidden="1">
          <a:extLst>
            <a:ext uri="{FF2B5EF4-FFF2-40B4-BE49-F238E27FC236}">
              <a16:creationId xmlns:a16="http://schemas.microsoft.com/office/drawing/2014/main" id="{03EFAF25-C483-4107-AC02-8241EDC8CC5E}"/>
            </a:ext>
          </a:extLst>
        </xdr:cNvPr>
        <xdr:cNvSpPr txBox="1">
          <a:spLocks noChangeArrowheads="1"/>
        </xdr:cNvSpPr>
      </xdr:nvSpPr>
      <xdr:spPr bwMode="auto">
        <a:xfrm>
          <a:off x="4038600" y="13754100"/>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313424</xdr:rowOff>
    </xdr:from>
    <xdr:to>
      <xdr:col>5</xdr:col>
      <xdr:colOff>0</xdr:colOff>
      <xdr:row>63</xdr:row>
      <xdr:rowOff>37717</xdr:rowOff>
    </xdr:to>
    <xdr:sp macro="" textlink="">
      <xdr:nvSpPr>
        <xdr:cNvPr id="306185" name="Text Box 9" hidden="1">
          <a:extLst>
            <a:ext uri="{FF2B5EF4-FFF2-40B4-BE49-F238E27FC236}">
              <a16:creationId xmlns:a16="http://schemas.microsoft.com/office/drawing/2014/main" id="{FEF944FD-B7BF-4126-9B62-D0BF1EA91ECC}"/>
            </a:ext>
          </a:extLst>
        </xdr:cNvPr>
        <xdr:cNvSpPr txBox="1">
          <a:spLocks noChangeArrowheads="1"/>
        </xdr:cNvSpPr>
      </xdr:nvSpPr>
      <xdr:spPr bwMode="auto">
        <a:xfrm>
          <a:off x="4038600" y="13754100"/>
          <a:ext cx="1266825"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111</xdr:row>
      <xdr:rowOff>90898</xdr:rowOff>
    </xdr:from>
    <xdr:to>
      <xdr:col>20</xdr:col>
      <xdr:colOff>381000</xdr:colOff>
      <xdr:row>121</xdr:row>
      <xdr:rowOff>41552</xdr:rowOff>
    </xdr:to>
    <xdr:sp macro="" textlink="">
      <xdr:nvSpPr>
        <xdr:cNvPr id="306184" name="Text Box 8" hidden="1">
          <a:extLst>
            <a:ext uri="{FF2B5EF4-FFF2-40B4-BE49-F238E27FC236}">
              <a16:creationId xmlns:a16="http://schemas.microsoft.com/office/drawing/2014/main" id="{7A5FC83F-9294-4103-A171-0759B4B54087}"/>
            </a:ext>
          </a:extLst>
        </xdr:cNvPr>
        <xdr:cNvSpPr txBox="1">
          <a:spLocks noChangeArrowheads="1"/>
        </xdr:cNvSpPr>
      </xdr:nvSpPr>
      <xdr:spPr bwMode="auto">
        <a:xfrm>
          <a:off x="12525375" y="25946100"/>
          <a:ext cx="1400175"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38100</xdr:rowOff>
    </xdr:from>
    <xdr:to>
      <xdr:col>21</xdr:col>
      <xdr:colOff>419100</xdr:colOff>
      <xdr:row>30</xdr:row>
      <xdr:rowOff>120900</xdr:rowOff>
    </xdr:to>
    <xdr:sp macro="" textlink="">
      <xdr:nvSpPr>
        <xdr:cNvPr id="306183" name="Text Box 7" hidden="1">
          <a:extLst>
            <a:ext uri="{FF2B5EF4-FFF2-40B4-BE49-F238E27FC236}">
              <a16:creationId xmlns:a16="http://schemas.microsoft.com/office/drawing/2014/main" id="{FC2C127B-B0E7-463E-8E1A-34E90DF08D55}"/>
            </a:ext>
          </a:extLst>
        </xdr:cNvPr>
        <xdr:cNvSpPr txBox="1">
          <a:spLocks noChangeArrowheads="1"/>
        </xdr:cNvSpPr>
      </xdr:nvSpPr>
      <xdr:spPr bwMode="auto">
        <a:xfrm>
          <a:off x="13115925" y="5876925"/>
          <a:ext cx="1390650" cy="1495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77</xdr:row>
      <xdr:rowOff>130399</xdr:rowOff>
    </xdr:from>
    <xdr:to>
      <xdr:col>13</xdr:col>
      <xdr:colOff>0</xdr:colOff>
      <xdr:row>81</xdr:row>
      <xdr:rowOff>169479</xdr:rowOff>
    </xdr:to>
    <xdr:sp macro="" textlink="">
      <xdr:nvSpPr>
        <xdr:cNvPr id="306182" name="Text Box 6" hidden="1">
          <a:extLst>
            <a:ext uri="{FF2B5EF4-FFF2-40B4-BE49-F238E27FC236}">
              <a16:creationId xmlns:a16="http://schemas.microsoft.com/office/drawing/2014/main" id="{317A9970-CE61-4FF1-AB73-BCB4914D991A}"/>
            </a:ext>
          </a:extLst>
        </xdr:cNvPr>
        <xdr:cNvSpPr txBox="1">
          <a:spLocks noChangeArrowheads="1"/>
        </xdr:cNvSpPr>
      </xdr:nvSpPr>
      <xdr:spPr bwMode="auto">
        <a:xfrm>
          <a:off x="8324850" y="18869025"/>
          <a:ext cx="13716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90898</xdr:rowOff>
    </xdr:from>
    <xdr:to>
      <xdr:col>21</xdr:col>
      <xdr:colOff>266700</xdr:colOff>
      <xdr:row>118</xdr:row>
      <xdr:rowOff>367810</xdr:rowOff>
    </xdr:to>
    <xdr:sp macro="" textlink="">
      <xdr:nvSpPr>
        <xdr:cNvPr id="306181" name="Text Box 5" hidden="1">
          <a:extLst>
            <a:ext uri="{FF2B5EF4-FFF2-40B4-BE49-F238E27FC236}">
              <a16:creationId xmlns:a16="http://schemas.microsoft.com/office/drawing/2014/main" id="{DB0B4CFD-C24C-4798-B11D-540EE196C880}"/>
            </a:ext>
          </a:extLst>
        </xdr:cNvPr>
        <xdr:cNvSpPr txBox="1">
          <a:spLocks noChangeArrowheads="1"/>
        </xdr:cNvSpPr>
      </xdr:nvSpPr>
      <xdr:spPr bwMode="auto">
        <a:xfrm>
          <a:off x="13077825" y="25946100"/>
          <a:ext cx="1276350" cy="173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06180" name="Text Box 4" hidden="1">
          <a:extLst>
            <a:ext uri="{FF2B5EF4-FFF2-40B4-BE49-F238E27FC236}">
              <a16:creationId xmlns:a16="http://schemas.microsoft.com/office/drawing/2014/main" id="{DCBDF7EB-6470-4E89-8319-AF479B9A9FD1}"/>
            </a:ext>
          </a:extLst>
        </xdr:cNvPr>
        <xdr:cNvSpPr txBox="1">
          <a:spLocks noChangeArrowheads="1"/>
        </xdr:cNvSpPr>
      </xdr:nvSpPr>
      <xdr:spPr bwMode="auto">
        <a:xfrm>
          <a:off x="8286750" y="2724150"/>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79</xdr:row>
      <xdr:rowOff>133403</xdr:rowOff>
    </xdr:from>
    <xdr:to>
      <xdr:col>4</xdr:col>
      <xdr:colOff>114300</xdr:colOff>
      <xdr:row>83</xdr:row>
      <xdr:rowOff>138960</xdr:rowOff>
    </xdr:to>
    <xdr:sp macro="" textlink="">
      <xdr:nvSpPr>
        <xdr:cNvPr id="306179" name="Text Box 3" hidden="1">
          <a:extLst>
            <a:ext uri="{FF2B5EF4-FFF2-40B4-BE49-F238E27FC236}">
              <a16:creationId xmlns:a16="http://schemas.microsoft.com/office/drawing/2014/main" id="{71F2872E-7126-4895-B430-D010004E8D3F}"/>
            </a:ext>
          </a:extLst>
        </xdr:cNvPr>
        <xdr:cNvSpPr txBox="1">
          <a:spLocks noChangeArrowheads="1"/>
        </xdr:cNvSpPr>
      </xdr:nvSpPr>
      <xdr:spPr bwMode="auto">
        <a:xfrm>
          <a:off x="3333750" y="193262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111</xdr:row>
      <xdr:rowOff>90898</xdr:rowOff>
    </xdr:from>
    <xdr:to>
      <xdr:col>4</xdr:col>
      <xdr:colOff>114300</xdr:colOff>
      <xdr:row>117</xdr:row>
      <xdr:rowOff>322182</xdr:rowOff>
    </xdr:to>
    <xdr:sp macro="" textlink="">
      <xdr:nvSpPr>
        <xdr:cNvPr id="306178" name="Text Box 2" hidden="1">
          <a:extLst>
            <a:ext uri="{FF2B5EF4-FFF2-40B4-BE49-F238E27FC236}">
              <a16:creationId xmlns:a16="http://schemas.microsoft.com/office/drawing/2014/main" id="{CBC0F275-A953-4670-BF04-43E83DB0B585}"/>
            </a:ext>
          </a:extLst>
        </xdr:cNvPr>
        <xdr:cNvSpPr txBox="1">
          <a:spLocks noChangeArrowheads="1"/>
        </xdr:cNvSpPr>
      </xdr:nvSpPr>
      <xdr:spPr bwMode="auto">
        <a:xfrm>
          <a:off x="3333750" y="25946100"/>
          <a:ext cx="1257300" cy="1314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12</xdr:row>
      <xdr:rowOff>114300</xdr:rowOff>
    </xdr:from>
    <xdr:to>
      <xdr:col>23</xdr:col>
      <xdr:colOff>266700</xdr:colOff>
      <xdr:row>15</xdr:row>
      <xdr:rowOff>323850</xdr:rowOff>
    </xdr:to>
    <xdr:sp macro="" textlink="">
      <xdr:nvSpPr>
        <xdr:cNvPr id="306177" name="Text Box 1" hidden="1">
          <a:extLst>
            <a:ext uri="{FF2B5EF4-FFF2-40B4-BE49-F238E27FC236}">
              <a16:creationId xmlns:a16="http://schemas.microsoft.com/office/drawing/2014/main" id="{B8A13A94-88F4-40E7-BDF5-9BB766477BDF}"/>
            </a:ext>
          </a:extLst>
        </xdr:cNvPr>
        <xdr:cNvSpPr txBox="1">
          <a:spLocks noChangeArrowheads="1"/>
        </xdr:cNvSpPr>
      </xdr:nvSpPr>
      <xdr:spPr bwMode="auto">
        <a:xfrm>
          <a:off x="14182725" y="3105150"/>
          <a:ext cx="125730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5.xml><?xml version="1.0" encoding="utf-8"?>
<xdr:wsDr xmlns:xdr="http://schemas.openxmlformats.org/drawingml/2006/spreadsheetDrawing" xmlns:a="http://schemas.openxmlformats.org/drawingml/2006/main">
  <xdr:twoCellAnchor editAs="absolute">
    <xdr:from>
      <xdr:col>37</xdr:col>
      <xdr:colOff>449614</xdr:colOff>
      <xdr:row>67</xdr:row>
      <xdr:rowOff>56614</xdr:rowOff>
    </xdr:from>
    <xdr:to>
      <xdr:col>38</xdr:col>
      <xdr:colOff>641241</xdr:colOff>
      <xdr:row>67</xdr:row>
      <xdr:rowOff>56614</xdr:rowOff>
    </xdr:to>
    <xdr:sp macro="" textlink="">
      <xdr:nvSpPr>
        <xdr:cNvPr id="48133" name="Text Box 5" hidden="1">
          <a:extLst>
            <a:ext uri="{FF2B5EF4-FFF2-40B4-BE49-F238E27FC236}">
              <a16:creationId xmlns:a16="http://schemas.microsoft.com/office/drawing/2014/main" id="{15CD92A7-CD3A-447E-94AD-8CA058F0B53D}"/>
            </a:ext>
          </a:extLst>
        </xdr:cNvPr>
        <xdr:cNvSpPr txBox="1">
          <a:spLocks noChangeArrowheads="1"/>
        </xdr:cNvSpPr>
      </xdr:nvSpPr>
      <xdr:spPr bwMode="auto">
        <a:xfrm>
          <a:off x="31097220" y="14554200"/>
          <a:ext cx="9525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373414</xdr:colOff>
      <xdr:row>67</xdr:row>
      <xdr:rowOff>56614</xdr:rowOff>
    </xdr:from>
    <xdr:to>
      <xdr:col>38</xdr:col>
      <xdr:colOff>526941</xdr:colOff>
      <xdr:row>69</xdr:row>
      <xdr:rowOff>120530</xdr:rowOff>
    </xdr:to>
    <xdr:sp macro="" textlink="">
      <xdr:nvSpPr>
        <xdr:cNvPr id="48137" name="Text Box 9" hidden="1">
          <a:extLst>
            <a:ext uri="{FF2B5EF4-FFF2-40B4-BE49-F238E27FC236}">
              <a16:creationId xmlns:a16="http://schemas.microsoft.com/office/drawing/2014/main" id="{4F8DA397-2046-48C4-8C47-6091877697BB}"/>
            </a:ext>
          </a:extLst>
        </xdr:cNvPr>
        <xdr:cNvSpPr txBox="1">
          <a:spLocks noChangeArrowheads="1"/>
        </xdr:cNvSpPr>
      </xdr:nvSpPr>
      <xdr:spPr bwMode="auto">
        <a:xfrm>
          <a:off x="31021020" y="14554200"/>
          <a:ext cx="914400" cy="396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373414</xdr:colOff>
      <xdr:row>77</xdr:row>
      <xdr:rowOff>268743</xdr:rowOff>
    </xdr:from>
    <xdr:to>
      <xdr:col>38</xdr:col>
      <xdr:colOff>526941</xdr:colOff>
      <xdr:row>77</xdr:row>
      <xdr:rowOff>268743</xdr:rowOff>
    </xdr:to>
    <xdr:sp macro="" textlink="">
      <xdr:nvSpPr>
        <xdr:cNvPr id="48138" name="Text Box 10" hidden="1">
          <a:extLst>
            <a:ext uri="{FF2B5EF4-FFF2-40B4-BE49-F238E27FC236}">
              <a16:creationId xmlns:a16="http://schemas.microsoft.com/office/drawing/2014/main" id="{D635FED5-F357-4822-B34B-79F43F775B0E}"/>
            </a:ext>
          </a:extLst>
        </xdr:cNvPr>
        <xdr:cNvSpPr txBox="1">
          <a:spLocks noChangeArrowheads="1"/>
        </xdr:cNvSpPr>
      </xdr:nvSpPr>
      <xdr:spPr bwMode="auto">
        <a:xfrm>
          <a:off x="31021020" y="16642080"/>
          <a:ext cx="9144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449614</xdr:colOff>
      <xdr:row>77</xdr:row>
      <xdr:rowOff>268743</xdr:rowOff>
    </xdr:from>
    <xdr:to>
      <xdr:col>38</xdr:col>
      <xdr:colOff>603141</xdr:colOff>
      <xdr:row>77</xdr:row>
      <xdr:rowOff>268743</xdr:rowOff>
    </xdr:to>
    <xdr:sp macro="" textlink="">
      <xdr:nvSpPr>
        <xdr:cNvPr id="48140" name="Text Box 12" hidden="1">
          <a:extLst>
            <a:ext uri="{FF2B5EF4-FFF2-40B4-BE49-F238E27FC236}">
              <a16:creationId xmlns:a16="http://schemas.microsoft.com/office/drawing/2014/main" id="{EE431A50-2463-478B-99AA-7AE8CF25F5B9}"/>
            </a:ext>
          </a:extLst>
        </xdr:cNvPr>
        <xdr:cNvSpPr txBox="1">
          <a:spLocks noChangeArrowheads="1"/>
        </xdr:cNvSpPr>
      </xdr:nvSpPr>
      <xdr:spPr bwMode="auto">
        <a:xfrm>
          <a:off x="31097220" y="16642080"/>
          <a:ext cx="9144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449614</xdr:colOff>
      <xdr:row>67</xdr:row>
      <xdr:rowOff>56614</xdr:rowOff>
    </xdr:from>
    <xdr:to>
      <xdr:col>38</xdr:col>
      <xdr:colOff>603141</xdr:colOff>
      <xdr:row>67</xdr:row>
      <xdr:rowOff>56614</xdr:rowOff>
    </xdr:to>
    <xdr:sp macro="" textlink="">
      <xdr:nvSpPr>
        <xdr:cNvPr id="48141" name="Text Box 13" hidden="1">
          <a:extLst>
            <a:ext uri="{FF2B5EF4-FFF2-40B4-BE49-F238E27FC236}">
              <a16:creationId xmlns:a16="http://schemas.microsoft.com/office/drawing/2014/main" id="{13E6C608-B3E9-44FD-AE34-A278D9803D77}"/>
            </a:ext>
          </a:extLst>
        </xdr:cNvPr>
        <xdr:cNvSpPr txBox="1">
          <a:spLocks noChangeArrowheads="1"/>
        </xdr:cNvSpPr>
      </xdr:nvSpPr>
      <xdr:spPr bwMode="auto">
        <a:xfrm>
          <a:off x="31097220" y="14554200"/>
          <a:ext cx="9144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9</xdr:row>
      <xdr:rowOff>38637</xdr:rowOff>
    </xdr:from>
    <xdr:to>
      <xdr:col>2</xdr:col>
      <xdr:colOff>564864</xdr:colOff>
      <xdr:row>13</xdr:row>
      <xdr:rowOff>52487</xdr:rowOff>
    </xdr:to>
    <xdr:sp macro="" textlink="">
      <xdr:nvSpPr>
        <xdr:cNvPr id="48142" name="Text Box 14" hidden="1">
          <a:extLst>
            <a:ext uri="{FF2B5EF4-FFF2-40B4-BE49-F238E27FC236}">
              <a16:creationId xmlns:a16="http://schemas.microsoft.com/office/drawing/2014/main" id="{2272FC6E-7156-4E74-B746-6BD360EFAA70}"/>
            </a:ext>
          </a:extLst>
        </xdr:cNvPr>
        <xdr:cNvSpPr txBox="1">
          <a:spLocks noChangeArrowheads="1"/>
        </xdr:cNvSpPr>
      </xdr:nvSpPr>
      <xdr:spPr bwMode="auto">
        <a:xfrm>
          <a:off x="3916680" y="1882140"/>
          <a:ext cx="1348740" cy="8077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10</xdr:row>
      <xdr:rowOff>106912</xdr:rowOff>
    </xdr:from>
    <xdr:to>
      <xdr:col>2</xdr:col>
      <xdr:colOff>564864</xdr:colOff>
      <xdr:row>14</xdr:row>
      <xdr:rowOff>88564</xdr:rowOff>
    </xdr:to>
    <xdr:sp macro="" textlink="">
      <xdr:nvSpPr>
        <xdr:cNvPr id="48143" name="Text Box 15" hidden="1">
          <a:extLst>
            <a:ext uri="{FF2B5EF4-FFF2-40B4-BE49-F238E27FC236}">
              <a16:creationId xmlns:a16="http://schemas.microsoft.com/office/drawing/2014/main" id="{9897F1E9-E165-49E4-95E4-24511FE30CE6}"/>
            </a:ext>
          </a:extLst>
        </xdr:cNvPr>
        <xdr:cNvSpPr txBox="1">
          <a:spLocks noChangeArrowheads="1"/>
        </xdr:cNvSpPr>
      </xdr:nvSpPr>
      <xdr:spPr bwMode="auto">
        <a:xfrm>
          <a:off x="3916680" y="2133600"/>
          <a:ext cx="1348740" cy="777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12</xdr:row>
      <xdr:rowOff>130420</xdr:rowOff>
    </xdr:from>
    <xdr:to>
      <xdr:col>2</xdr:col>
      <xdr:colOff>564864</xdr:colOff>
      <xdr:row>16</xdr:row>
      <xdr:rowOff>128510</xdr:rowOff>
    </xdr:to>
    <xdr:sp macro="" textlink="">
      <xdr:nvSpPr>
        <xdr:cNvPr id="48144" name="Text Box 16" hidden="1">
          <a:extLst>
            <a:ext uri="{FF2B5EF4-FFF2-40B4-BE49-F238E27FC236}">
              <a16:creationId xmlns:a16="http://schemas.microsoft.com/office/drawing/2014/main" id="{CDCDD0A0-5983-4DF7-B6D3-B6EE0BEC7E2F}"/>
            </a:ext>
          </a:extLst>
        </xdr:cNvPr>
        <xdr:cNvSpPr txBox="1">
          <a:spLocks noChangeArrowheads="1"/>
        </xdr:cNvSpPr>
      </xdr:nvSpPr>
      <xdr:spPr bwMode="auto">
        <a:xfrm>
          <a:off x="3916680" y="2575560"/>
          <a:ext cx="1348740" cy="7696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420404</xdr:colOff>
      <xdr:row>52</xdr:row>
      <xdr:rowOff>222567</xdr:rowOff>
    </xdr:from>
    <xdr:to>
      <xdr:col>38</xdr:col>
      <xdr:colOff>641241</xdr:colOff>
      <xdr:row>52</xdr:row>
      <xdr:rowOff>222567</xdr:rowOff>
    </xdr:to>
    <xdr:sp macro="" textlink="">
      <xdr:nvSpPr>
        <xdr:cNvPr id="252936" name="Text Box 8" hidden="1">
          <a:extLst>
            <a:ext uri="{FF2B5EF4-FFF2-40B4-BE49-F238E27FC236}">
              <a16:creationId xmlns:a16="http://schemas.microsoft.com/office/drawing/2014/main" id="{6F469F85-E901-4955-888C-81B1FE8B86C7}"/>
            </a:ext>
          </a:extLst>
        </xdr:cNvPr>
        <xdr:cNvSpPr txBox="1">
          <a:spLocks noChangeArrowheads="1"/>
        </xdr:cNvSpPr>
      </xdr:nvSpPr>
      <xdr:spPr bwMode="auto">
        <a:xfrm>
          <a:off x="30146625" y="10753725"/>
          <a:ext cx="9620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373414</xdr:colOff>
      <xdr:row>52</xdr:row>
      <xdr:rowOff>222567</xdr:rowOff>
    </xdr:from>
    <xdr:to>
      <xdr:col>38</xdr:col>
      <xdr:colOff>526941</xdr:colOff>
      <xdr:row>53</xdr:row>
      <xdr:rowOff>156029</xdr:rowOff>
    </xdr:to>
    <xdr:sp macro="" textlink="">
      <xdr:nvSpPr>
        <xdr:cNvPr id="252935" name="Text Box 7" hidden="1">
          <a:extLst>
            <a:ext uri="{FF2B5EF4-FFF2-40B4-BE49-F238E27FC236}">
              <a16:creationId xmlns:a16="http://schemas.microsoft.com/office/drawing/2014/main" id="{13BE16B6-4531-4E12-8F3B-81E0D5E31DC2}"/>
            </a:ext>
          </a:extLst>
        </xdr:cNvPr>
        <xdr:cNvSpPr txBox="1">
          <a:spLocks noChangeArrowheads="1"/>
        </xdr:cNvSpPr>
      </xdr:nvSpPr>
      <xdr:spPr bwMode="auto">
        <a:xfrm>
          <a:off x="30079950" y="10753725"/>
          <a:ext cx="91440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373414</xdr:colOff>
      <xdr:row>55</xdr:row>
      <xdr:rowOff>70051</xdr:rowOff>
    </xdr:from>
    <xdr:to>
      <xdr:col>38</xdr:col>
      <xdr:colOff>526941</xdr:colOff>
      <xdr:row>55</xdr:row>
      <xdr:rowOff>70051</xdr:rowOff>
    </xdr:to>
    <xdr:sp macro="" textlink="">
      <xdr:nvSpPr>
        <xdr:cNvPr id="252934" name="Text Box 6" hidden="1">
          <a:extLst>
            <a:ext uri="{FF2B5EF4-FFF2-40B4-BE49-F238E27FC236}">
              <a16:creationId xmlns:a16="http://schemas.microsoft.com/office/drawing/2014/main" id="{9291E109-DCDB-4545-A1A1-01AB169C021C}"/>
            </a:ext>
          </a:extLst>
        </xdr:cNvPr>
        <xdr:cNvSpPr txBox="1">
          <a:spLocks noChangeArrowheads="1"/>
        </xdr:cNvSpPr>
      </xdr:nvSpPr>
      <xdr:spPr bwMode="auto">
        <a:xfrm>
          <a:off x="30079950" y="12230100"/>
          <a:ext cx="914400"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420404</xdr:colOff>
      <xdr:row>55</xdr:row>
      <xdr:rowOff>70051</xdr:rowOff>
    </xdr:from>
    <xdr:to>
      <xdr:col>38</xdr:col>
      <xdr:colOff>603141</xdr:colOff>
      <xdr:row>55</xdr:row>
      <xdr:rowOff>70051</xdr:rowOff>
    </xdr:to>
    <xdr:sp macro="" textlink="">
      <xdr:nvSpPr>
        <xdr:cNvPr id="252933" name="Text Box 5" hidden="1">
          <a:extLst>
            <a:ext uri="{FF2B5EF4-FFF2-40B4-BE49-F238E27FC236}">
              <a16:creationId xmlns:a16="http://schemas.microsoft.com/office/drawing/2014/main" id="{34B91F96-E697-42D8-B5B6-A243D330D911}"/>
            </a:ext>
          </a:extLst>
        </xdr:cNvPr>
        <xdr:cNvSpPr txBox="1">
          <a:spLocks noChangeArrowheads="1"/>
        </xdr:cNvSpPr>
      </xdr:nvSpPr>
      <xdr:spPr bwMode="auto">
        <a:xfrm>
          <a:off x="30146625" y="12230100"/>
          <a:ext cx="923925"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420404</xdr:colOff>
      <xdr:row>52</xdr:row>
      <xdr:rowOff>222567</xdr:rowOff>
    </xdr:from>
    <xdr:to>
      <xdr:col>38</xdr:col>
      <xdr:colOff>603141</xdr:colOff>
      <xdr:row>52</xdr:row>
      <xdr:rowOff>222567</xdr:rowOff>
    </xdr:to>
    <xdr:sp macro="" textlink="">
      <xdr:nvSpPr>
        <xdr:cNvPr id="252932" name="Text Box 4" hidden="1">
          <a:extLst>
            <a:ext uri="{FF2B5EF4-FFF2-40B4-BE49-F238E27FC236}">
              <a16:creationId xmlns:a16="http://schemas.microsoft.com/office/drawing/2014/main" id="{D8D1D499-3363-4B1E-8827-2A3497BBAD9D}"/>
            </a:ext>
          </a:extLst>
        </xdr:cNvPr>
        <xdr:cNvSpPr txBox="1">
          <a:spLocks noChangeArrowheads="1"/>
        </xdr:cNvSpPr>
      </xdr:nvSpPr>
      <xdr:spPr bwMode="auto">
        <a:xfrm>
          <a:off x="30146625" y="10753725"/>
          <a:ext cx="9239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9</xdr:row>
      <xdr:rowOff>38637</xdr:rowOff>
    </xdr:from>
    <xdr:to>
      <xdr:col>2</xdr:col>
      <xdr:colOff>564864</xdr:colOff>
      <xdr:row>13</xdr:row>
      <xdr:rowOff>52487</xdr:rowOff>
    </xdr:to>
    <xdr:sp macro="" textlink="">
      <xdr:nvSpPr>
        <xdr:cNvPr id="252931" name="Text Box 3" hidden="1">
          <a:extLst>
            <a:ext uri="{FF2B5EF4-FFF2-40B4-BE49-F238E27FC236}">
              <a16:creationId xmlns:a16="http://schemas.microsoft.com/office/drawing/2014/main" id="{3B89C92C-9378-43AA-9CFC-9E270B027BCE}"/>
            </a:ext>
          </a:extLst>
        </xdr:cNvPr>
        <xdr:cNvSpPr txBox="1">
          <a:spLocks noChangeArrowheads="1"/>
        </xdr:cNvSpPr>
      </xdr:nvSpPr>
      <xdr:spPr bwMode="auto">
        <a:xfrm>
          <a:off x="3800475" y="1905000"/>
          <a:ext cx="13144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10</xdr:row>
      <xdr:rowOff>106912</xdr:rowOff>
    </xdr:from>
    <xdr:to>
      <xdr:col>2</xdr:col>
      <xdr:colOff>564864</xdr:colOff>
      <xdr:row>14</xdr:row>
      <xdr:rowOff>88564</xdr:rowOff>
    </xdr:to>
    <xdr:sp macro="" textlink="">
      <xdr:nvSpPr>
        <xdr:cNvPr id="252930" name="Text Box 2" hidden="1">
          <a:extLst>
            <a:ext uri="{FF2B5EF4-FFF2-40B4-BE49-F238E27FC236}">
              <a16:creationId xmlns:a16="http://schemas.microsoft.com/office/drawing/2014/main" id="{AF17B70A-55D9-4991-9582-D9D33066EF10}"/>
            </a:ext>
          </a:extLst>
        </xdr:cNvPr>
        <xdr:cNvSpPr txBox="1">
          <a:spLocks noChangeArrowheads="1"/>
        </xdr:cNvSpPr>
      </xdr:nvSpPr>
      <xdr:spPr bwMode="auto">
        <a:xfrm>
          <a:off x="3800475" y="2162175"/>
          <a:ext cx="13144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12</xdr:row>
      <xdr:rowOff>130420</xdr:rowOff>
    </xdr:from>
    <xdr:to>
      <xdr:col>2</xdr:col>
      <xdr:colOff>564864</xdr:colOff>
      <xdr:row>16</xdr:row>
      <xdr:rowOff>128510</xdr:rowOff>
    </xdr:to>
    <xdr:sp macro="" textlink="">
      <xdr:nvSpPr>
        <xdr:cNvPr id="252929" name="Text Box 1" hidden="1">
          <a:extLst>
            <a:ext uri="{FF2B5EF4-FFF2-40B4-BE49-F238E27FC236}">
              <a16:creationId xmlns:a16="http://schemas.microsoft.com/office/drawing/2014/main" id="{5C1C8FF7-34FD-4EAB-ACEE-D5D878FF6E3A}"/>
            </a:ext>
          </a:extLst>
        </xdr:cNvPr>
        <xdr:cNvSpPr txBox="1">
          <a:spLocks noChangeArrowheads="1"/>
        </xdr:cNvSpPr>
      </xdr:nvSpPr>
      <xdr:spPr bwMode="auto">
        <a:xfrm>
          <a:off x="3800475" y="260985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44</xdr:row>
      <xdr:rowOff>130785</xdr:rowOff>
    </xdr:from>
    <xdr:to>
      <xdr:col>38</xdr:col>
      <xdr:colOff>608623</xdr:colOff>
      <xdr:row>44</xdr:row>
      <xdr:rowOff>132690</xdr:rowOff>
    </xdr:to>
    <xdr:sp macro="" textlink="">
      <xdr:nvSpPr>
        <xdr:cNvPr id="252944" name="Text Box 16" hidden="1">
          <a:extLst>
            <a:ext uri="{FF2B5EF4-FFF2-40B4-BE49-F238E27FC236}">
              <a16:creationId xmlns:a16="http://schemas.microsoft.com/office/drawing/2014/main" id="{9CCA4A50-7403-47E1-8CC0-F290157A4F2E}"/>
            </a:ext>
          </a:extLst>
        </xdr:cNvPr>
        <xdr:cNvSpPr txBox="1">
          <a:spLocks noChangeArrowheads="1"/>
        </xdr:cNvSpPr>
      </xdr:nvSpPr>
      <xdr:spPr bwMode="auto">
        <a:xfrm>
          <a:off x="30146625" y="9344025"/>
          <a:ext cx="971550"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44</xdr:row>
      <xdr:rowOff>130785</xdr:rowOff>
    </xdr:from>
    <xdr:to>
      <xdr:col>38</xdr:col>
      <xdr:colOff>492418</xdr:colOff>
      <xdr:row>52</xdr:row>
      <xdr:rowOff>268334</xdr:rowOff>
    </xdr:to>
    <xdr:sp macro="" textlink="">
      <xdr:nvSpPr>
        <xdr:cNvPr id="252943" name="Text Box 15" hidden="1">
          <a:extLst>
            <a:ext uri="{FF2B5EF4-FFF2-40B4-BE49-F238E27FC236}">
              <a16:creationId xmlns:a16="http://schemas.microsoft.com/office/drawing/2014/main" id="{74EFF6A7-FE24-41A3-95B8-F75D40345088}"/>
            </a:ext>
          </a:extLst>
        </xdr:cNvPr>
        <xdr:cNvSpPr txBox="1">
          <a:spLocks noChangeArrowheads="1"/>
        </xdr:cNvSpPr>
      </xdr:nvSpPr>
      <xdr:spPr bwMode="auto">
        <a:xfrm>
          <a:off x="30079950" y="9344025"/>
          <a:ext cx="914400" cy="1466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52</xdr:row>
      <xdr:rowOff>746548</xdr:rowOff>
    </xdr:from>
    <xdr:to>
      <xdr:col>38</xdr:col>
      <xdr:colOff>492418</xdr:colOff>
      <xdr:row>52</xdr:row>
      <xdr:rowOff>860848</xdr:rowOff>
    </xdr:to>
    <xdr:sp macro="" textlink="">
      <xdr:nvSpPr>
        <xdr:cNvPr id="252942" name="Text Box 14" hidden="1">
          <a:extLst>
            <a:ext uri="{FF2B5EF4-FFF2-40B4-BE49-F238E27FC236}">
              <a16:creationId xmlns:a16="http://schemas.microsoft.com/office/drawing/2014/main" id="{6C70BA9F-88B0-4854-B844-DDB2DDBC3FD2}"/>
            </a:ext>
          </a:extLst>
        </xdr:cNvPr>
        <xdr:cNvSpPr txBox="1">
          <a:spLocks noChangeArrowheads="1"/>
        </xdr:cNvSpPr>
      </xdr:nvSpPr>
      <xdr:spPr bwMode="auto">
        <a:xfrm>
          <a:off x="30079950" y="11277600"/>
          <a:ext cx="914400"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52</xdr:row>
      <xdr:rowOff>746548</xdr:rowOff>
    </xdr:from>
    <xdr:to>
      <xdr:col>38</xdr:col>
      <xdr:colOff>568618</xdr:colOff>
      <xdr:row>52</xdr:row>
      <xdr:rowOff>860848</xdr:rowOff>
    </xdr:to>
    <xdr:sp macro="" textlink="">
      <xdr:nvSpPr>
        <xdr:cNvPr id="252941" name="Text Box 13" hidden="1">
          <a:extLst>
            <a:ext uri="{FF2B5EF4-FFF2-40B4-BE49-F238E27FC236}">
              <a16:creationId xmlns:a16="http://schemas.microsoft.com/office/drawing/2014/main" id="{4ADB5933-103E-4E84-8094-A05ED8FDF6AD}"/>
            </a:ext>
          </a:extLst>
        </xdr:cNvPr>
        <xdr:cNvSpPr txBox="1">
          <a:spLocks noChangeArrowheads="1"/>
        </xdr:cNvSpPr>
      </xdr:nvSpPr>
      <xdr:spPr bwMode="auto">
        <a:xfrm>
          <a:off x="30146625" y="11277600"/>
          <a:ext cx="923925"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44</xdr:row>
      <xdr:rowOff>130785</xdr:rowOff>
    </xdr:from>
    <xdr:to>
      <xdr:col>38</xdr:col>
      <xdr:colOff>568618</xdr:colOff>
      <xdr:row>44</xdr:row>
      <xdr:rowOff>132690</xdr:rowOff>
    </xdr:to>
    <xdr:sp macro="" textlink="">
      <xdr:nvSpPr>
        <xdr:cNvPr id="252940" name="Text Box 12" hidden="1">
          <a:extLst>
            <a:ext uri="{FF2B5EF4-FFF2-40B4-BE49-F238E27FC236}">
              <a16:creationId xmlns:a16="http://schemas.microsoft.com/office/drawing/2014/main" id="{019A3510-28C7-4C11-BB21-C29F2EFB7362}"/>
            </a:ext>
          </a:extLst>
        </xdr:cNvPr>
        <xdr:cNvSpPr txBox="1">
          <a:spLocks noChangeArrowheads="1"/>
        </xdr:cNvSpPr>
      </xdr:nvSpPr>
      <xdr:spPr bwMode="auto">
        <a:xfrm>
          <a:off x="30146625" y="9344025"/>
          <a:ext cx="923925"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44</xdr:row>
      <xdr:rowOff>130785</xdr:rowOff>
    </xdr:from>
    <xdr:to>
      <xdr:col>38</xdr:col>
      <xdr:colOff>608623</xdr:colOff>
      <xdr:row>44</xdr:row>
      <xdr:rowOff>132690</xdr:rowOff>
    </xdr:to>
    <xdr:sp macro="" textlink="">
      <xdr:nvSpPr>
        <xdr:cNvPr id="252949" name="Text Box 21" hidden="1">
          <a:extLst>
            <a:ext uri="{FF2B5EF4-FFF2-40B4-BE49-F238E27FC236}">
              <a16:creationId xmlns:a16="http://schemas.microsoft.com/office/drawing/2014/main" id="{24E5732B-415D-439E-9A97-1FF4340BAF4C}"/>
            </a:ext>
          </a:extLst>
        </xdr:cNvPr>
        <xdr:cNvSpPr txBox="1">
          <a:spLocks noChangeArrowheads="1"/>
        </xdr:cNvSpPr>
      </xdr:nvSpPr>
      <xdr:spPr bwMode="auto">
        <a:xfrm>
          <a:off x="30146625" y="9344025"/>
          <a:ext cx="971550"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44</xdr:row>
      <xdr:rowOff>130785</xdr:rowOff>
    </xdr:from>
    <xdr:to>
      <xdr:col>38</xdr:col>
      <xdr:colOff>492418</xdr:colOff>
      <xdr:row>52</xdr:row>
      <xdr:rowOff>268334</xdr:rowOff>
    </xdr:to>
    <xdr:sp macro="" textlink="">
      <xdr:nvSpPr>
        <xdr:cNvPr id="252948" name="Text Box 20" hidden="1">
          <a:extLst>
            <a:ext uri="{FF2B5EF4-FFF2-40B4-BE49-F238E27FC236}">
              <a16:creationId xmlns:a16="http://schemas.microsoft.com/office/drawing/2014/main" id="{583BB590-CA17-42A2-A731-0F38369C2E58}"/>
            </a:ext>
          </a:extLst>
        </xdr:cNvPr>
        <xdr:cNvSpPr txBox="1">
          <a:spLocks noChangeArrowheads="1"/>
        </xdr:cNvSpPr>
      </xdr:nvSpPr>
      <xdr:spPr bwMode="auto">
        <a:xfrm>
          <a:off x="30079950" y="9344025"/>
          <a:ext cx="914400" cy="1466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52</xdr:row>
      <xdr:rowOff>746548</xdr:rowOff>
    </xdr:from>
    <xdr:to>
      <xdr:col>38</xdr:col>
      <xdr:colOff>492418</xdr:colOff>
      <xdr:row>52</xdr:row>
      <xdr:rowOff>860848</xdr:rowOff>
    </xdr:to>
    <xdr:sp macro="" textlink="">
      <xdr:nvSpPr>
        <xdr:cNvPr id="252947" name="Text Box 19" hidden="1">
          <a:extLst>
            <a:ext uri="{FF2B5EF4-FFF2-40B4-BE49-F238E27FC236}">
              <a16:creationId xmlns:a16="http://schemas.microsoft.com/office/drawing/2014/main" id="{34161C3E-251C-4E5B-9E5D-3F3FE65520CA}"/>
            </a:ext>
          </a:extLst>
        </xdr:cNvPr>
        <xdr:cNvSpPr txBox="1">
          <a:spLocks noChangeArrowheads="1"/>
        </xdr:cNvSpPr>
      </xdr:nvSpPr>
      <xdr:spPr bwMode="auto">
        <a:xfrm>
          <a:off x="30079950" y="11277600"/>
          <a:ext cx="914400"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52</xdr:row>
      <xdr:rowOff>746548</xdr:rowOff>
    </xdr:from>
    <xdr:to>
      <xdr:col>38</xdr:col>
      <xdr:colOff>568618</xdr:colOff>
      <xdr:row>52</xdr:row>
      <xdr:rowOff>860848</xdr:rowOff>
    </xdr:to>
    <xdr:sp macro="" textlink="">
      <xdr:nvSpPr>
        <xdr:cNvPr id="252946" name="Text Box 18" hidden="1">
          <a:extLst>
            <a:ext uri="{FF2B5EF4-FFF2-40B4-BE49-F238E27FC236}">
              <a16:creationId xmlns:a16="http://schemas.microsoft.com/office/drawing/2014/main" id="{44CA8B3D-174D-4CF4-AF8A-63AA8EC7665E}"/>
            </a:ext>
          </a:extLst>
        </xdr:cNvPr>
        <xdr:cNvSpPr txBox="1">
          <a:spLocks noChangeArrowheads="1"/>
        </xdr:cNvSpPr>
      </xdr:nvSpPr>
      <xdr:spPr bwMode="auto">
        <a:xfrm>
          <a:off x="30146625" y="11277600"/>
          <a:ext cx="923925"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44</xdr:row>
      <xdr:rowOff>130785</xdr:rowOff>
    </xdr:from>
    <xdr:to>
      <xdr:col>38</xdr:col>
      <xdr:colOff>568618</xdr:colOff>
      <xdr:row>44</xdr:row>
      <xdr:rowOff>132690</xdr:rowOff>
    </xdr:to>
    <xdr:sp macro="" textlink="">
      <xdr:nvSpPr>
        <xdr:cNvPr id="252945" name="Text Box 17" hidden="1">
          <a:extLst>
            <a:ext uri="{FF2B5EF4-FFF2-40B4-BE49-F238E27FC236}">
              <a16:creationId xmlns:a16="http://schemas.microsoft.com/office/drawing/2014/main" id="{AAD2393C-B08C-4C9F-873B-0FD55CB002BA}"/>
            </a:ext>
          </a:extLst>
        </xdr:cNvPr>
        <xdr:cNvSpPr txBox="1">
          <a:spLocks noChangeArrowheads="1"/>
        </xdr:cNvSpPr>
      </xdr:nvSpPr>
      <xdr:spPr bwMode="auto">
        <a:xfrm>
          <a:off x="30146625" y="9344025"/>
          <a:ext cx="923925"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44</xdr:row>
      <xdr:rowOff>130785</xdr:rowOff>
    </xdr:from>
    <xdr:to>
      <xdr:col>38</xdr:col>
      <xdr:colOff>608623</xdr:colOff>
      <xdr:row>44</xdr:row>
      <xdr:rowOff>132690</xdr:rowOff>
    </xdr:to>
    <xdr:sp macro="" textlink="">
      <xdr:nvSpPr>
        <xdr:cNvPr id="252954" name="Text Box 26" hidden="1">
          <a:extLst>
            <a:ext uri="{FF2B5EF4-FFF2-40B4-BE49-F238E27FC236}">
              <a16:creationId xmlns:a16="http://schemas.microsoft.com/office/drawing/2014/main" id="{3C891323-E76A-407C-88E8-12B8106EBC18}"/>
            </a:ext>
          </a:extLst>
        </xdr:cNvPr>
        <xdr:cNvSpPr txBox="1">
          <a:spLocks noChangeArrowheads="1"/>
        </xdr:cNvSpPr>
      </xdr:nvSpPr>
      <xdr:spPr bwMode="auto">
        <a:xfrm>
          <a:off x="31074360" y="9182100"/>
          <a:ext cx="1005840" cy="7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44</xdr:row>
      <xdr:rowOff>130785</xdr:rowOff>
    </xdr:from>
    <xdr:to>
      <xdr:col>38</xdr:col>
      <xdr:colOff>492418</xdr:colOff>
      <xdr:row>52</xdr:row>
      <xdr:rowOff>251279</xdr:rowOff>
    </xdr:to>
    <xdr:sp macro="" textlink="">
      <xdr:nvSpPr>
        <xdr:cNvPr id="252953" name="Text Box 25" hidden="1">
          <a:extLst>
            <a:ext uri="{FF2B5EF4-FFF2-40B4-BE49-F238E27FC236}">
              <a16:creationId xmlns:a16="http://schemas.microsoft.com/office/drawing/2014/main" id="{61ECF97E-5E64-4693-86CD-E54A91D323FB}"/>
            </a:ext>
          </a:extLst>
        </xdr:cNvPr>
        <xdr:cNvSpPr txBox="1">
          <a:spLocks noChangeArrowheads="1"/>
        </xdr:cNvSpPr>
      </xdr:nvSpPr>
      <xdr:spPr bwMode="auto">
        <a:xfrm>
          <a:off x="31005780" y="9182100"/>
          <a:ext cx="944880" cy="14249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52</xdr:row>
      <xdr:rowOff>756467</xdr:rowOff>
    </xdr:from>
    <xdr:to>
      <xdr:col>38</xdr:col>
      <xdr:colOff>492418</xdr:colOff>
      <xdr:row>52</xdr:row>
      <xdr:rowOff>843824</xdr:rowOff>
    </xdr:to>
    <xdr:sp macro="" textlink="">
      <xdr:nvSpPr>
        <xdr:cNvPr id="252952" name="Text Box 24" hidden="1">
          <a:extLst>
            <a:ext uri="{FF2B5EF4-FFF2-40B4-BE49-F238E27FC236}">
              <a16:creationId xmlns:a16="http://schemas.microsoft.com/office/drawing/2014/main" id="{E0C89A7B-8F9F-4DAA-9706-C7B66450BB88}"/>
            </a:ext>
          </a:extLst>
        </xdr:cNvPr>
        <xdr:cNvSpPr txBox="1">
          <a:spLocks noChangeArrowheads="1"/>
        </xdr:cNvSpPr>
      </xdr:nvSpPr>
      <xdr:spPr bwMode="auto">
        <a:xfrm>
          <a:off x="31005780" y="11049000"/>
          <a:ext cx="94488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52</xdr:row>
      <xdr:rowOff>756467</xdr:rowOff>
    </xdr:from>
    <xdr:to>
      <xdr:col>38</xdr:col>
      <xdr:colOff>568618</xdr:colOff>
      <xdr:row>52</xdr:row>
      <xdr:rowOff>843824</xdr:rowOff>
    </xdr:to>
    <xdr:sp macro="" textlink="">
      <xdr:nvSpPr>
        <xdr:cNvPr id="252951" name="Text Box 23" hidden="1">
          <a:extLst>
            <a:ext uri="{FF2B5EF4-FFF2-40B4-BE49-F238E27FC236}">
              <a16:creationId xmlns:a16="http://schemas.microsoft.com/office/drawing/2014/main" id="{320CFB50-3AD1-4203-89EC-E454B249AB09}"/>
            </a:ext>
          </a:extLst>
        </xdr:cNvPr>
        <xdr:cNvSpPr txBox="1">
          <a:spLocks noChangeArrowheads="1"/>
        </xdr:cNvSpPr>
      </xdr:nvSpPr>
      <xdr:spPr bwMode="auto">
        <a:xfrm>
          <a:off x="31074360" y="11049000"/>
          <a:ext cx="95250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44</xdr:row>
      <xdr:rowOff>130785</xdr:rowOff>
    </xdr:from>
    <xdr:to>
      <xdr:col>38</xdr:col>
      <xdr:colOff>568618</xdr:colOff>
      <xdr:row>44</xdr:row>
      <xdr:rowOff>132690</xdr:rowOff>
    </xdr:to>
    <xdr:sp macro="" textlink="">
      <xdr:nvSpPr>
        <xdr:cNvPr id="252950" name="Text Box 22" hidden="1">
          <a:extLst>
            <a:ext uri="{FF2B5EF4-FFF2-40B4-BE49-F238E27FC236}">
              <a16:creationId xmlns:a16="http://schemas.microsoft.com/office/drawing/2014/main" id="{A462AF66-2A46-47A3-98FD-77AB5B570FC3}"/>
            </a:ext>
          </a:extLst>
        </xdr:cNvPr>
        <xdr:cNvSpPr txBox="1">
          <a:spLocks noChangeArrowheads="1"/>
        </xdr:cNvSpPr>
      </xdr:nvSpPr>
      <xdr:spPr bwMode="auto">
        <a:xfrm>
          <a:off x="31074360" y="9182100"/>
          <a:ext cx="952500" cy="7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44</xdr:row>
      <xdr:rowOff>130785</xdr:rowOff>
    </xdr:from>
    <xdr:to>
      <xdr:col>38</xdr:col>
      <xdr:colOff>608623</xdr:colOff>
      <xdr:row>44</xdr:row>
      <xdr:rowOff>132690</xdr:rowOff>
    </xdr:to>
    <xdr:sp macro="" textlink="">
      <xdr:nvSpPr>
        <xdr:cNvPr id="252959" name="Text Box 31" hidden="1">
          <a:extLst>
            <a:ext uri="{FF2B5EF4-FFF2-40B4-BE49-F238E27FC236}">
              <a16:creationId xmlns:a16="http://schemas.microsoft.com/office/drawing/2014/main" id="{4DEACF51-F30D-44F1-9204-889832AE9BBF}"/>
            </a:ext>
          </a:extLst>
        </xdr:cNvPr>
        <xdr:cNvSpPr txBox="1">
          <a:spLocks noChangeArrowheads="1"/>
        </xdr:cNvSpPr>
      </xdr:nvSpPr>
      <xdr:spPr bwMode="auto">
        <a:xfrm>
          <a:off x="31066740" y="9182100"/>
          <a:ext cx="10134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44</xdr:row>
      <xdr:rowOff>130785</xdr:rowOff>
    </xdr:from>
    <xdr:to>
      <xdr:col>38</xdr:col>
      <xdr:colOff>492418</xdr:colOff>
      <xdr:row>52</xdr:row>
      <xdr:rowOff>251279</xdr:rowOff>
    </xdr:to>
    <xdr:sp macro="" textlink="">
      <xdr:nvSpPr>
        <xdr:cNvPr id="252958" name="Text Box 30" hidden="1">
          <a:extLst>
            <a:ext uri="{FF2B5EF4-FFF2-40B4-BE49-F238E27FC236}">
              <a16:creationId xmlns:a16="http://schemas.microsoft.com/office/drawing/2014/main" id="{6463DD54-AB05-4343-9DCE-2BBBCA407800}"/>
            </a:ext>
          </a:extLst>
        </xdr:cNvPr>
        <xdr:cNvSpPr txBox="1">
          <a:spLocks noChangeArrowheads="1"/>
        </xdr:cNvSpPr>
      </xdr:nvSpPr>
      <xdr:spPr bwMode="auto">
        <a:xfrm>
          <a:off x="30998160" y="9182100"/>
          <a:ext cx="944880" cy="1417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52</xdr:row>
      <xdr:rowOff>756467</xdr:rowOff>
    </xdr:from>
    <xdr:to>
      <xdr:col>38</xdr:col>
      <xdr:colOff>492418</xdr:colOff>
      <xdr:row>52</xdr:row>
      <xdr:rowOff>843824</xdr:rowOff>
    </xdr:to>
    <xdr:sp macro="" textlink="">
      <xdr:nvSpPr>
        <xdr:cNvPr id="252957" name="Text Box 29" hidden="1">
          <a:extLst>
            <a:ext uri="{FF2B5EF4-FFF2-40B4-BE49-F238E27FC236}">
              <a16:creationId xmlns:a16="http://schemas.microsoft.com/office/drawing/2014/main" id="{4059B9B1-6440-4DB7-9BE4-D095C8912E0A}"/>
            </a:ext>
          </a:extLst>
        </xdr:cNvPr>
        <xdr:cNvSpPr txBox="1">
          <a:spLocks noChangeArrowheads="1"/>
        </xdr:cNvSpPr>
      </xdr:nvSpPr>
      <xdr:spPr bwMode="auto">
        <a:xfrm>
          <a:off x="30998160" y="11041380"/>
          <a:ext cx="94488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52</xdr:row>
      <xdr:rowOff>756467</xdr:rowOff>
    </xdr:from>
    <xdr:to>
      <xdr:col>38</xdr:col>
      <xdr:colOff>568618</xdr:colOff>
      <xdr:row>52</xdr:row>
      <xdr:rowOff>843824</xdr:rowOff>
    </xdr:to>
    <xdr:sp macro="" textlink="">
      <xdr:nvSpPr>
        <xdr:cNvPr id="252956" name="Text Box 28" hidden="1">
          <a:extLst>
            <a:ext uri="{FF2B5EF4-FFF2-40B4-BE49-F238E27FC236}">
              <a16:creationId xmlns:a16="http://schemas.microsoft.com/office/drawing/2014/main" id="{DE9C1765-F87E-4A31-93AA-69EFFDF2BE86}"/>
            </a:ext>
          </a:extLst>
        </xdr:cNvPr>
        <xdr:cNvSpPr txBox="1">
          <a:spLocks noChangeArrowheads="1"/>
        </xdr:cNvSpPr>
      </xdr:nvSpPr>
      <xdr:spPr bwMode="auto">
        <a:xfrm>
          <a:off x="31066740" y="11041380"/>
          <a:ext cx="95250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44</xdr:row>
      <xdr:rowOff>130785</xdr:rowOff>
    </xdr:from>
    <xdr:to>
      <xdr:col>38</xdr:col>
      <xdr:colOff>568618</xdr:colOff>
      <xdr:row>44</xdr:row>
      <xdr:rowOff>132690</xdr:rowOff>
    </xdr:to>
    <xdr:sp macro="" textlink="">
      <xdr:nvSpPr>
        <xdr:cNvPr id="252955" name="Text Box 27" hidden="1">
          <a:extLst>
            <a:ext uri="{FF2B5EF4-FFF2-40B4-BE49-F238E27FC236}">
              <a16:creationId xmlns:a16="http://schemas.microsoft.com/office/drawing/2014/main" id="{57035444-BBC5-426C-93BF-8E7570DBDA01}"/>
            </a:ext>
          </a:extLst>
        </xdr:cNvPr>
        <xdr:cNvSpPr txBox="1">
          <a:spLocks noChangeArrowheads="1"/>
        </xdr:cNvSpPr>
      </xdr:nvSpPr>
      <xdr:spPr bwMode="auto">
        <a:xfrm>
          <a:off x="31066740" y="9182100"/>
          <a:ext cx="952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44</xdr:row>
      <xdr:rowOff>130785</xdr:rowOff>
    </xdr:from>
    <xdr:to>
      <xdr:col>38</xdr:col>
      <xdr:colOff>608623</xdr:colOff>
      <xdr:row>44</xdr:row>
      <xdr:rowOff>151871</xdr:rowOff>
    </xdr:to>
    <xdr:sp macro="" textlink="">
      <xdr:nvSpPr>
        <xdr:cNvPr id="252964" name="Text Box 36" hidden="1">
          <a:extLst>
            <a:ext uri="{FF2B5EF4-FFF2-40B4-BE49-F238E27FC236}">
              <a16:creationId xmlns:a16="http://schemas.microsoft.com/office/drawing/2014/main" id="{68A2020A-3B41-477A-A799-21E4A30D071D}"/>
            </a:ext>
          </a:extLst>
        </xdr:cNvPr>
        <xdr:cNvSpPr txBox="1">
          <a:spLocks noChangeArrowheads="1"/>
        </xdr:cNvSpPr>
      </xdr:nvSpPr>
      <xdr:spPr bwMode="auto">
        <a:xfrm>
          <a:off x="30127575" y="9344025"/>
          <a:ext cx="990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44</xdr:row>
      <xdr:rowOff>130785</xdr:rowOff>
    </xdr:from>
    <xdr:to>
      <xdr:col>38</xdr:col>
      <xdr:colOff>492418</xdr:colOff>
      <xdr:row>52</xdr:row>
      <xdr:rowOff>251279</xdr:rowOff>
    </xdr:to>
    <xdr:sp macro="" textlink="">
      <xdr:nvSpPr>
        <xdr:cNvPr id="252963" name="Text Box 35" hidden="1">
          <a:extLst>
            <a:ext uri="{FF2B5EF4-FFF2-40B4-BE49-F238E27FC236}">
              <a16:creationId xmlns:a16="http://schemas.microsoft.com/office/drawing/2014/main" id="{1037621C-C7F3-4023-B091-BAF39AC4CA68}"/>
            </a:ext>
          </a:extLst>
        </xdr:cNvPr>
        <xdr:cNvSpPr txBox="1">
          <a:spLocks noChangeArrowheads="1"/>
        </xdr:cNvSpPr>
      </xdr:nvSpPr>
      <xdr:spPr bwMode="auto">
        <a:xfrm>
          <a:off x="30060900" y="9344025"/>
          <a:ext cx="914400" cy="1457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52</xdr:row>
      <xdr:rowOff>756467</xdr:rowOff>
    </xdr:from>
    <xdr:to>
      <xdr:col>38</xdr:col>
      <xdr:colOff>492418</xdr:colOff>
      <xdr:row>52</xdr:row>
      <xdr:rowOff>843824</xdr:rowOff>
    </xdr:to>
    <xdr:sp macro="" textlink="">
      <xdr:nvSpPr>
        <xdr:cNvPr id="252962" name="Text Box 34" hidden="1">
          <a:extLst>
            <a:ext uri="{FF2B5EF4-FFF2-40B4-BE49-F238E27FC236}">
              <a16:creationId xmlns:a16="http://schemas.microsoft.com/office/drawing/2014/main" id="{E9912762-3D67-4238-88E2-DC7222293139}"/>
            </a:ext>
          </a:extLst>
        </xdr:cNvPr>
        <xdr:cNvSpPr txBox="1">
          <a:spLocks noChangeArrowheads="1"/>
        </xdr:cNvSpPr>
      </xdr:nvSpPr>
      <xdr:spPr bwMode="auto">
        <a:xfrm>
          <a:off x="30060900" y="11258550"/>
          <a:ext cx="914400"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52</xdr:row>
      <xdr:rowOff>756467</xdr:rowOff>
    </xdr:from>
    <xdr:to>
      <xdr:col>38</xdr:col>
      <xdr:colOff>568618</xdr:colOff>
      <xdr:row>52</xdr:row>
      <xdr:rowOff>843824</xdr:rowOff>
    </xdr:to>
    <xdr:sp macro="" textlink="">
      <xdr:nvSpPr>
        <xdr:cNvPr id="252961" name="Text Box 33" hidden="1">
          <a:extLst>
            <a:ext uri="{FF2B5EF4-FFF2-40B4-BE49-F238E27FC236}">
              <a16:creationId xmlns:a16="http://schemas.microsoft.com/office/drawing/2014/main" id="{2404B1F8-E1F5-43EA-963C-1E2A090160FA}"/>
            </a:ext>
          </a:extLst>
        </xdr:cNvPr>
        <xdr:cNvSpPr txBox="1">
          <a:spLocks noChangeArrowheads="1"/>
        </xdr:cNvSpPr>
      </xdr:nvSpPr>
      <xdr:spPr bwMode="auto">
        <a:xfrm>
          <a:off x="30127575" y="11258550"/>
          <a:ext cx="923925"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44</xdr:row>
      <xdr:rowOff>130785</xdr:rowOff>
    </xdr:from>
    <xdr:to>
      <xdr:col>38</xdr:col>
      <xdr:colOff>568618</xdr:colOff>
      <xdr:row>44</xdr:row>
      <xdr:rowOff>151871</xdr:rowOff>
    </xdr:to>
    <xdr:sp macro="" textlink="">
      <xdr:nvSpPr>
        <xdr:cNvPr id="252960" name="Text Box 32" hidden="1">
          <a:extLst>
            <a:ext uri="{FF2B5EF4-FFF2-40B4-BE49-F238E27FC236}">
              <a16:creationId xmlns:a16="http://schemas.microsoft.com/office/drawing/2014/main" id="{1890B0FB-19B1-417B-A58E-2210E591B13A}"/>
            </a:ext>
          </a:extLst>
        </xdr:cNvPr>
        <xdr:cNvSpPr txBox="1">
          <a:spLocks noChangeArrowheads="1"/>
        </xdr:cNvSpPr>
      </xdr:nvSpPr>
      <xdr:spPr bwMode="auto">
        <a:xfrm>
          <a:off x="30127575" y="9344025"/>
          <a:ext cx="9239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45</xdr:row>
      <xdr:rowOff>82625</xdr:rowOff>
    </xdr:from>
    <xdr:to>
      <xdr:col>38</xdr:col>
      <xdr:colOff>608623</xdr:colOff>
      <xdr:row>45</xdr:row>
      <xdr:rowOff>83471</xdr:rowOff>
    </xdr:to>
    <xdr:sp macro="" textlink="">
      <xdr:nvSpPr>
        <xdr:cNvPr id="252969" name="Text Box 41" hidden="1">
          <a:extLst>
            <a:ext uri="{FF2B5EF4-FFF2-40B4-BE49-F238E27FC236}">
              <a16:creationId xmlns:a16="http://schemas.microsoft.com/office/drawing/2014/main" id="{3788E8AC-2054-4869-A54F-426879347DFB}"/>
            </a:ext>
          </a:extLst>
        </xdr:cNvPr>
        <xdr:cNvSpPr txBox="1">
          <a:spLocks noChangeArrowheads="1"/>
        </xdr:cNvSpPr>
      </xdr:nvSpPr>
      <xdr:spPr bwMode="auto">
        <a:xfrm>
          <a:off x="30127575" y="9363075"/>
          <a:ext cx="990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45</xdr:row>
      <xdr:rowOff>82625</xdr:rowOff>
    </xdr:from>
    <xdr:to>
      <xdr:col>38</xdr:col>
      <xdr:colOff>456223</xdr:colOff>
      <xdr:row>55</xdr:row>
      <xdr:rowOff>32051</xdr:rowOff>
    </xdr:to>
    <xdr:sp macro="" textlink="">
      <xdr:nvSpPr>
        <xdr:cNvPr id="252968" name="Text Box 40" hidden="1">
          <a:extLst>
            <a:ext uri="{FF2B5EF4-FFF2-40B4-BE49-F238E27FC236}">
              <a16:creationId xmlns:a16="http://schemas.microsoft.com/office/drawing/2014/main" id="{26FAF55B-77B7-47EE-BA2F-828B45D76F61}"/>
            </a:ext>
          </a:extLst>
        </xdr:cNvPr>
        <xdr:cNvSpPr txBox="1">
          <a:spLocks noChangeArrowheads="1"/>
        </xdr:cNvSpPr>
      </xdr:nvSpPr>
      <xdr:spPr bwMode="auto">
        <a:xfrm>
          <a:off x="30051375" y="9363075"/>
          <a:ext cx="914400"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52</xdr:row>
      <xdr:rowOff>596490</xdr:rowOff>
    </xdr:from>
    <xdr:to>
      <xdr:col>38</xdr:col>
      <xdr:colOff>456223</xdr:colOff>
      <xdr:row>52</xdr:row>
      <xdr:rowOff>596490</xdr:rowOff>
    </xdr:to>
    <xdr:sp macro="" textlink="">
      <xdr:nvSpPr>
        <xdr:cNvPr id="252967" name="Text Box 39" hidden="1">
          <a:extLst>
            <a:ext uri="{FF2B5EF4-FFF2-40B4-BE49-F238E27FC236}">
              <a16:creationId xmlns:a16="http://schemas.microsoft.com/office/drawing/2014/main" id="{0B6DF588-52D4-4336-9541-15FFAEBACF3C}"/>
            </a:ext>
          </a:extLst>
        </xdr:cNvPr>
        <xdr:cNvSpPr txBox="1">
          <a:spLocks noChangeArrowheads="1"/>
        </xdr:cNvSpPr>
      </xdr:nvSpPr>
      <xdr:spPr bwMode="auto">
        <a:xfrm>
          <a:off x="300513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52</xdr:row>
      <xdr:rowOff>596490</xdr:rowOff>
    </xdr:from>
    <xdr:to>
      <xdr:col>38</xdr:col>
      <xdr:colOff>532423</xdr:colOff>
      <xdr:row>52</xdr:row>
      <xdr:rowOff>596490</xdr:rowOff>
    </xdr:to>
    <xdr:sp macro="" textlink="">
      <xdr:nvSpPr>
        <xdr:cNvPr id="252966" name="Text Box 38" hidden="1">
          <a:extLst>
            <a:ext uri="{FF2B5EF4-FFF2-40B4-BE49-F238E27FC236}">
              <a16:creationId xmlns:a16="http://schemas.microsoft.com/office/drawing/2014/main" id="{E4EEF175-76F4-400F-A15C-65A81EAF87B6}"/>
            </a:ext>
          </a:extLst>
        </xdr:cNvPr>
        <xdr:cNvSpPr txBox="1">
          <a:spLocks noChangeArrowheads="1"/>
        </xdr:cNvSpPr>
      </xdr:nvSpPr>
      <xdr:spPr bwMode="auto">
        <a:xfrm>
          <a:off x="301275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45</xdr:row>
      <xdr:rowOff>82625</xdr:rowOff>
    </xdr:from>
    <xdr:to>
      <xdr:col>38</xdr:col>
      <xdr:colOff>532423</xdr:colOff>
      <xdr:row>45</xdr:row>
      <xdr:rowOff>83471</xdr:rowOff>
    </xdr:to>
    <xdr:sp macro="" textlink="">
      <xdr:nvSpPr>
        <xdr:cNvPr id="252965" name="Text Box 37" hidden="1">
          <a:extLst>
            <a:ext uri="{FF2B5EF4-FFF2-40B4-BE49-F238E27FC236}">
              <a16:creationId xmlns:a16="http://schemas.microsoft.com/office/drawing/2014/main" id="{2FCAFE45-AFAC-461D-92F3-B968F165F487}"/>
            </a:ext>
          </a:extLst>
        </xdr:cNvPr>
        <xdr:cNvSpPr txBox="1">
          <a:spLocks noChangeArrowheads="1"/>
        </xdr:cNvSpPr>
      </xdr:nvSpPr>
      <xdr:spPr bwMode="auto">
        <a:xfrm>
          <a:off x="30127575" y="936307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23</xdr:row>
      <xdr:rowOff>86922</xdr:rowOff>
    </xdr:from>
    <xdr:to>
      <xdr:col>3</xdr:col>
      <xdr:colOff>304800</xdr:colOff>
      <xdr:row>27</xdr:row>
      <xdr:rowOff>2166</xdr:rowOff>
    </xdr:to>
    <xdr:sp macro="" textlink="">
      <xdr:nvSpPr>
        <xdr:cNvPr id="252970" name="Text Box 42" hidden="1">
          <a:extLst>
            <a:ext uri="{FF2B5EF4-FFF2-40B4-BE49-F238E27FC236}">
              <a16:creationId xmlns:a16="http://schemas.microsoft.com/office/drawing/2014/main" id="{28B0A706-A281-4013-BFBF-6AB24A942F5E}"/>
            </a:ext>
          </a:extLst>
        </xdr:cNvPr>
        <xdr:cNvSpPr txBox="1">
          <a:spLocks noChangeArrowheads="1"/>
        </xdr:cNvSpPr>
      </xdr:nvSpPr>
      <xdr:spPr bwMode="auto">
        <a:xfrm>
          <a:off x="4695825" y="4772025"/>
          <a:ext cx="135255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83185</xdr:rowOff>
    </xdr:from>
    <xdr:to>
      <xdr:col>3</xdr:col>
      <xdr:colOff>152400</xdr:colOff>
      <xdr:row>11</xdr:row>
      <xdr:rowOff>7327</xdr:rowOff>
    </xdr:to>
    <xdr:sp macro="" textlink="">
      <xdr:nvSpPr>
        <xdr:cNvPr id="252971" name="Text Box 43" hidden="1">
          <a:extLst>
            <a:ext uri="{FF2B5EF4-FFF2-40B4-BE49-F238E27FC236}">
              <a16:creationId xmlns:a16="http://schemas.microsoft.com/office/drawing/2014/main" id="{FE333180-0697-4528-8E24-8CBE273B9E42}"/>
            </a:ext>
          </a:extLst>
        </xdr:cNvPr>
        <xdr:cNvSpPr txBox="1">
          <a:spLocks noChangeArrowheads="1"/>
        </xdr:cNvSpPr>
      </xdr:nvSpPr>
      <xdr:spPr bwMode="auto">
        <a:xfrm>
          <a:off x="4657725" y="1533525"/>
          <a:ext cx="123825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46904</xdr:rowOff>
    </xdr:to>
    <xdr:sp macro="" textlink="">
      <xdr:nvSpPr>
        <xdr:cNvPr id="252972" name="Text Box 44" hidden="1">
          <a:extLst>
            <a:ext uri="{FF2B5EF4-FFF2-40B4-BE49-F238E27FC236}">
              <a16:creationId xmlns:a16="http://schemas.microsoft.com/office/drawing/2014/main" id="{70E1DB2C-5B7E-4093-B794-73BEB90A08C5}"/>
            </a:ext>
          </a:extLst>
        </xdr:cNvPr>
        <xdr:cNvSpPr txBox="1">
          <a:spLocks noChangeArrowheads="1"/>
        </xdr:cNvSpPr>
      </xdr:nvSpPr>
      <xdr:spPr bwMode="auto">
        <a:xfrm>
          <a:off x="4657725" y="1790700"/>
          <a:ext cx="1238250" cy="7715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25</xdr:row>
      <xdr:rowOff>21973</xdr:rowOff>
    </xdr:from>
    <xdr:to>
      <xdr:col>20</xdr:col>
      <xdr:colOff>149519</xdr:colOff>
      <xdr:row>29</xdr:row>
      <xdr:rowOff>75931</xdr:rowOff>
    </xdr:to>
    <xdr:sp macro="" textlink="">
      <xdr:nvSpPr>
        <xdr:cNvPr id="252973" name="Text Box 45" hidden="1">
          <a:extLst>
            <a:ext uri="{FF2B5EF4-FFF2-40B4-BE49-F238E27FC236}">
              <a16:creationId xmlns:a16="http://schemas.microsoft.com/office/drawing/2014/main" id="{A3658ADF-5822-4B2C-BAE0-69558E367330}"/>
            </a:ext>
          </a:extLst>
        </xdr:cNvPr>
        <xdr:cNvSpPr txBox="1">
          <a:spLocks noChangeArrowheads="1"/>
        </xdr:cNvSpPr>
      </xdr:nvSpPr>
      <xdr:spPr bwMode="auto">
        <a:xfrm>
          <a:off x="16773525" y="5105400"/>
          <a:ext cx="1247775" cy="971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45</xdr:row>
      <xdr:rowOff>82625</xdr:rowOff>
    </xdr:from>
    <xdr:to>
      <xdr:col>38</xdr:col>
      <xdr:colOff>608623</xdr:colOff>
      <xdr:row>45</xdr:row>
      <xdr:rowOff>83471</xdr:rowOff>
    </xdr:to>
    <xdr:sp macro="" textlink="">
      <xdr:nvSpPr>
        <xdr:cNvPr id="252982" name="Text Box 54" hidden="1">
          <a:extLst>
            <a:ext uri="{FF2B5EF4-FFF2-40B4-BE49-F238E27FC236}">
              <a16:creationId xmlns:a16="http://schemas.microsoft.com/office/drawing/2014/main" id="{0BE3F2EB-4954-4CA3-AF6E-BD72A1CCEF07}"/>
            </a:ext>
          </a:extLst>
        </xdr:cNvPr>
        <xdr:cNvSpPr txBox="1">
          <a:spLocks noChangeArrowheads="1"/>
        </xdr:cNvSpPr>
      </xdr:nvSpPr>
      <xdr:spPr bwMode="auto">
        <a:xfrm>
          <a:off x="30127575" y="9363075"/>
          <a:ext cx="990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45</xdr:row>
      <xdr:rowOff>82625</xdr:rowOff>
    </xdr:from>
    <xdr:to>
      <xdr:col>38</xdr:col>
      <xdr:colOff>456223</xdr:colOff>
      <xdr:row>55</xdr:row>
      <xdr:rowOff>32051</xdr:rowOff>
    </xdr:to>
    <xdr:sp macro="" textlink="">
      <xdr:nvSpPr>
        <xdr:cNvPr id="252981" name="Text Box 53" hidden="1">
          <a:extLst>
            <a:ext uri="{FF2B5EF4-FFF2-40B4-BE49-F238E27FC236}">
              <a16:creationId xmlns:a16="http://schemas.microsoft.com/office/drawing/2014/main" id="{23DCBB77-3513-42B6-90B2-3CD3CDB3DEBE}"/>
            </a:ext>
          </a:extLst>
        </xdr:cNvPr>
        <xdr:cNvSpPr txBox="1">
          <a:spLocks noChangeArrowheads="1"/>
        </xdr:cNvSpPr>
      </xdr:nvSpPr>
      <xdr:spPr bwMode="auto">
        <a:xfrm>
          <a:off x="30051375" y="9363075"/>
          <a:ext cx="914400"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52</xdr:row>
      <xdr:rowOff>596490</xdr:rowOff>
    </xdr:from>
    <xdr:to>
      <xdr:col>38</xdr:col>
      <xdr:colOff>456223</xdr:colOff>
      <xdr:row>52</xdr:row>
      <xdr:rowOff>596490</xdr:rowOff>
    </xdr:to>
    <xdr:sp macro="" textlink="">
      <xdr:nvSpPr>
        <xdr:cNvPr id="252980" name="Text Box 52" hidden="1">
          <a:extLst>
            <a:ext uri="{FF2B5EF4-FFF2-40B4-BE49-F238E27FC236}">
              <a16:creationId xmlns:a16="http://schemas.microsoft.com/office/drawing/2014/main" id="{AD69B076-C91E-4D04-BC12-22A334449DE8}"/>
            </a:ext>
          </a:extLst>
        </xdr:cNvPr>
        <xdr:cNvSpPr txBox="1">
          <a:spLocks noChangeArrowheads="1"/>
        </xdr:cNvSpPr>
      </xdr:nvSpPr>
      <xdr:spPr bwMode="auto">
        <a:xfrm>
          <a:off x="300513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52</xdr:row>
      <xdr:rowOff>596490</xdr:rowOff>
    </xdr:from>
    <xdr:to>
      <xdr:col>38</xdr:col>
      <xdr:colOff>532423</xdr:colOff>
      <xdr:row>52</xdr:row>
      <xdr:rowOff>596490</xdr:rowOff>
    </xdr:to>
    <xdr:sp macro="" textlink="">
      <xdr:nvSpPr>
        <xdr:cNvPr id="252979" name="Text Box 51" hidden="1">
          <a:extLst>
            <a:ext uri="{FF2B5EF4-FFF2-40B4-BE49-F238E27FC236}">
              <a16:creationId xmlns:a16="http://schemas.microsoft.com/office/drawing/2014/main" id="{11F9DD7D-ABFE-4559-A1A9-7424B48D89AF}"/>
            </a:ext>
          </a:extLst>
        </xdr:cNvPr>
        <xdr:cNvSpPr txBox="1">
          <a:spLocks noChangeArrowheads="1"/>
        </xdr:cNvSpPr>
      </xdr:nvSpPr>
      <xdr:spPr bwMode="auto">
        <a:xfrm>
          <a:off x="301275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45</xdr:row>
      <xdr:rowOff>82625</xdr:rowOff>
    </xdr:from>
    <xdr:to>
      <xdr:col>38</xdr:col>
      <xdr:colOff>532423</xdr:colOff>
      <xdr:row>45</xdr:row>
      <xdr:rowOff>83471</xdr:rowOff>
    </xdr:to>
    <xdr:sp macro="" textlink="">
      <xdr:nvSpPr>
        <xdr:cNvPr id="252978" name="Text Box 50" hidden="1">
          <a:extLst>
            <a:ext uri="{FF2B5EF4-FFF2-40B4-BE49-F238E27FC236}">
              <a16:creationId xmlns:a16="http://schemas.microsoft.com/office/drawing/2014/main" id="{C5BF4F7F-B33C-4B3A-9511-1BFBAEECA128}"/>
            </a:ext>
          </a:extLst>
        </xdr:cNvPr>
        <xdr:cNvSpPr txBox="1">
          <a:spLocks noChangeArrowheads="1"/>
        </xdr:cNvSpPr>
      </xdr:nvSpPr>
      <xdr:spPr bwMode="auto">
        <a:xfrm>
          <a:off x="30127575" y="936307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23</xdr:row>
      <xdr:rowOff>86922</xdr:rowOff>
    </xdr:from>
    <xdr:to>
      <xdr:col>3</xdr:col>
      <xdr:colOff>304800</xdr:colOff>
      <xdr:row>27</xdr:row>
      <xdr:rowOff>2166</xdr:rowOff>
    </xdr:to>
    <xdr:sp macro="" textlink="">
      <xdr:nvSpPr>
        <xdr:cNvPr id="252977" name="Text Box 49" hidden="1">
          <a:extLst>
            <a:ext uri="{FF2B5EF4-FFF2-40B4-BE49-F238E27FC236}">
              <a16:creationId xmlns:a16="http://schemas.microsoft.com/office/drawing/2014/main" id="{049360C9-661E-4425-B7C7-AF95F6C277B7}"/>
            </a:ext>
          </a:extLst>
        </xdr:cNvPr>
        <xdr:cNvSpPr txBox="1">
          <a:spLocks noChangeArrowheads="1"/>
        </xdr:cNvSpPr>
      </xdr:nvSpPr>
      <xdr:spPr bwMode="auto">
        <a:xfrm>
          <a:off x="4695825" y="4772025"/>
          <a:ext cx="135255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83185</xdr:rowOff>
    </xdr:from>
    <xdr:to>
      <xdr:col>3</xdr:col>
      <xdr:colOff>152400</xdr:colOff>
      <xdr:row>11</xdr:row>
      <xdr:rowOff>7327</xdr:rowOff>
    </xdr:to>
    <xdr:sp macro="" textlink="">
      <xdr:nvSpPr>
        <xdr:cNvPr id="252976" name="Text Box 48" hidden="1">
          <a:extLst>
            <a:ext uri="{FF2B5EF4-FFF2-40B4-BE49-F238E27FC236}">
              <a16:creationId xmlns:a16="http://schemas.microsoft.com/office/drawing/2014/main" id="{92B6BF94-2DE9-49A3-B33C-A5E08F003560}"/>
            </a:ext>
          </a:extLst>
        </xdr:cNvPr>
        <xdr:cNvSpPr txBox="1">
          <a:spLocks noChangeArrowheads="1"/>
        </xdr:cNvSpPr>
      </xdr:nvSpPr>
      <xdr:spPr bwMode="auto">
        <a:xfrm>
          <a:off x="4657725" y="1533525"/>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46904</xdr:rowOff>
    </xdr:to>
    <xdr:sp macro="" textlink="">
      <xdr:nvSpPr>
        <xdr:cNvPr id="252975" name="Text Box 47" hidden="1">
          <a:extLst>
            <a:ext uri="{FF2B5EF4-FFF2-40B4-BE49-F238E27FC236}">
              <a16:creationId xmlns:a16="http://schemas.microsoft.com/office/drawing/2014/main" id="{59A159B8-A8F3-4898-803A-D5D60C7CE7AD}"/>
            </a:ext>
          </a:extLst>
        </xdr:cNvPr>
        <xdr:cNvSpPr txBox="1">
          <a:spLocks noChangeArrowheads="1"/>
        </xdr:cNvSpPr>
      </xdr:nvSpPr>
      <xdr:spPr bwMode="auto">
        <a:xfrm>
          <a:off x="4657725" y="1790700"/>
          <a:ext cx="12382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25</xdr:row>
      <xdr:rowOff>21973</xdr:rowOff>
    </xdr:from>
    <xdr:to>
      <xdr:col>20</xdr:col>
      <xdr:colOff>149519</xdr:colOff>
      <xdr:row>29</xdr:row>
      <xdr:rowOff>75931</xdr:rowOff>
    </xdr:to>
    <xdr:sp macro="" textlink="">
      <xdr:nvSpPr>
        <xdr:cNvPr id="252974" name="Text Box 46" hidden="1">
          <a:extLst>
            <a:ext uri="{FF2B5EF4-FFF2-40B4-BE49-F238E27FC236}">
              <a16:creationId xmlns:a16="http://schemas.microsoft.com/office/drawing/2014/main" id="{6546A510-A1DD-4760-A2ED-36F2630B4036}"/>
            </a:ext>
          </a:extLst>
        </xdr:cNvPr>
        <xdr:cNvSpPr txBox="1">
          <a:spLocks noChangeArrowheads="1"/>
        </xdr:cNvSpPr>
      </xdr:nvSpPr>
      <xdr:spPr bwMode="auto">
        <a:xfrm>
          <a:off x="16773525" y="5105400"/>
          <a:ext cx="1247775"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56</xdr:row>
      <xdr:rowOff>39098</xdr:rowOff>
    </xdr:from>
    <xdr:to>
      <xdr:col>38</xdr:col>
      <xdr:colOff>608623</xdr:colOff>
      <xdr:row>60</xdr:row>
      <xdr:rowOff>24004</xdr:rowOff>
    </xdr:to>
    <xdr:sp macro="" textlink="">
      <xdr:nvSpPr>
        <xdr:cNvPr id="252991" name="Text Box 63" hidden="1">
          <a:extLst>
            <a:ext uri="{FF2B5EF4-FFF2-40B4-BE49-F238E27FC236}">
              <a16:creationId xmlns:a16="http://schemas.microsoft.com/office/drawing/2014/main" id="{BFD1EE6B-95A4-47ED-A487-E207D12A5C58}"/>
            </a:ext>
          </a:extLst>
        </xdr:cNvPr>
        <xdr:cNvSpPr txBox="1">
          <a:spLocks noChangeArrowheads="1"/>
        </xdr:cNvSpPr>
      </xdr:nvSpPr>
      <xdr:spPr bwMode="auto">
        <a:xfrm>
          <a:off x="31059120" y="12115800"/>
          <a:ext cx="102108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56</xdr:row>
      <xdr:rowOff>39098</xdr:rowOff>
    </xdr:from>
    <xdr:to>
      <xdr:col>38</xdr:col>
      <xdr:colOff>456223</xdr:colOff>
      <xdr:row>71</xdr:row>
      <xdr:rowOff>153207</xdr:rowOff>
    </xdr:to>
    <xdr:sp macro="" textlink="">
      <xdr:nvSpPr>
        <xdr:cNvPr id="252990" name="Text Box 62" hidden="1">
          <a:extLst>
            <a:ext uri="{FF2B5EF4-FFF2-40B4-BE49-F238E27FC236}">
              <a16:creationId xmlns:a16="http://schemas.microsoft.com/office/drawing/2014/main" id="{69398DC4-9088-4944-8533-807E8BFE1887}"/>
            </a:ext>
          </a:extLst>
        </xdr:cNvPr>
        <xdr:cNvSpPr txBox="1">
          <a:spLocks noChangeArrowheads="1"/>
        </xdr:cNvSpPr>
      </xdr:nvSpPr>
      <xdr:spPr bwMode="auto">
        <a:xfrm>
          <a:off x="30982920" y="12115800"/>
          <a:ext cx="944880" cy="2865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65</xdr:row>
      <xdr:rowOff>119129</xdr:rowOff>
    </xdr:from>
    <xdr:to>
      <xdr:col>38</xdr:col>
      <xdr:colOff>456223</xdr:colOff>
      <xdr:row>65</xdr:row>
      <xdr:rowOff>119129</xdr:rowOff>
    </xdr:to>
    <xdr:sp macro="" textlink="">
      <xdr:nvSpPr>
        <xdr:cNvPr id="252989" name="Text Box 61" hidden="1">
          <a:extLst>
            <a:ext uri="{FF2B5EF4-FFF2-40B4-BE49-F238E27FC236}">
              <a16:creationId xmlns:a16="http://schemas.microsoft.com/office/drawing/2014/main" id="{DCAA9619-86FB-43AC-A53F-810870FD8E9B}"/>
            </a:ext>
          </a:extLst>
        </xdr:cNvPr>
        <xdr:cNvSpPr txBox="1">
          <a:spLocks noChangeArrowheads="1"/>
        </xdr:cNvSpPr>
      </xdr:nvSpPr>
      <xdr:spPr bwMode="auto">
        <a:xfrm>
          <a:off x="309829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65</xdr:row>
      <xdr:rowOff>119129</xdr:rowOff>
    </xdr:from>
    <xdr:to>
      <xdr:col>38</xdr:col>
      <xdr:colOff>532423</xdr:colOff>
      <xdr:row>65</xdr:row>
      <xdr:rowOff>119129</xdr:rowOff>
    </xdr:to>
    <xdr:sp macro="" textlink="">
      <xdr:nvSpPr>
        <xdr:cNvPr id="252988" name="Text Box 60" hidden="1">
          <a:extLst>
            <a:ext uri="{FF2B5EF4-FFF2-40B4-BE49-F238E27FC236}">
              <a16:creationId xmlns:a16="http://schemas.microsoft.com/office/drawing/2014/main" id="{CEFD9844-1CFC-42DF-8B44-2FA445227019}"/>
            </a:ext>
          </a:extLst>
        </xdr:cNvPr>
        <xdr:cNvSpPr txBox="1">
          <a:spLocks noChangeArrowheads="1"/>
        </xdr:cNvSpPr>
      </xdr:nvSpPr>
      <xdr:spPr bwMode="auto">
        <a:xfrm>
          <a:off x="310591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56</xdr:row>
      <xdr:rowOff>39098</xdr:rowOff>
    </xdr:from>
    <xdr:to>
      <xdr:col>38</xdr:col>
      <xdr:colOff>532423</xdr:colOff>
      <xdr:row>60</xdr:row>
      <xdr:rowOff>24004</xdr:rowOff>
    </xdr:to>
    <xdr:sp macro="" textlink="">
      <xdr:nvSpPr>
        <xdr:cNvPr id="252987" name="Text Box 59" hidden="1">
          <a:extLst>
            <a:ext uri="{FF2B5EF4-FFF2-40B4-BE49-F238E27FC236}">
              <a16:creationId xmlns:a16="http://schemas.microsoft.com/office/drawing/2014/main" id="{25690184-2451-433B-86AF-12849052092B}"/>
            </a:ext>
          </a:extLst>
        </xdr:cNvPr>
        <xdr:cNvSpPr txBox="1">
          <a:spLocks noChangeArrowheads="1"/>
        </xdr:cNvSpPr>
      </xdr:nvSpPr>
      <xdr:spPr bwMode="auto">
        <a:xfrm>
          <a:off x="31059120" y="12115800"/>
          <a:ext cx="94488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85365</xdr:rowOff>
    </xdr:from>
    <xdr:to>
      <xdr:col>3</xdr:col>
      <xdr:colOff>304800</xdr:colOff>
      <xdr:row>32</xdr:row>
      <xdr:rowOff>34414</xdr:rowOff>
    </xdr:to>
    <xdr:sp macro="" textlink="">
      <xdr:nvSpPr>
        <xdr:cNvPr id="252986" name="Text Box 58" hidden="1">
          <a:extLst>
            <a:ext uri="{FF2B5EF4-FFF2-40B4-BE49-F238E27FC236}">
              <a16:creationId xmlns:a16="http://schemas.microsoft.com/office/drawing/2014/main" id="{D812E8B6-460E-4906-8541-2A65DA047244}"/>
            </a:ext>
          </a:extLst>
        </xdr:cNvPr>
        <xdr:cNvSpPr txBox="1">
          <a:spLocks noChangeArrowheads="1"/>
        </xdr:cNvSpPr>
      </xdr:nvSpPr>
      <xdr:spPr bwMode="auto">
        <a:xfrm>
          <a:off x="4831080" y="5768340"/>
          <a:ext cx="1386840" cy="655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7327</xdr:rowOff>
    </xdr:to>
    <xdr:sp macro="" textlink="">
      <xdr:nvSpPr>
        <xdr:cNvPr id="252985" name="Text Box 57" hidden="1">
          <a:extLst>
            <a:ext uri="{FF2B5EF4-FFF2-40B4-BE49-F238E27FC236}">
              <a16:creationId xmlns:a16="http://schemas.microsoft.com/office/drawing/2014/main" id="{32F5C8BC-F625-4177-BC8B-54BCDC4C37BE}"/>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46904</xdr:rowOff>
    </xdr:to>
    <xdr:sp macro="" textlink="">
      <xdr:nvSpPr>
        <xdr:cNvPr id="252984" name="Text Box 56" hidden="1">
          <a:extLst>
            <a:ext uri="{FF2B5EF4-FFF2-40B4-BE49-F238E27FC236}">
              <a16:creationId xmlns:a16="http://schemas.microsoft.com/office/drawing/2014/main" id="{22F21265-52F7-41D2-83AC-14DA53F3062E}"/>
            </a:ext>
          </a:extLst>
        </xdr:cNvPr>
        <xdr:cNvSpPr txBox="1">
          <a:spLocks noChangeArrowheads="1"/>
        </xdr:cNvSpPr>
      </xdr:nvSpPr>
      <xdr:spPr bwMode="auto">
        <a:xfrm>
          <a:off x="4792980" y="1767840"/>
          <a:ext cx="12725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33</xdr:row>
      <xdr:rowOff>94972</xdr:rowOff>
    </xdr:from>
    <xdr:to>
      <xdr:col>20</xdr:col>
      <xdr:colOff>149519</xdr:colOff>
      <xdr:row>37</xdr:row>
      <xdr:rowOff>208070</xdr:rowOff>
    </xdr:to>
    <xdr:sp macro="" textlink="">
      <xdr:nvSpPr>
        <xdr:cNvPr id="252983" name="Text Box 55" hidden="1">
          <a:extLst>
            <a:ext uri="{FF2B5EF4-FFF2-40B4-BE49-F238E27FC236}">
              <a16:creationId xmlns:a16="http://schemas.microsoft.com/office/drawing/2014/main" id="{B5023283-094F-46B0-887B-211C4B384127}"/>
            </a:ext>
          </a:extLst>
        </xdr:cNvPr>
        <xdr:cNvSpPr txBox="1">
          <a:spLocks noChangeArrowheads="1"/>
        </xdr:cNvSpPr>
      </xdr:nvSpPr>
      <xdr:spPr bwMode="auto">
        <a:xfrm>
          <a:off x="17259300" y="6659880"/>
          <a:ext cx="126492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56</xdr:row>
      <xdr:rowOff>39098</xdr:rowOff>
    </xdr:from>
    <xdr:to>
      <xdr:col>38</xdr:col>
      <xdr:colOff>608623</xdr:colOff>
      <xdr:row>60</xdr:row>
      <xdr:rowOff>24004</xdr:rowOff>
    </xdr:to>
    <xdr:sp macro="" textlink="">
      <xdr:nvSpPr>
        <xdr:cNvPr id="253000" name="Text Box 72" hidden="1">
          <a:extLst>
            <a:ext uri="{FF2B5EF4-FFF2-40B4-BE49-F238E27FC236}">
              <a16:creationId xmlns:a16="http://schemas.microsoft.com/office/drawing/2014/main" id="{615D2614-9C2E-4B62-BC72-BA76591164EB}"/>
            </a:ext>
          </a:extLst>
        </xdr:cNvPr>
        <xdr:cNvSpPr txBox="1">
          <a:spLocks noChangeArrowheads="1"/>
        </xdr:cNvSpPr>
      </xdr:nvSpPr>
      <xdr:spPr bwMode="auto">
        <a:xfrm>
          <a:off x="31059120" y="12108180"/>
          <a:ext cx="102108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56</xdr:row>
      <xdr:rowOff>39098</xdr:rowOff>
    </xdr:from>
    <xdr:to>
      <xdr:col>38</xdr:col>
      <xdr:colOff>456223</xdr:colOff>
      <xdr:row>71</xdr:row>
      <xdr:rowOff>153207</xdr:rowOff>
    </xdr:to>
    <xdr:sp macro="" textlink="">
      <xdr:nvSpPr>
        <xdr:cNvPr id="252999" name="Text Box 71" hidden="1">
          <a:extLst>
            <a:ext uri="{FF2B5EF4-FFF2-40B4-BE49-F238E27FC236}">
              <a16:creationId xmlns:a16="http://schemas.microsoft.com/office/drawing/2014/main" id="{5841208A-67FE-4529-94B9-6FA88213C02E}"/>
            </a:ext>
          </a:extLst>
        </xdr:cNvPr>
        <xdr:cNvSpPr txBox="1">
          <a:spLocks noChangeArrowheads="1"/>
        </xdr:cNvSpPr>
      </xdr:nvSpPr>
      <xdr:spPr bwMode="auto">
        <a:xfrm>
          <a:off x="30982920" y="12108180"/>
          <a:ext cx="944880" cy="28727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65</xdr:row>
      <xdr:rowOff>119129</xdr:rowOff>
    </xdr:from>
    <xdr:to>
      <xdr:col>38</xdr:col>
      <xdr:colOff>456223</xdr:colOff>
      <xdr:row>65</xdr:row>
      <xdr:rowOff>119129</xdr:rowOff>
    </xdr:to>
    <xdr:sp macro="" textlink="">
      <xdr:nvSpPr>
        <xdr:cNvPr id="252998" name="Text Box 70" hidden="1">
          <a:extLst>
            <a:ext uri="{FF2B5EF4-FFF2-40B4-BE49-F238E27FC236}">
              <a16:creationId xmlns:a16="http://schemas.microsoft.com/office/drawing/2014/main" id="{4D430E1E-015F-4992-9C5E-A1A9954290F2}"/>
            </a:ext>
          </a:extLst>
        </xdr:cNvPr>
        <xdr:cNvSpPr txBox="1">
          <a:spLocks noChangeArrowheads="1"/>
        </xdr:cNvSpPr>
      </xdr:nvSpPr>
      <xdr:spPr bwMode="auto">
        <a:xfrm>
          <a:off x="309829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65</xdr:row>
      <xdr:rowOff>119129</xdr:rowOff>
    </xdr:from>
    <xdr:to>
      <xdr:col>38</xdr:col>
      <xdr:colOff>532423</xdr:colOff>
      <xdr:row>65</xdr:row>
      <xdr:rowOff>119129</xdr:rowOff>
    </xdr:to>
    <xdr:sp macro="" textlink="">
      <xdr:nvSpPr>
        <xdr:cNvPr id="252997" name="Text Box 69" hidden="1">
          <a:extLst>
            <a:ext uri="{FF2B5EF4-FFF2-40B4-BE49-F238E27FC236}">
              <a16:creationId xmlns:a16="http://schemas.microsoft.com/office/drawing/2014/main" id="{759440E9-1D10-4A34-AF08-6AD577350704}"/>
            </a:ext>
          </a:extLst>
        </xdr:cNvPr>
        <xdr:cNvSpPr txBox="1">
          <a:spLocks noChangeArrowheads="1"/>
        </xdr:cNvSpPr>
      </xdr:nvSpPr>
      <xdr:spPr bwMode="auto">
        <a:xfrm>
          <a:off x="310591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56</xdr:row>
      <xdr:rowOff>39098</xdr:rowOff>
    </xdr:from>
    <xdr:to>
      <xdr:col>38</xdr:col>
      <xdr:colOff>532423</xdr:colOff>
      <xdr:row>60</xdr:row>
      <xdr:rowOff>24004</xdr:rowOff>
    </xdr:to>
    <xdr:sp macro="" textlink="">
      <xdr:nvSpPr>
        <xdr:cNvPr id="252996" name="Text Box 68" hidden="1">
          <a:extLst>
            <a:ext uri="{FF2B5EF4-FFF2-40B4-BE49-F238E27FC236}">
              <a16:creationId xmlns:a16="http://schemas.microsoft.com/office/drawing/2014/main" id="{0742B5BF-EA5B-4F61-9A5F-5FD1B6924CDD}"/>
            </a:ext>
          </a:extLst>
        </xdr:cNvPr>
        <xdr:cNvSpPr txBox="1">
          <a:spLocks noChangeArrowheads="1"/>
        </xdr:cNvSpPr>
      </xdr:nvSpPr>
      <xdr:spPr bwMode="auto">
        <a:xfrm>
          <a:off x="31059120" y="12108180"/>
          <a:ext cx="94488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85365</xdr:rowOff>
    </xdr:from>
    <xdr:to>
      <xdr:col>3</xdr:col>
      <xdr:colOff>304800</xdr:colOff>
      <xdr:row>32</xdr:row>
      <xdr:rowOff>34414</xdr:rowOff>
    </xdr:to>
    <xdr:sp macro="" textlink="">
      <xdr:nvSpPr>
        <xdr:cNvPr id="252995" name="Text Box 67" hidden="1">
          <a:extLst>
            <a:ext uri="{FF2B5EF4-FFF2-40B4-BE49-F238E27FC236}">
              <a16:creationId xmlns:a16="http://schemas.microsoft.com/office/drawing/2014/main" id="{7415E1EA-4FA0-4E5C-BC64-4AEE8F28EDA2}"/>
            </a:ext>
          </a:extLst>
        </xdr:cNvPr>
        <xdr:cNvSpPr txBox="1">
          <a:spLocks noChangeArrowheads="1"/>
        </xdr:cNvSpPr>
      </xdr:nvSpPr>
      <xdr:spPr bwMode="auto">
        <a:xfrm>
          <a:off x="4831080" y="5768340"/>
          <a:ext cx="1386840" cy="655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7327</xdr:rowOff>
    </xdr:to>
    <xdr:sp macro="" textlink="">
      <xdr:nvSpPr>
        <xdr:cNvPr id="252994" name="Text Box 66" hidden="1">
          <a:extLst>
            <a:ext uri="{FF2B5EF4-FFF2-40B4-BE49-F238E27FC236}">
              <a16:creationId xmlns:a16="http://schemas.microsoft.com/office/drawing/2014/main" id="{9E723FCD-5180-49D8-AADB-88FE0A5BFFDC}"/>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46904</xdr:rowOff>
    </xdr:to>
    <xdr:sp macro="" textlink="">
      <xdr:nvSpPr>
        <xdr:cNvPr id="252993" name="Text Box 65" hidden="1">
          <a:extLst>
            <a:ext uri="{FF2B5EF4-FFF2-40B4-BE49-F238E27FC236}">
              <a16:creationId xmlns:a16="http://schemas.microsoft.com/office/drawing/2014/main" id="{17D4BCAA-74C9-4AC2-9612-328AD689E634}"/>
            </a:ext>
          </a:extLst>
        </xdr:cNvPr>
        <xdr:cNvSpPr txBox="1">
          <a:spLocks noChangeArrowheads="1"/>
        </xdr:cNvSpPr>
      </xdr:nvSpPr>
      <xdr:spPr bwMode="auto">
        <a:xfrm>
          <a:off x="4792980" y="1767840"/>
          <a:ext cx="12725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33</xdr:row>
      <xdr:rowOff>94972</xdr:rowOff>
    </xdr:from>
    <xdr:to>
      <xdr:col>20</xdr:col>
      <xdr:colOff>117134</xdr:colOff>
      <xdr:row>37</xdr:row>
      <xdr:rowOff>208070</xdr:rowOff>
    </xdr:to>
    <xdr:sp macro="" textlink="">
      <xdr:nvSpPr>
        <xdr:cNvPr id="252992" name="Text Box 64" hidden="1">
          <a:extLst>
            <a:ext uri="{FF2B5EF4-FFF2-40B4-BE49-F238E27FC236}">
              <a16:creationId xmlns:a16="http://schemas.microsoft.com/office/drawing/2014/main" id="{D85560FE-51C6-499C-AE7B-16D190CB9E4C}"/>
            </a:ext>
          </a:extLst>
        </xdr:cNvPr>
        <xdr:cNvSpPr txBox="1">
          <a:spLocks noChangeArrowheads="1"/>
        </xdr:cNvSpPr>
      </xdr:nvSpPr>
      <xdr:spPr bwMode="auto">
        <a:xfrm>
          <a:off x="17259300" y="6652260"/>
          <a:ext cx="125730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56</xdr:row>
      <xdr:rowOff>39929</xdr:rowOff>
    </xdr:from>
    <xdr:to>
      <xdr:col>38</xdr:col>
      <xdr:colOff>608623</xdr:colOff>
      <xdr:row>60</xdr:row>
      <xdr:rowOff>24004</xdr:rowOff>
    </xdr:to>
    <xdr:sp macro="" textlink="">
      <xdr:nvSpPr>
        <xdr:cNvPr id="253009" name="Text Box 81" hidden="1">
          <a:extLst>
            <a:ext uri="{FF2B5EF4-FFF2-40B4-BE49-F238E27FC236}">
              <a16:creationId xmlns:a16="http://schemas.microsoft.com/office/drawing/2014/main" id="{76C508AD-DE07-4D26-A590-486FABBB5406}"/>
            </a:ext>
          </a:extLst>
        </xdr:cNvPr>
        <xdr:cNvSpPr txBox="1">
          <a:spLocks noChangeArrowheads="1"/>
        </xdr:cNvSpPr>
      </xdr:nvSpPr>
      <xdr:spPr bwMode="auto">
        <a:xfrm>
          <a:off x="31059120" y="12100560"/>
          <a:ext cx="102108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56</xdr:row>
      <xdr:rowOff>39929</xdr:rowOff>
    </xdr:from>
    <xdr:to>
      <xdr:col>38</xdr:col>
      <xdr:colOff>456223</xdr:colOff>
      <xdr:row>71</xdr:row>
      <xdr:rowOff>153207</xdr:rowOff>
    </xdr:to>
    <xdr:sp macro="" textlink="">
      <xdr:nvSpPr>
        <xdr:cNvPr id="253008" name="Text Box 80" hidden="1">
          <a:extLst>
            <a:ext uri="{FF2B5EF4-FFF2-40B4-BE49-F238E27FC236}">
              <a16:creationId xmlns:a16="http://schemas.microsoft.com/office/drawing/2014/main" id="{11EF4E8B-0BD4-477B-9B89-3E486C7C951A}"/>
            </a:ext>
          </a:extLst>
        </xdr:cNvPr>
        <xdr:cNvSpPr txBox="1">
          <a:spLocks noChangeArrowheads="1"/>
        </xdr:cNvSpPr>
      </xdr:nvSpPr>
      <xdr:spPr bwMode="auto">
        <a:xfrm>
          <a:off x="30982920" y="12100560"/>
          <a:ext cx="944880" cy="28803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65</xdr:row>
      <xdr:rowOff>119129</xdr:rowOff>
    </xdr:from>
    <xdr:to>
      <xdr:col>38</xdr:col>
      <xdr:colOff>456223</xdr:colOff>
      <xdr:row>65</xdr:row>
      <xdr:rowOff>119129</xdr:rowOff>
    </xdr:to>
    <xdr:sp macro="" textlink="">
      <xdr:nvSpPr>
        <xdr:cNvPr id="253007" name="Text Box 79" hidden="1">
          <a:extLst>
            <a:ext uri="{FF2B5EF4-FFF2-40B4-BE49-F238E27FC236}">
              <a16:creationId xmlns:a16="http://schemas.microsoft.com/office/drawing/2014/main" id="{6785D461-9033-4466-B879-37EE17B50771}"/>
            </a:ext>
          </a:extLst>
        </xdr:cNvPr>
        <xdr:cNvSpPr txBox="1">
          <a:spLocks noChangeArrowheads="1"/>
        </xdr:cNvSpPr>
      </xdr:nvSpPr>
      <xdr:spPr bwMode="auto">
        <a:xfrm>
          <a:off x="309829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65</xdr:row>
      <xdr:rowOff>119129</xdr:rowOff>
    </xdr:from>
    <xdr:to>
      <xdr:col>38</xdr:col>
      <xdr:colOff>532423</xdr:colOff>
      <xdr:row>65</xdr:row>
      <xdr:rowOff>119129</xdr:rowOff>
    </xdr:to>
    <xdr:sp macro="" textlink="">
      <xdr:nvSpPr>
        <xdr:cNvPr id="253006" name="Text Box 78" hidden="1">
          <a:extLst>
            <a:ext uri="{FF2B5EF4-FFF2-40B4-BE49-F238E27FC236}">
              <a16:creationId xmlns:a16="http://schemas.microsoft.com/office/drawing/2014/main" id="{9343F6C0-EA27-400E-9829-EB702DC31CC7}"/>
            </a:ext>
          </a:extLst>
        </xdr:cNvPr>
        <xdr:cNvSpPr txBox="1">
          <a:spLocks noChangeArrowheads="1"/>
        </xdr:cNvSpPr>
      </xdr:nvSpPr>
      <xdr:spPr bwMode="auto">
        <a:xfrm>
          <a:off x="310591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56</xdr:row>
      <xdr:rowOff>39929</xdr:rowOff>
    </xdr:from>
    <xdr:to>
      <xdr:col>38</xdr:col>
      <xdr:colOff>532423</xdr:colOff>
      <xdr:row>60</xdr:row>
      <xdr:rowOff>24004</xdr:rowOff>
    </xdr:to>
    <xdr:sp macro="" textlink="">
      <xdr:nvSpPr>
        <xdr:cNvPr id="253005" name="Text Box 77" hidden="1">
          <a:extLst>
            <a:ext uri="{FF2B5EF4-FFF2-40B4-BE49-F238E27FC236}">
              <a16:creationId xmlns:a16="http://schemas.microsoft.com/office/drawing/2014/main" id="{9466D8F7-16AC-4136-907B-33BA8CF32F64}"/>
            </a:ext>
          </a:extLst>
        </xdr:cNvPr>
        <xdr:cNvSpPr txBox="1">
          <a:spLocks noChangeArrowheads="1"/>
        </xdr:cNvSpPr>
      </xdr:nvSpPr>
      <xdr:spPr bwMode="auto">
        <a:xfrm>
          <a:off x="31059120" y="12100560"/>
          <a:ext cx="94488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85365</xdr:rowOff>
    </xdr:from>
    <xdr:to>
      <xdr:col>3</xdr:col>
      <xdr:colOff>304800</xdr:colOff>
      <xdr:row>32</xdr:row>
      <xdr:rowOff>34414</xdr:rowOff>
    </xdr:to>
    <xdr:sp macro="" textlink="">
      <xdr:nvSpPr>
        <xdr:cNvPr id="253004" name="Text Box 76" hidden="1">
          <a:extLst>
            <a:ext uri="{FF2B5EF4-FFF2-40B4-BE49-F238E27FC236}">
              <a16:creationId xmlns:a16="http://schemas.microsoft.com/office/drawing/2014/main" id="{4E000CC3-A160-458A-BF6B-209F52D18EC1}"/>
            </a:ext>
          </a:extLst>
        </xdr:cNvPr>
        <xdr:cNvSpPr txBox="1">
          <a:spLocks noChangeArrowheads="1"/>
        </xdr:cNvSpPr>
      </xdr:nvSpPr>
      <xdr:spPr bwMode="auto">
        <a:xfrm>
          <a:off x="4831080" y="5768340"/>
          <a:ext cx="1386840" cy="655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7327</xdr:rowOff>
    </xdr:to>
    <xdr:sp macro="" textlink="">
      <xdr:nvSpPr>
        <xdr:cNvPr id="253003" name="Text Box 75" hidden="1">
          <a:extLst>
            <a:ext uri="{FF2B5EF4-FFF2-40B4-BE49-F238E27FC236}">
              <a16:creationId xmlns:a16="http://schemas.microsoft.com/office/drawing/2014/main" id="{8C914144-302C-4F67-9750-941DBA099779}"/>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46904</xdr:rowOff>
    </xdr:to>
    <xdr:sp macro="" textlink="">
      <xdr:nvSpPr>
        <xdr:cNvPr id="253002" name="Text Box 74" hidden="1">
          <a:extLst>
            <a:ext uri="{FF2B5EF4-FFF2-40B4-BE49-F238E27FC236}">
              <a16:creationId xmlns:a16="http://schemas.microsoft.com/office/drawing/2014/main" id="{6A7A5661-ED8E-4515-99A2-D7D1D8C0BEB4}"/>
            </a:ext>
          </a:extLst>
        </xdr:cNvPr>
        <xdr:cNvSpPr txBox="1">
          <a:spLocks noChangeArrowheads="1"/>
        </xdr:cNvSpPr>
      </xdr:nvSpPr>
      <xdr:spPr bwMode="auto">
        <a:xfrm>
          <a:off x="4792980" y="1767840"/>
          <a:ext cx="12725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33</xdr:row>
      <xdr:rowOff>94972</xdr:rowOff>
    </xdr:from>
    <xdr:to>
      <xdr:col>20</xdr:col>
      <xdr:colOff>113324</xdr:colOff>
      <xdr:row>37</xdr:row>
      <xdr:rowOff>208070</xdr:rowOff>
    </xdr:to>
    <xdr:sp macro="" textlink="">
      <xdr:nvSpPr>
        <xdr:cNvPr id="253001" name="Text Box 73" hidden="1">
          <a:extLst>
            <a:ext uri="{FF2B5EF4-FFF2-40B4-BE49-F238E27FC236}">
              <a16:creationId xmlns:a16="http://schemas.microsoft.com/office/drawing/2014/main" id="{15C5E927-E241-4AFE-9DFD-3D09F455DDBD}"/>
            </a:ext>
          </a:extLst>
        </xdr:cNvPr>
        <xdr:cNvSpPr txBox="1">
          <a:spLocks noChangeArrowheads="1"/>
        </xdr:cNvSpPr>
      </xdr:nvSpPr>
      <xdr:spPr bwMode="auto">
        <a:xfrm>
          <a:off x="17259300" y="6652260"/>
          <a:ext cx="124968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56</xdr:row>
      <xdr:rowOff>39929</xdr:rowOff>
    </xdr:from>
    <xdr:to>
      <xdr:col>38</xdr:col>
      <xdr:colOff>608623</xdr:colOff>
      <xdr:row>60</xdr:row>
      <xdr:rowOff>24004</xdr:rowOff>
    </xdr:to>
    <xdr:sp macro="" textlink="">
      <xdr:nvSpPr>
        <xdr:cNvPr id="253018" name="Text Box 90" hidden="1">
          <a:extLst>
            <a:ext uri="{FF2B5EF4-FFF2-40B4-BE49-F238E27FC236}">
              <a16:creationId xmlns:a16="http://schemas.microsoft.com/office/drawing/2014/main" id="{3DE3A68D-AB71-41BB-98F7-1FCBFD261692}"/>
            </a:ext>
          </a:extLst>
        </xdr:cNvPr>
        <xdr:cNvSpPr txBox="1">
          <a:spLocks noChangeArrowheads="1"/>
        </xdr:cNvSpPr>
      </xdr:nvSpPr>
      <xdr:spPr bwMode="auto">
        <a:xfrm>
          <a:off x="30127575" y="12382500"/>
          <a:ext cx="9906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56</xdr:row>
      <xdr:rowOff>39929</xdr:rowOff>
    </xdr:from>
    <xdr:to>
      <xdr:col>38</xdr:col>
      <xdr:colOff>456223</xdr:colOff>
      <xdr:row>71</xdr:row>
      <xdr:rowOff>153207</xdr:rowOff>
    </xdr:to>
    <xdr:sp macro="" textlink="">
      <xdr:nvSpPr>
        <xdr:cNvPr id="253017" name="Text Box 89" hidden="1">
          <a:extLst>
            <a:ext uri="{FF2B5EF4-FFF2-40B4-BE49-F238E27FC236}">
              <a16:creationId xmlns:a16="http://schemas.microsoft.com/office/drawing/2014/main" id="{60C77CC6-4A67-422D-8C25-323FCD111A05}"/>
            </a:ext>
          </a:extLst>
        </xdr:cNvPr>
        <xdr:cNvSpPr txBox="1">
          <a:spLocks noChangeArrowheads="1"/>
        </xdr:cNvSpPr>
      </xdr:nvSpPr>
      <xdr:spPr bwMode="auto">
        <a:xfrm>
          <a:off x="30051375" y="12382500"/>
          <a:ext cx="914400" cy="2943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65</xdr:row>
      <xdr:rowOff>119129</xdr:rowOff>
    </xdr:from>
    <xdr:to>
      <xdr:col>38</xdr:col>
      <xdr:colOff>456223</xdr:colOff>
      <xdr:row>65</xdr:row>
      <xdr:rowOff>119129</xdr:rowOff>
    </xdr:to>
    <xdr:sp macro="" textlink="">
      <xdr:nvSpPr>
        <xdr:cNvPr id="253016" name="Text Box 88" hidden="1">
          <a:extLst>
            <a:ext uri="{FF2B5EF4-FFF2-40B4-BE49-F238E27FC236}">
              <a16:creationId xmlns:a16="http://schemas.microsoft.com/office/drawing/2014/main" id="{9A1388AE-782E-434A-BB81-1CB0091219BD}"/>
            </a:ext>
          </a:extLst>
        </xdr:cNvPr>
        <xdr:cNvSpPr txBox="1">
          <a:spLocks noChangeArrowheads="1"/>
        </xdr:cNvSpPr>
      </xdr:nvSpPr>
      <xdr:spPr bwMode="auto">
        <a:xfrm>
          <a:off x="30051375" y="1429702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65</xdr:row>
      <xdr:rowOff>119129</xdr:rowOff>
    </xdr:from>
    <xdr:to>
      <xdr:col>38</xdr:col>
      <xdr:colOff>532423</xdr:colOff>
      <xdr:row>65</xdr:row>
      <xdr:rowOff>119129</xdr:rowOff>
    </xdr:to>
    <xdr:sp macro="" textlink="">
      <xdr:nvSpPr>
        <xdr:cNvPr id="253015" name="Text Box 87" hidden="1">
          <a:extLst>
            <a:ext uri="{FF2B5EF4-FFF2-40B4-BE49-F238E27FC236}">
              <a16:creationId xmlns:a16="http://schemas.microsoft.com/office/drawing/2014/main" id="{1D7DA0E4-12DF-4936-9948-E8B5292753D1}"/>
            </a:ext>
          </a:extLst>
        </xdr:cNvPr>
        <xdr:cNvSpPr txBox="1">
          <a:spLocks noChangeArrowheads="1"/>
        </xdr:cNvSpPr>
      </xdr:nvSpPr>
      <xdr:spPr bwMode="auto">
        <a:xfrm>
          <a:off x="30127575" y="1429702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56</xdr:row>
      <xdr:rowOff>39929</xdr:rowOff>
    </xdr:from>
    <xdr:to>
      <xdr:col>38</xdr:col>
      <xdr:colOff>532423</xdr:colOff>
      <xdr:row>60</xdr:row>
      <xdr:rowOff>24004</xdr:rowOff>
    </xdr:to>
    <xdr:sp macro="" textlink="">
      <xdr:nvSpPr>
        <xdr:cNvPr id="253014" name="Text Box 86" hidden="1">
          <a:extLst>
            <a:ext uri="{FF2B5EF4-FFF2-40B4-BE49-F238E27FC236}">
              <a16:creationId xmlns:a16="http://schemas.microsoft.com/office/drawing/2014/main" id="{CA2C983A-A9D0-4FCB-B2EF-E060407BD887}"/>
            </a:ext>
          </a:extLst>
        </xdr:cNvPr>
        <xdr:cNvSpPr txBox="1">
          <a:spLocks noChangeArrowheads="1"/>
        </xdr:cNvSpPr>
      </xdr:nvSpPr>
      <xdr:spPr bwMode="auto">
        <a:xfrm>
          <a:off x="30127575" y="12382500"/>
          <a:ext cx="914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85365</xdr:rowOff>
    </xdr:from>
    <xdr:to>
      <xdr:col>3</xdr:col>
      <xdr:colOff>304800</xdr:colOff>
      <xdr:row>32</xdr:row>
      <xdr:rowOff>34414</xdr:rowOff>
    </xdr:to>
    <xdr:sp macro="" textlink="">
      <xdr:nvSpPr>
        <xdr:cNvPr id="253013" name="Text Box 85" hidden="1">
          <a:extLst>
            <a:ext uri="{FF2B5EF4-FFF2-40B4-BE49-F238E27FC236}">
              <a16:creationId xmlns:a16="http://schemas.microsoft.com/office/drawing/2014/main" id="{65D559D9-B23E-4524-BABE-B91D3190A12D}"/>
            </a:ext>
          </a:extLst>
        </xdr:cNvPr>
        <xdr:cNvSpPr txBox="1">
          <a:spLocks noChangeArrowheads="1"/>
        </xdr:cNvSpPr>
      </xdr:nvSpPr>
      <xdr:spPr bwMode="auto">
        <a:xfrm>
          <a:off x="4695825" y="5915025"/>
          <a:ext cx="1352550" cy="676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7327</xdr:rowOff>
    </xdr:to>
    <xdr:sp macro="" textlink="">
      <xdr:nvSpPr>
        <xdr:cNvPr id="253012" name="Text Box 84" hidden="1">
          <a:extLst>
            <a:ext uri="{FF2B5EF4-FFF2-40B4-BE49-F238E27FC236}">
              <a16:creationId xmlns:a16="http://schemas.microsoft.com/office/drawing/2014/main" id="{9D335723-4313-49E4-9AAC-3F89A36E91C2}"/>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46904</xdr:rowOff>
    </xdr:to>
    <xdr:sp macro="" textlink="">
      <xdr:nvSpPr>
        <xdr:cNvPr id="253011" name="Text Box 83" hidden="1">
          <a:extLst>
            <a:ext uri="{FF2B5EF4-FFF2-40B4-BE49-F238E27FC236}">
              <a16:creationId xmlns:a16="http://schemas.microsoft.com/office/drawing/2014/main" id="{76ED6C32-FC57-4026-8C8F-3479A8DA05B4}"/>
            </a:ext>
          </a:extLst>
        </xdr:cNvPr>
        <xdr:cNvSpPr txBox="1">
          <a:spLocks noChangeArrowheads="1"/>
        </xdr:cNvSpPr>
      </xdr:nvSpPr>
      <xdr:spPr bwMode="auto">
        <a:xfrm>
          <a:off x="4657725" y="1790700"/>
          <a:ext cx="12382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33</xdr:row>
      <xdr:rowOff>94972</xdr:rowOff>
    </xdr:from>
    <xdr:to>
      <xdr:col>20</xdr:col>
      <xdr:colOff>113324</xdr:colOff>
      <xdr:row>37</xdr:row>
      <xdr:rowOff>208070</xdr:rowOff>
    </xdr:to>
    <xdr:sp macro="" textlink="">
      <xdr:nvSpPr>
        <xdr:cNvPr id="253010" name="Text Box 82" hidden="1">
          <a:extLst>
            <a:ext uri="{FF2B5EF4-FFF2-40B4-BE49-F238E27FC236}">
              <a16:creationId xmlns:a16="http://schemas.microsoft.com/office/drawing/2014/main" id="{0FFA67D8-7D42-4861-A630-75F3571ECD8D}"/>
            </a:ext>
          </a:extLst>
        </xdr:cNvPr>
        <xdr:cNvSpPr txBox="1">
          <a:spLocks noChangeArrowheads="1"/>
        </xdr:cNvSpPr>
      </xdr:nvSpPr>
      <xdr:spPr bwMode="auto">
        <a:xfrm>
          <a:off x="16773525" y="6819900"/>
          <a:ext cx="1219200" cy="1095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64</xdr:row>
      <xdr:rowOff>240007</xdr:rowOff>
    </xdr:from>
    <xdr:to>
      <xdr:col>40</xdr:col>
      <xdr:colOff>349885</xdr:colOff>
      <xdr:row>68</xdr:row>
      <xdr:rowOff>118347</xdr:rowOff>
    </xdr:to>
    <xdr:sp macro="" textlink="">
      <xdr:nvSpPr>
        <xdr:cNvPr id="253027" name="Text Box 99" hidden="1">
          <a:extLst>
            <a:ext uri="{FF2B5EF4-FFF2-40B4-BE49-F238E27FC236}">
              <a16:creationId xmlns:a16="http://schemas.microsoft.com/office/drawing/2014/main" id="{684D9297-C988-4802-960E-4EE6E5F14760}"/>
            </a:ext>
          </a:extLst>
        </xdr:cNvPr>
        <xdr:cNvSpPr txBox="1">
          <a:spLocks noChangeArrowheads="1"/>
        </xdr:cNvSpPr>
      </xdr:nvSpPr>
      <xdr:spPr bwMode="auto">
        <a:xfrm>
          <a:off x="32737425" y="13992225"/>
          <a:ext cx="1000125"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70</xdr:row>
      <xdr:rowOff>44945</xdr:rowOff>
    </xdr:from>
    <xdr:to>
      <xdr:col>40</xdr:col>
      <xdr:colOff>228600</xdr:colOff>
      <xdr:row>84</xdr:row>
      <xdr:rowOff>161534</xdr:rowOff>
    </xdr:to>
    <xdr:sp macro="" textlink="">
      <xdr:nvSpPr>
        <xdr:cNvPr id="253026" name="Text Box 98" hidden="1">
          <a:extLst>
            <a:ext uri="{FF2B5EF4-FFF2-40B4-BE49-F238E27FC236}">
              <a16:creationId xmlns:a16="http://schemas.microsoft.com/office/drawing/2014/main" id="{67254A89-9007-4A23-8756-244627ED41AF}"/>
            </a:ext>
          </a:extLst>
        </xdr:cNvPr>
        <xdr:cNvSpPr txBox="1">
          <a:spLocks noChangeArrowheads="1"/>
        </xdr:cNvSpPr>
      </xdr:nvSpPr>
      <xdr:spPr bwMode="auto">
        <a:xfrm>
          <a:off x="32699325" y="15059025"/>
          <a:ext cx="914400" cy="4143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62</xdr:row>
      <xdr:rowOff>36964</xdr:rowOff>
    </xdr:from>
    <xdr:to>
      <xdr:col>38</xdr:col>
      <xdr:colOff>457200</xdr:colOff>
      <xdr:row>64</xdr:row>
      <xdr:rowOff>62379</xdr:rowOff>
    </xdr:to>
    <xdr:sp macro="" textlink="">
      <xdr:nvSpPr>
        <xdr:cNvPr id="253025" name="Text Box 97" hidden="1">
          <a:extLst>
            <a:ext uri="{FF2B5EF4-FFF2-40B4-BE49-F238E27FC236}">
              <a16:creationId xmlns:a16="http://schemas.microsoft.com/office/drawing/2014/main" id="{62EDDBDF-613B-4DFE-BF09-26E6450A44A0}"/>
            </a:ext>
          </a:extLst>
        </xdr:cNvPr>
        <xdr:cNvSpPr txBox="1">
          <a:spLocks noChangeArrowheads="1"/>
        </xdr:cNvSpPr>
      </xdr:nvSpPr>
      <xdr:spPr bwMode="auto">
        <a:xfrm>
          <a:off x="30051375" y="13525500"/>
          <a:ext cx="914400" cy="304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62</xdr:row>
      <xdr:rowOff>36964</xdr:rowOff>
    </xdr:from>
    <xdr:to>
      <xdr:col>38</xdr:col>
      <xdr:colOff>533400</xdr:colOff>
      <xdr:row>64</xdr:row>
      <xdr:rowOff>62379</xdr:rowOff>
    </xdr:to>
    <xdr:sp macro="" textlink="">
      <xdr:nvSpPr>
        <xdr:cNvPr id="253024" name="Text Box 96" hidden="1">
          <a:extLst>
            <a:ext uri="{FF2B5EF4-FFF2-40B4-BE49-F238E27FC236}">
              <a16:creationId xmlns:a16="http://schemas.microsoft.com/office/drawing/2014/main" id="{96B79593-8B62-40FF-9B0D-47A952EC0371}"/>
            </a:ext>
          </a:extLst>
        </xdr:cNvPr>
        <xdr:cNvSpPr txBox="1">
          <a:spLocks noChangeArrowheads="1"/>
        </xdr:cNvSpPr>
      </xdr:nvSpPr>
      <xdr:spPr bwMode="auto">
        <a:xfrm>
          <a:off x="30127575" y="13525500"/>
          <a:ext cx="914400" cy="304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69</xdr:row>
      <xdr:rowOff>120666</xdr:rowOff>
    </xdr:from>
    <xdr:to>
      <xdr:col>40</xdr:col>
      <xdr:colOff>228600</xdr:colOff>
      <xdr:row>75</xdr:row>
      <xdr:rowOff>13780</xdr:rowOff>
    </xdr:to>
    <xdr:sp macro="" textlink="">
      <xdr:nvSpPr>
        <xdr:cNvPr id="253023" name="Text Box 95" hidden="1">
          <a:extLst>
            <a:ext uri="{FF2B5EF4-FFF2-40B4-BE49-F238E27FC236}">
              <a16:creationId xmlns:a16="http://schemas.microsoft.com/office/drawing/2014/main" id="{68276846-E7FF-4ACA-A711-E4D6E60485CC}"/>
            </a:ext>
          </a:extLst>
        </xdr:cNvPr>
        <xdr:cNvSpPr txBox="1">
          <a:spLocks noChangeArrowheads="1"/>
        </xdr:cNvSpPr>
      </xdr:nvSpPr>
      <xdr:spPr bwMode="auto">
        <a:xfrm>
          <a:off x="32699325" y="14944725"/>
          <a:ext cx="914400"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30</xdr:row>
      <xdr:rowOff>102777</xdr:rowOff>
    </xdr:from>
    <xdr:to>
      <xdr:col>3</xdr:col>
      <xdr:colOff>304800</xdr:colOff>
      <xdr:row>34</xdr:row>
      <xdr:rowOff>79878</xdr:rowOff>
    </xdr:to>
    <xdr:sp macro="" textlink="">
      <xdr:nvSpPr>
        <xdr:cNvPr id="253022" name="Text Box 94" hidden="1">
          <a:extLst>
            <a:ext uri="{FF2B5EF4-FFF2-40B4-BE49-F238E27FC236}">
              <a16:creationId xmlns:a16="http://schemas.microsoft.com/office/drawing/2014/main" id="{6F756F7F-0994-4F45-BC6A-AB120BED0FF4}"/>
            </a:ext>
          </a:extLst>
        </xdr:cNvPr>
        <xdr:cNvSpPr txBox="1">
          <a:spLocks noChangeArrowheads="1"/>
        </xdr:cNvSpPr>
      </xdr:nvSpPr>
      <xdr:spPr bwMode="auto">
        <a:xfrm>
          <a:off x="4695825" y="6286500"/>
          <a:ext cx="135255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21" name="Text Box 93" hidden="1">
          <a:extLst>
            <a:ext uri="{FF2B5EF4-FFF2-40B4-BE49-F238E27FC236}">
              <a16:creationId xmlns:a16="http://schemas.microsoft.com/office/drawing/2014/main" id="{C111C27B-B4B1-46BC-AD36-C4CA53260D0B}"/>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85052</xdr:rowOff>
    </xdr:to>
    <xdr:sp macro="" textlink="">
      <xdr:nvSpPr>
        <xdr:cNvPr id="253020" name="Text Box 92" hidden="1">
          <a:extLst>
            <a:ext uri="{FF2B5EF4-FFF2-40B4-BE49-F238E27FC236}">
              <a16:creationId xmlns:a16="http://schemas.microsoft.com/office/drawing/2014/main" id="{2B1190F4-A751-4D27-96AC-9FFF9AFEB933}"/>
            </a:ext>
          </a:extLst>
        </xdr:cNvPr>
        <xdr:cNvSpPr txBox="1">
          <a:spLocks noChangeArrowheads="1"/>
        </xdr:cNvSpPr>
      </xdr:nvSpPr>
      <xdr:spPr bwMode="auto">
        <a:xfrm>
          <a:off x="4657725" y="2019300"/>
          <a:ext cx="1238250" cy="6000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104000</xdr:rowOff>
    </xdr:from>
    <xdr:to>
      <xdr:col>20</xdr:col>
      <xdr:colOff>152400</xdr:colOff>
      <xdr:row>50</xdr:row>
      <xdr:rowOff>99177</xdr:rowOff>
    </xdr:to>
    <xdr:sp macro="" textlink="">
      <xdr:nvSpPr>
        <xdr:cNvPr id="253019" name="Text Box 91" hidden="1">
          <a:extLst>
            <a:ext uri="{FF2B5EF4-FFF2-40B4-BE49-F238E27FC236}">
              <a16:creationId xmlns:a16="http://schemas.microsoft.com/office/drawing/2014/main" id="{938824BA-15F8-409E-8877-A3C363CE1EBA}"/>
            </a:ext>
          </a:extLst>
        </xdr:cNvPr>
        <xdr:cNvSpPr txBox="1">
          <a:spLocks noChangeArrowheads="1"/>
        </xdr:cNvSpPr>
      </xdr:nvSpPr>
      <xdr:spPr bwMode="auto">
        <a:xfrm>
          <a:off x="16811625" y="7000875"/>
          <a:ext cx="1219200" cy="323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39</xdr:row>
      <xdr:rowOff>5622</xdr:rowOff>
    </xdr:from>
    <xdr:to>
      <xdr:col>20</xdr:col>
      <xdr:colOff>311785</xdr:colOff>
      <xdr:row>42</xdr:row>
      <xdr:rowOff>178216</xdr:rowOff>
    </xdr:to>
    <xdr:sp macro="" textlink="">
      <xdr:nvSpPr>
        <xdr:cNvPr id="253031" name="Text Box 103" hidden="1">
          <a:extLst>
            <a:ext uri="{FF2B5EF4-FFF2-40B4-BE49-F238E27FC236}">
              <a16:creationId xmlns:a16="http://schemas.microsoft.com/office/drawing/2014/main" id="{0D765A6D-C44C-44E3-8BDA-1EA6FDC391B5}"/>
            </a:ext>
          </a:extLst>
        </xdr:cNvPr>
        <xdr:cNvSpPr txBox="1">
          <a:spLocks noChangeArrowheads="1"/>
        </xdr:cNvSpPr>
      </xdr:nvSpPr>
      <xdr:spPr bwMode="auto">
        <a:xfrm>
          <a:off x="16811625" y="8220075"/>
          <a:ext cx="1381125" cy="6762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80</xdr:row>
      <xdr:rowOff>127001</xdr:rowOff>
    </xdr:from>
    <xdr:to>
      <xdr:col>40</xdr:col>
      <xdr:colOff>342900</xdr:colOff>
      <xdr:row>82</xdr:row>
      <xdr:rowOff>298170</xdr:rowOff>
    </xdr:to>
    <xdr:sp macro="" textlink="">
      <xdr:nvSpPr>
        <xdr:cNvPr id="253041" name="Text Box 113" hidden="1">
          <a:extLst>
            <a:ext uri="{FF2B5EF4-FFF2-40B4-BE49-F238E27FC236}">
              <a16:creationId xmlns:a16="http://schemas.microsoft.com/office/drawing/2014/main" id="{D755F013-DC04-4CC6-9562-4C7E20C6AEBE}"/>
            </a:ext>
          </a:extLst>
        </xdr:cNvPr>
        <xdr:cNvSpPr txBox="1">
          <a:spLocks noChangeArrowheads="1"/>
        </xdr:cNvSpPr>
      </xdr:nvSpPr>
      <xdr:spPr bwMode="auto">
        <a:xfrm>
          <a:off x="32737425" y="17897475"/>
          <a:ext cx="9906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83</xdr:row>
      <xdr:rowOff>232802</xdr:rowOff>
    </xdr:from>
    <xdr:to>
      <xdr:col>40</xdr:col>
      <xdr:colOff>228600</xdr:colOff>
      <xdr:row>113</xdr:row>
      <xdr:rowOff>111126</xdr:rowOff>
    </xdr:to>
    <xdr:sp macro="" textlink="">
      <xdr:nvSpPr>
        <xdr:cNvPr id="253040" name="Text Box 112" hidden="1">
          <a:extLst>
            <a:ext uri="{FF2B5EF4-FFF2-40B4-BE49-F238E27FC236}">
              <a16:creationId xmlns:a16="http://schemas.microsoft.com/office/drawing/2014/main" id="{C12F6EFB-AF6A-43DF-BDCD-EA013E42D8C7}"/>
            </a:ext>
          </a:extLst>
        </xdr:cNvPr>
        <xdr:cNvSpPr txBox="1">
          <a:spLocks noChangeArrowheads="1"/>
        </xdr:cNvSpPr>
      </xdr:nvSpPr>
      <xdr:spPr bwMode="auto">
        <a:xfrm>
          <a:off x="32699325" y="18964275"/>
          <a:ext cx="914400" cy="5715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79</xdr:row>
      <xdr:rowOff>80700</xdr:rowOff>
    </xdr:from>
    <xdr:to>
      <xdr:col>38</xdr:col>
      <xdr:colOff>450215</xdr:colOff>
      <xdr:row>80</xdr:row>
      <xdr:rowOff>35859</xdr:rowOff>
    </xdr:to>
    <xdr:sp macro="" textlink="">
      <xdr:nvSpPr>
        <xdr:cNvPr id="253039" name="Text Box 111" hidden="1">
          <a:extLst>
            <a:ext uri="{FF2B5EF4-FFF2-40B4-BE49-F238E27FC236}">
              <a16:creationId xmlns:a16="http://schemas.microsoft.com/office/drawing/2014/main" id="{B6093B46-EC3E-4636-88B9-292CCF4D48B3}"/>
            </a:ext>
          </a:extLst>
        </xdr:cNvPr>
        <xdr:cNvSpPr txBox="1">
          <a:spLocks noChangeArrowheads="1"/>
        </xdr:cNvSpPr>
      </xdr:nvSpPr>
      <xdr:spPr bwMode="auto">
        <a:xfrm>
          <a:off x="30051375" y="17421225"/>
          <a:ext cx="895350" cy="323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79</xdr:row>
      <xdr:rowOff>80700</xdr:rowOff>
    </xdr:from>
    <xdr:to>
      <xdr:col>38</xdr:col>
      <xdr:colOff>533400</xdr:colOff>
      <xdr:row>80</xdr:row>
      <xdr:rowOff>35859</xdr:rowOff>
    </xdr:to>
    <xdr:sp macro="" textlink="">
      <xdr:nvSpPr>
        <xdr:cNvPr id="253038" name="Text Box 110" hidden="1">
          <a:extLst>
            <a:ext uri="{FF2B5EF4-FFF2-40B4-BE49-F238E27FC236}">
              <a16:creationId xmlns:a16="http://schemas.microsoft.com/office/drawing/2014/main" id="{5819CFA2-9810-4602-BAB2-E21D49AB4527}"/>
            </a:ext>
          </a:extLst>
        </xdr:cNvPr>
        <xdr:cNvSpPr txBox="1">
          <a:spLocks noChangeArrowheads="1"/>
        </xdr:cNvSpPr>
      </xdr:nvSpPr>
      <xdr:spPr bwMode="auto">
        <a:xfrm>
          <a:off x="30127575" y="17421225"/>
          <a:ext cx="914400" cy="323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83</xdr:row>
      <xdr:rowOff>232802</xdr:rowOff>
    </xdr:from>
    <xdr:to>
      <xdr:col>40</xdr:col>
      <xdr:colOff>228600</xdr:colOff>
      <xdr:row>90</xdr:row>
      <xdr:rowOff>137833</xdr:rowOff>
    </xdr:to>
    <xdr:sp macro="" textlink="">
      <xdr:nvSpPr>
        <xdr:cNvPr id="253037" name="Text Box 109" hidden="1">
          <a:extLst>
            <a:ext uri="{FF2B5EF4-FFF2-40B4-BE49-F238E27FC236}">
              <a16:creationId xmlns:a16="http://schemas.microsoft.com/office/drawing/2014/main" id="{A7812915-ED5C-436D-B017-7A2693B02224}"/>
            </a:ext>
          </a:extLst>
        </xdr:cNvPr>
        <xdr:cNvSpPr txBox="1">
          <a:spLocks noChangeArrowheads="1"/>
        </xdr:cNvSpPr>
      </xdr:nvSpPr>
      <xdr:spPr bwMode="auto">
        <a:xfrm>
          <a:off x="32699325" y="18964275"/>
          <a:ext cx="91440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39</xdr:row>
      <xdr:rowOff>6648</xdr:rowOff>
    </xdr:from>
    <xdr:to>
      <xdr:col>3</xdr:col>
      <xdr:colOff>304800</xdr:colOff>
      <xdr:row>42</xdr:row>
      <xdr:rowOff>146050</xdr:rowOff>
    </xdr:to>
    <xdr:sp macro="" textlink="">
      <xdr:nvSpPr>
        <xdr:cNvPr id="253036" name="Text Box 108" hidden="1">
          <a:extLst>
            <a:ext uri="{FF2B5EF4-FFF2-40B4-BE49-F238E27FC236}">
              <a16:creationId xmlns:a16="http://schemas.microsoft.com/office/drawing/2014/main" id="{386362BA-7EEB-4890-9216-B79A7F1E0429}"/>
            </a:ext>
          </a:extLst>
        </xdr:cNvPr>
        <xdr:cNvSpPr txBox="1">
          <a:spLocks noChangeArrowheads="1"/>
        </xdr:cNvSpPr>
      </xdr:nvSpPr>
      <xdr:spPr bwMode="auto">
        <a:xfrm>
          <a:off x="4695825" y="8191500"/>
          <a:ext cx="1352550" cy="695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35" name="Text Box 107" hidden="1">
          <a:extLst>
            <a:ext uri="{FF2B5EF4-FFF2-40B4-BE49-F238E27FC236}">
              <a16:creationId xmlns:a16="http://schemas.microsoft.com/office/drawing/2014/main" id="{1CCF8BAF-0423-4FE7-9C2C-538F8E398702}"/>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71717</xdr:rowOff>
    </xdr:to>
    <xdr:sp macro="" textlink="">
      <xdr:nvSpPr>
        <xdr:cNvPr id="253034" name="Text Box 106" hidden="1">
          <a:extLst>
            <a:ext uri="{FF2B5EF4-FFF2-40B4-BE49-F238E27FC236}">
              <a16:creationId xmlns:a16="http://schemas.microsoft.com/office/drawing/2014/main" id="{B65C63BA-34AE-41A2-A6CE-11EAA29E2B94}"/>
            </a:ext>
          </a:extLst>
        </xdr:cNvPr>
        <xdr:cNvSpPr txBox="1">
          <a:spLocks noChangeArrowheads="1"/>
        </xdr:cNvSpPr>
      </xdr:nvSpPr>
      <xdr:spPr bwMode="auto">
        <a:xfrm>
          <a:off x="4657725" y="2019300"/>
          <a:ext cx="1238250"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45</xdr:row>
      <xdr:rowOff>54088</xdr:rowOff>
    </xdr:from>
    <xdr:to>
      <xdr:col>20</xdr:col>
      <xdr:colOff>145415</xdr:colOff>
      <xdr:row>64</xdr:row>
      <xdr:rowOff>288103</xdr:rowOff>
    </xdr:to>
    <xdr:sp macro="" textlink="">
      <xdr:nvSpPr>
        <xdr:cNvPr id="253033" name="Text Box 105" hidden="1">
          <a:extLst>
            <a:ext uri="{FF2B5EF4-FFF2-40B4-BE49-F238E27FC236}">
              <a16:creationId xmlns:a16="http://schemas.microsoft.com/office/drawing/2014/main" id="{668688E3-C50E-4AFE-B5CB-BEF3609F5FEA}"/>
            </a:ext>
          </a:extLst>
        </xdr:cNvPr>
        <xdr:cNvSpPr txBox="1">
          <a:spLocks noChangeArrowheads="1"/>
        </xdr:cNvSpPr>
      </xdr:nvSpPr>
      <xdr:spPr bwMode="auto">
        <a:xfrm>
          <a:off x="16811625" y="9324975"/>
          <a:ext cx="1200150" cy="4762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15</xdr:row>
      <xdr:rowOff>67535</xdr:rowOff>
    </xdr:from>
    <xdr:to>
      <xdr:col>3</xdr:col>
      <xdr:colOff>304800</xdr:colOff>
      <xdr:row>19</xdr:row>
      <xdr:rowOff>485</xdr:rowOff>
    </xdr:to>
    <xdr:sp macro="" textlink="">
      <xdr:nvSpPr>
        <xdr:cNvPr id="253042" name="Text Box 114" hidden="1">
          <a:extLst>
            <a:ext uri="{FF2B5EF4-FFF2-40B4-BE49-F238E27FC236}">
              <a16:creationId xmlns:a16="http://schemas.microsoft.com/office/drawing/2014/main" id="{38027734-7AE7-4AB8-B66B-169D51DDA6CC}"/>
            </a:ext>
          </a:extLst>
        </xdr:cNvPr>
        <xdr:cNvSpPr txBox="1">
          <a:spLocks noChangeArrowheads="1"/>
        </xdr:cNvSpPr>
      </xdr:nvSpPr>
      <xdr:spPr bwMode="auto">
        <a:xfrm>
          <a:off x="4676775" y="3181350"/>
          <a:ext cx="1371600" cy="7334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17</xdr:row>
      <xdr:rowOff>34739</xdr:rowOff>
    </xdr:from>
    <xdr:to>
      <xdr:col>3</xdr:col>
      <xdr:colOff>304800</xdr:colOff>
      <xdr:row>20</xdr:row>
      <xdr:rowOff>177015</xdr:rowOff>
    </xdr:to>
    <xdr:sp macro="" textlink="">
      <xdr:nvSpPr>
        <xdr:cNvPr id="253043" name="Text Box 115" hidden="1">
          <a:extLst>
            <a:ext uri="{FF2B5EF4-FFF2-40B4-BE49-F238E27FC236}">
              <a16:creationId xmlns:a16="http://schemas.microsoft.com/office/drawing/2014/main" id="{9EE911F0-63B6-45AA-8BF7-6265D3A055FB}"/>
            </a:ext>
          </a:extLst>
        </xdr:cNvPr>
        <xdr:cNvSpPr txBox="1">
          <a:spLocks noChangeArrowheads="1"/>
        </xdr:cNvSpPr>
      </xdr:nvSpPr>
      <xdr:spPr bwMode="auto">
        <a:xfrm>
          <a:off x="4676775" y="3552825"/>
          <a:ext cx="137160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48</xdr:row>
      <xdr:rowOff>37054</xdr:rowOff>
    </xdr:from>
    <xdr:to>
      <xdr:col>3</xdr:col>
      <xdr:colOff>304800</xdr:colOff>
      <xdr:row>52</xdr:row>
      <xdr:rowOff>97400</xdr:rowOff>
    </xdr:to>
    <xdr:sp macro="" textlink="">
      <xdr:nvSpPr>
        <xdr:cNvPr id="253044" name="Text Box 116" hidden="1">
          <a:extLst>
            <a:ext uri="{FF2B5EF4-FFF2-40B4-BE49-F238E27FC236}">
              <a16:creationId xmlns:a16="http://schemas.microsoft.com/office/drawing/2014/main" id="{F07A0B5C-FAC1-4467-AA9F-CA5EB8725A02}"/>
            </a:ext>
          </a:extLst>
        </xdr:cNvPr>
        <xdr:cNvSpPr txBox="1">
          <a:spLocks noChangeArrowheads="1"/>
        </xdr:cNvSpPr>
      </xdr:nvSpPr>
      <xdr:spPr bwMode="auto">
        <a:xfrm>
          <a:off x="4676775" y="98393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145415</xdr:colOff>
      <xdr:row>50</xdr:row>
      <xdr:rowOff>64544</xdr:rowOff>
    </xdr:from>
    <xdr:to>
      <xdr:col>20</xdr:col>
      <xdr:colOff>335915</xdr:colOff>
      <xdr:row>52</xdr:row>
      <xdr:rowOff>489715</xdr:rowOff>
    </xdr:to>
    <xdr:sp macro="" textlink="">
      <xdr:nvSpPr>
        <xdr:cNvPr id="253045" name="Text Box 117" hidden="1">
          <a:extLst>
            <a:ext uri="{FF2B5EF4-FFF2-40B4-BE49-F238E27FC236}">
              <a16:creationId xmlns:a16="http://schemas.microsoft.com/office/drawing/2014/main" id="{EE495679-A250-491A-BE2B-83CFB95DC9E3}"/>
            </a:ext>
          </a:extLst>
        </xdr:cNvPr>
        <xdr:cNvSpPr txBox="1">
          <a:spLocks noChangeArrowheads="1"/>
        </xdr:cNvSpPr>
      </xdr:nvSpPr>
      <xdr:spPr bwMode="auto">
        <a:xfrm>
          <a:off x="16830675" y="1020127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81</xdr:row>
      <xdr:rowOff>130270</xdr:rowOff>
    </xdr:from>
    <xdr:to>
      <xdr:col>40</xdr:col>
      <xdr:colOff>342900</xdr:colOff>
      <xdr:row>83</xdr:row>
      <xdr:rowOff>146517</xdr:rowOff>
    </xdr:to>
    <xdr:sp macro="" textlink="">
      <xdr:nvSpPr>
        <xdr:cNvPr id="253058" name="Text Box 130" hidden="1">
          <a:extLst>
            <a:ext uri="{FF2B5EF4-FFF2-40B4-BE49-F238E27FC236}">
              <a16:creationId xmlns:a16="http://schemas.microsoft.com/office/drawing/2014/main" id="{A748B414-DCA0-4859-A27B-8C20946B3F4C}"/>
            </a:ext>
          </a:extLst>
        </xdr:cNvPr>
        <xdr:cNvSpPr txBox="1">
          <a:spLocks noChangeArrowheads="1"/>
        </xdr:cNvSpPr>
      </xdr:nvSpPr>
      <xdr:spPr bwMode="auto">
        <a:xfrm>
          <a:off x="33845500" y="17729200"/>
          <a:ext cx="9906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84</xdr:row>
      <xdr:rowOff>36606</xdr:rowOff>
    </xdr:from>
    <xdr:to>
      <xdr:col>40</xdr:col>
      <xdr:colOff>238125</xdr:colOff>
      <xdr:row>115</xdr:row>
      <xdr:rowOff>92075</xdr:rowOff>
    </xdr:to>
    <xdr:sp macro="" textlink="">
      <xdr:nvSpPr>
        <xdr:cNvPr id="253057" name="Text Box 129" hidden="1">
          <a:extLst>
            <a:ext uri="{FF2B5EF4-FFF2-40B4-BE49-F238E27FC236}">
              <a16:creationId xmlns:a16="http://schemas.microsoft.com/office/drawing/2014/main" id="{3691F5D7-10C3-4C44-98BD-342791DFD042}"/>
            </a:ext>
          </a:extLst>
        </xdr:cNvPr>
        <xdr:cNvSpPr txBox="1">
          <a:spLocks noChangeArrowheads="1"/>
        </xdr:cNvSpPr>
      </xdr:nvSpPr>
      <xdr:spPr bwMode="auto">
        <a:xfrm>
          <a:off x="33807400" y="18796000"/>
          <a:ext cx="920750" cy="578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79</xdr:row>
      <xdr:rowOff>250170</xdr:rowOff>
    </xdr:from>
    <xdr:to>
      <xdr:col>38</xdr:col>
      <xdr:colOff>438150</xdr:colOff>
      <xdr:row>80</xdr:row>
      <xdr:rowOff>165101</xdr:rowOff>
    </xdr:to>
    <xdr:sp macro="" textlink="">
      <xdr:nvSpPr>
        <xdr:cNvPr id="253056" name="Text Box 128" hidden="1">
          <a:extLst>
            <a:ext uri="{FF2B5EF4-FFF2-40B4-BE49-F238E27FC236}">
              <a16:creationId xmlns:a16="http://schemas.microsoft.com/office/drawing/2014/main" id="{2A06C365-24B0-4127-99D7-3519B09FE6FF}"/>
            </a:ext>
          </a:extLst>
        </xdr:cNvPr>
        <xdr:cNvSpPr txBox="1">
          <a:spLocks noChangeArrowheads="1"/>
        </xdr:cNvSpPr>
      </xdr:nvSpPr>
      <xdr:spPr bwMode="auto">
        <a:xfrm>
          <a:off x="31057850" y="17272000"/>
          <a:ext cx="895350" cy="31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79</xdr:row>
      <xdr:rowOff>250170</xdr:rowOff>
    </xdr:from>
    <xdr:to>
      <xdr:col>38</xdr:col>
      <xdr:colOff>542925</xdr:colOff>
      <xdr:row>80</xdr:row>
      <xdr:rowOff>165101</xdr:rowOff>
    </xdr:to>
    <xdr:sp macro="" textlink="">
      <xdr:nvSpPr>
        <xdr:cNvPr id="253055" name="Text Box 127" hidden="1">
          <a:extLst>
            <a:ext uri="{FF2B5EF4-FFF2-40B4-BE49-F238E27FC236}">
              <a16:creationId xmlns:a16="http://schemas.microsoft.com/office/drawing/2014/main" id="{D0F3324B-65DF-48D8-858A-FBF44D12E93F}"/>
            </a:ext>
          </a:extLst>
        </xdr:cNvPr>
        <xdr:cNvSpPr txBox="1">
          <a:spLocks noChangeArrowheads="1"/>
        </xdr:cNvSpPr>
      </xdr:nvSpPr>
      <xdr:spPr bwMode="auto">
        <a:xfrm>
          <a:off x="31134050" y="17272000"/>
          <a:ext cx="920750" cy="31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84</xdr:row>
      <xdr:rowOff>36606</xdr:rowOff>
    </xdr:from>
    <xdr:to>
      <xdr:col>40</xdr:col>
      <xdr:colOff>238125</xdr:colOff>
      <xdr:row>91</xdr:row>
      <xdr:rowOff>160898</xdr:rowOff>
    </xdr:to>
    <xdr:sp macro="" textlink="">
      <xdr:nvSpPr>
        <xdr:cNvPr id="253054" name="Text Box 126" hidden="1">
          <a:extLst>
            <a:ext uri="{FF2B5EF4-FFF2-40B4-BE49-F238E27FC236}">
              <a16:creationId xmlns:a16="http://schemas.microsoft.com/office/drawing/2014/main" id="{282CBEDD-F2A3-469F-BC43-A8B0EDC5724D}"/>
            </a:ext>
          </a:extLst>
        </xdr:cNvPr>
        <xdr:cNvSpPr txBox="1">
          <a:spLocks noChangeArrowheads="1"/>
        </xdr:cNvSpPr>
      </xdr:nvSpPr>
      <xdr:spPr bwMode="auto">
        <a:xfrm>
          <a:off x="33807400" y="18796000"/>
          <a:ext cx="920750" cy="1422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39</xdr:row>
      <xdr:rowOff>7283</xdr:rowOff>
    </xdr:from>
    <xdr:to>
      <xdr:col>3</xdr:col>
      <xdr:colOff>304800</xdr:colOff>
      <xdr:row>42</xdr:row>
      <xdr:rowOff>146050</xdr:rowOff>
    </xdr:to>
    <xdr:sp macro="" textlink="">
      <xdr:nvSpPr>
        <xdr:cNvPr id="253053" name="Text Box 125" hidden="1">
          <a:extLst>
            <a:ext uri="{FF2B5EF4-FFF2-40B4-BE49-F238E27FC236}">
              <a16:creationId xmlns:a16="http://schemas.microsoft.com/office/drawing/2014/main" id="{11547FD5-4C1B-4F2F-8106-E42FDE425DA7}"/>
            </a:ext>
          </a:extLst>
        </xdr:cNvPr>
        <xdr:cNvSpPr txBox="1">
          <a:spLocks noChangeArrowheads="1"/>
        </xdr:cNvSpPr>
      </xdr:nvSpPr>
      <xdr:spPr bwMode="auto">
        <a:xfrm>
          <a:off x="4876800" y="8013700"/>
          <a:ext cx="1409700" cy="679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52" name="Text Box 124" hidden="1">
          <a:extLst>
            <a:ext uri="{FF2B5EF4-FFF2-40B4-BE49-F238E27FC236}">
              <a16:creationId xmlns:a16="http://schemas.microsoft.com/office/drawing/2014/main" id="{F82E105B-6115-41C2-8096-BAA0DC50454A}"/>
            </a:ext>
          </a:extLst>
        </xdr:cNvPr>
        <xdr:cNvSpPr txBox="1">
          <a:spLocks noChangeArrowheads="1"/>
        </xdr:cNvSpPr>
      </xdr:nvSpPr>
      <xdr:spPr bwMode="auto">
        <a:xfrm>
          <a:off x="483870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71717</xdr:rowOff>
    </xdr:to>
    <xdr:sp macro="" textlink="">
      <xdr:nvSpPr>
        <xdr:cNvPr id="253051" name="Text Box 123" hidden="1">
          <a:extLst>
            <a:ext uri="{FF2B5EF4-FFF2-40B4-BE49-F238E27FC236}">
              <a16:creationId xmlns:a16="http://schemas.microsoft.com/office/drawing/2014/main" id="{FBAFDEAF-09E0-4BFE-AF4C-FFEE0536BE21}"/>
            </a:ext>
          </a:extLst>
        </xdr:cNvPr>
        <xdr:cNvSpPr txBox="1">
          <a:spLocks noChangeArrowheads="1"/>
        </xdr:cNvSpPr>
      </xdr:nvSpPr>
      <xdr:spPr bwMode="auto">
        <a:xfrm>
          <a:off x="4838700" y="2006600"/>
          <a:ext cx="1295400" cy="584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45</xdr:row>
      <xdr:rowOff>33618</xdr:rowOff>
    </xdr:from>
    <xdr:to>
      <xdr:col>20</xdr:col>
      <xdr:colOff>133350</xdr:colOff>
      <xdr:row>64</xdr:row>
      <xdr:rowOff>281828</xdr:rowOff>
    </xdr:to>
    <xdr:sp macro="" textlink="">
      <xdr:nvSpPr>
        <xdr:cNvPr id="253050" name="Text Box 122" hidden="1">
          <a:extLst>
            <a:ext uri="{FF2B5EF4-FFF2-40B4-BE49-F238E27FC236}">
              <a16:creationId xmlns:a16="http://schemas.microsoft.com/office/drawing/2014/main" id="{392B1328-4CF3-44DC-9809-EC9B0B7563D2}"/>
            </a:ext>
          </a:extLst>
        </xdr:cNvPr>
        <xdr:cNvSpPr txBox="1">
          <a:spLocks noChangeArrowheads="1"/>
        </xdr:cNvSpPr>
      </xdr:nvSpPr>
      <xdr:spPr bwMode="auto">
        <a:xfrm>
          <a:off x="17589500" y="9131300"/>
          <a:ext cx="1257300" cy="464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15</xdr:row>
      <xdr:rowOff>68170</xdr:rowOff>
    </xdr:from>
    <xdr:to>
      <xdr:col>3</xdr:col>
      <xdr:colOff>304800</xdr:colOff>
      <xdr:row>18</xdr:row>
      <xdr:rowOff>175745</xdr:rowOff>
    </xdr:to>
    <xdr:sp macro="" textlink="">
      <xdr:nvSpPr>
        <xdr:cNvPr id="253049" name="Text Box 121" hidden="1">
          <a:extLst>
            <a:ext uri="{FF2B5EF4-FFF2-40B4-BE49-F238E27FC236}">
              <a16:creationId xmlns:a16="http://schemas.microsoft.com/office/drawing/2014/main" id="{274AE0F9-E5E5-4673-8C73-CC8097C80D0B}"/>
            </a:ext>
          </a:extLst>
        </xdr:cNvPr>
        <xdr:cNvSpPr txBox="1">
          <a:spLocks noChangeArrowheads="1"/>
        </xdr:cNvSpPr>
      </xdr:nvSpPr>
      <xdr:spPr bwMode="auto">
        <a:xfrm>
          <a:off x="4857750" y="3155950"/>
          <a:ext cx="1428750" cy="711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17</xdr:row>
      <xdr:rowOff>34739</xdr:rowOff>
    </xdr:from>
    <xdr:to>
      <xdr:col>3</xdr:col>
      <xdr:colOff>304800</xdr:colOff>
      <xdr:row>20</xdr:row>
      <xdr:rowOff>158189</xdr:rowOff>
    </xdr:to>
    <xdr:sp macro="" textlink="">
      <xdr:nvSpPr>
        <xdr:cNvPr id="253048" name="Text Box 120" hidden="1">
          <a:extLst>
            <a:ext uri="{FF2B5EF4-FFF2-40B4-BE49-F238E27FC236}">
              <a16:creationId xmlns:a16="http://schemas.microsoft.com/office/drawing/2014/main" id="{F7719A29-F845-4949-8319-0AC8B2C679F5}"/>
            </a:ext>
          </a:extLst>
        </xdr:cNvPr>
        <xdr:cNvSpPr txBox="1">
          <a:spLocks noChangeArrowheads="1"/>
        </xdr:cNvSpPr>
      </xdr:nvSpPr>
      <xdr:spPr bwMode="auto">
        <a:xfrm>
          <a:off x="4857750" y="3517900"/>
          <a:ext cx="142875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142875</xdr:colOff>
      <xdr:row>46</xdr:row>
      <xdr:rowOff>18491</xdr:rowOff>
    </xdr:from>
    <xdr:to>
      <xdr:col>3</xdr:col>
      <xdr:colOff>314325</xdr:colOff>
      <xdr:row>51</xdr:row>
      <xdr:rowOff>99358</xdr:rowOff>
    </xdr:to>
    <xdr:sp macro="" textlink="">
      <xdr:nvSpPr>
        <xdr:cNvPr id="253047" name="Text Box 119" hidden="1">
          <a:extLst>
            <a:ext uri="{FF2B5EF4-FFF2-40B4-BE49-F238E27FC236}">
              <a16:creationId xmlns:a16="http://schemas.microsoft.com/office/drawing/2014/main" id="{D69275A5-81BF-4F14-A166-44F9BE377285}"/>
            </a:ext>
          </a:extLst>
        </xdr:cNvPr>
        <xdr:cNvSpPr txBox="1">
          <a:spLocks noChangeArrowheads="1"/>
        </xdr:cNvSpPr>
      </xdr:nvSpPr>
      <xdr:spPr bwMode="auto">
        <a:xfrm>
          <a:off x="4864100" y="9277350"/>
          <a:ext cx="1428750" cy="927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133350</xdr:colOff>
      <xdr:row>52</xdr:row>
      <xdr:rowOff>3271</xdr:rowOff>
    </xdr:from>
    <xdr:to>
      <xdr:col>20</xdr:col>
      <xdr:colOff>333375</xdr:colOff>
      <xdr:row>52</xdr:row>
      <xdr:rowOff>737255</xdr:rowOff>
    </xdr:to>
    <xdr:sp macro="" textlink="">
      <xdr:nvSpPr>
        <xdr:cNvPr id="253046" name="Text Box 118" hidden="1">
          <a:extLst>
            <a:ext uri="{FF2B5EF4-FFF2-40B4-BE49-F238E27FC236}">
              <a16:creationId xmlns:a16="http://schemas.microsoft.com/office/drawing/2014/main" id="{58CFB2C4-55EC-40BB-942B-F165E1FB1660}"/>
            </a:ext>
          </a:extLst>
        </xdr:cNvPr>
        <xdr:cNvSpPr txBox="1">
          <a:spLocks noChangeArrowheads="1"/>
        </xdr:cNvSpPr>
      </xdr:nvSpPr>
      <xdr:spPr bwMode="auto">
        <a:xfrm>
          <a:off x="17608550" y="10299700"/>
          <a:ext cx="143510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73</xdr:row>
      <xdr:rowOff>143342</xdr:rowOff>
    </xdr:from>
    <xdr:to>
      <xdr:col>40</xdr:col>
      <xdr:colOff>342900</xdr:colOff>
      <xdr:row>76</xdr:row>
      <xdr:rowOff>122518</xdr:rowOff>
    </xdr:to>
    <xdr:sp macro="" textlink="">
      <xdr:nvSpPr>
        <xdr:cNvPr id="253071" name="Text Box 143" hidden="1">
          <a:extLst>
            <a:ext uri="{FF2B5EF4-FFF2-40B4-BE49-F238E27FC236}">
              <a16:creationId xmlns:a16="http://schemas.microsoft.com/office/drawing/2014/main" id="{11B2A42F-F9AB-4D32-B39C-71A6080AE1D5}"/>
            </a:ext>
          </a:extLst>
        </xdr:cNvPr>
        <xdr:cNvSpPr txBox="1">
          <a:spLocks noChangeArrowheads="1"/>
        </xdr:cNvSpPr>
      </xdr:nvSpPr>
      <xdr:spPr bwMode="auto">
        <a:xfrm>
          <a:off x="33845500" y="15417800"/>
          <a:ext cx="9906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75</xdr:row>
      <xdr:rowOff>24840</xdr:rowOff>
    </xdr:from>
    <xdr:to>
      <xdr:col>40</xdr:col>
      <xdr:colOff>228600</xdr:colOff>
      <xdr:row>100</xdr:row>
      <xdr:rowOff>65554</xdr:rowOff>
    </xdr:to>
    <xdr:sp macro="" textlink="">
      <xdr:nvSpPr>
        <xdr:cNvPr id="253070" name="Text Box 142" hidden="1">
          <a:extLst>
            <a:ext uri="{FF2B5EF4-FFF2-40B4-BE49-F238E27FC236}">
              <a16:creationId xmlns:a16="http://schemas.microsoft.com/office/drawing/2014/main" id="{FD459720-10DB-4A19-919C-9AFA447EDC20}"/>
            </a:ext>
          </a:extLst>
        </xdr:cNvPr>
        <xdr:cNvSpPr txBox="1">
          <a:spLocks noChangeArrowheads="1"/>
        </xdr:cNvSpPr>
      </xdr:nvSpPr>
      <xdr:spPr bwMode="auto">
        <a:xfrm>
          <a:off x="33807400" y="15957550"/>
          <a:ext cx="914400" cy="5810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72</xdr:row>
      <xdr:rowOff>4671</xdr:rowOff>
    </xdr:from>
    <xdr:to>
      <xdr:col>38</xdr:col>
      <xdr:colOff>438150</xdr:colOff>
      <xdr:row>73</xdr:row>
      <xdr:rowOff>155108</xdr:rowOff>
    </xdr:to>
    <xdr:sp macro="" textlink="">
      <xdr:nvSpPr>
        <xdr:cNvPr id="253069" name="Text Box 141" hidden="1">
          <a:extLst>
            <a:ext uri="{FF2B5EF4-FFF2-40B4-BE49-F238E27FC236}">
              <a16:creationId xmlns:a16="http://schemas.microsoft.com/office/drawing/2014/main" id="{6AA9A03B-955D-4CA1-B080-56A38C0F2A8A}"/>
            </a:ext>
          </a:extLst>
        </xdr:cNvPr>
        <xdr:cNvSpPr txBox="1">
          <a:spLocks noChangeArrowheads="1"/>
        </xdr:cNvSpPr>
      </xdr:nvSpPr>
      <xdr:spPr bwMode="auto">
        <a:xfrm>
          <a:off x="31057850" y="15087600"/>
          <a:ext cx="895350" cy="317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72</xdr:row>
      <xdr:rowOff>4671</xdr:rowOff>
    </xdr:from>
    <xdr:to>
      <xdr:col>38</xdr:col>
      <xdr:colOff>533400</xdr:colOff>
      <xdr:row>73</xdr:row>
      <xdr:rowOff>155108</xdr:rowOff>
    </xdr:to>
    <xdr:sp macro="" textlink="">
      <xdr:nvSpPr>
        <xdr:cNvPr id="253068" name="Text Box 140" hidden="1">
          <a:extLst>
            <a:ext uri="{FF2B5EF4-FFF2-40B4-BE49-F238E27FC236}">
              <a16:creationId xmlns:a16="http://schemas.microsoft.com/office/drawing/2014/main" id="{B55155B4-61FD-4BC7-9073-000C8F522C71}"/>
            </a:ext>
          </a:extLst>
        </xdr:cNvPr>
        <xdr:cNvSpPr txBox="1">
          <a:spLocks noChangeArrowheads="1"/>
        </xdr:cNvSpPr>
      </xdr:nvSpPr>
      <xdr:spPr bwMode="auto">
        <a:xfrm>
          <a:off x="31134050" y="15087600"/>
          <a:ext cx="914400" cy="317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75</xdr:row>
      <xdr:rowOff>24840</xdr:rowOff>
    </xdr:from>
    <xdr:to>
      <xdr:col>40</xdr:col>
      <xdr:colOff>228600</xdr:colOff>
      <xdr:row>80</xdr:row>
      <xdr:rowOff>17743</xdr:rowOff>
    </xdr:to>
    <xdr:sp macro="" textlink="">
      <xdr:nvSpPr>
        <xdr:cNvPr id="253067" name="Text Box 139" hidden="1">
          <a:extLst>
            <a:ext uri="{FF2B5EF4-FFF2-40B4-BE49-F238E27FC236}">
              <a16:creationId xmlns:a16="http://schemas.microsoft.com/office/drawing/2014/main" id="{5E323352-189A-4886-A3CF-9C762B1A1430}"/>
            </a:ext>
          </a:extLst>
        </xdr:cNvPr>
        <xdr:cNvSpPr txBox="1">
          <a:spLocks noChangeArrowheads="1"/>
        </xdr:cNvSpPr>
      </xdr:nvSpPr>
      <xdr:spPr bwMode="auto">
        <a:xfrm>
          <a:off x="33807400" y="15957550"/>
          <a:ext cx="914400" cy="1428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39</xdr:row>
      <xdr:rowOff>7283</xdr:rowOff>
    </xdr:from>
    <xdr:to>
      <xdr:col>3</xdr:col>
      <xdr:colOff>304800</xdr:colOff>
      <xdr:row>42</xdr:row>
      <xdr:rowOff>146050</xdr:rowOff>
    </xdr:to>
    <xdr:sp macro="" textlink="">
      <xdr:nvSpPr>
        <xdr:cNvPr id="253066" name="Text Box 138" hidden="1">
          <a:extLst>
            <a:ext uri="{FF2B5EF4-FFF2-40B4-BE49-F238E27FC236}">
              <a16:creationId xmlns:a16="http://schemas.microsoft.com/office/drawing/2014/main" id="{98755DA0-57E3-4EDF-AD72-1E1F62D6D4BF}"/>
            </a:ext>
          </a:extLst>
        </xdr:cNvPr>
        <xdr:cNvSpPr txBox="1">
          <a:spLocks noChangeArrowheads="1"/>
        </xdr:cNvSpPr>
      </xdr:nvSpPr>
      <xdr:spPr bwMode="auto">
        <a:xfrm>
          <a:off x="4876800" y="8013700"/>
          <a:ext cx="1409700" cy="679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65" name="Text Box 137" hidden="1">
          <a:extLst>
            <a:ext uri="{FF2B5EF4-FFF2-40B4-BE49-F238E27FC236}">
              <a16:creationId xmlns:a16="http://schemas.microsoft.com/office/drawing/2014/main" id="{292F3461-6F88-464E-8394-53B8297D6729}"/>
            </a:ext>
          </a:extLst>
        </xdr:cNvPr>
        <xdr:cNvSpPr txBox="1">
          <a:spLocks noChangeArrowheads="1"/>
        </xdr:cNvSpPr>
      </xdr:nvSpPr>
      <xdr:spPr bwMode="auto">
        <a:xfrm>
          <a:off x="483870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71717</xdr:rowOff>
    </xdr:to>
    <xdr:sp macro="" textlink="">
      <xdr:nvSpPr>
        <xdr:cNvPr id="253064" name="Text Box 136" hidden="1">
          <a:extLst>
            <a:ext uri="{FF2B5EF4-FFF2-40B4-BE49-F238E27FC236}">
              <a16:creationId xmlns:a16="http://schemas.microsoft.com/office/drawing/2014/main" id="{5E9E05DA-6F52-4484-92ED-CE558F643CE6}"/>
            </a:ext>
          </a:extLst>
        </xdr:cNvPr>
        <xdr:cNvSpPr txBox="1">
          <a:spLocks noChangeArrowheads="1"/>
        </xdr:cNvSpPr>
      </xdr:nvSpPr>
      <xdr:spPr bwMode="auto">
        <a:xfrm>
          <a:off x="4838700" y="2006600"/>
          <a:ext cx="1295400" cy="584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45</xdr:row>
      <xdr:rowOff>33618</xdr:rowOff>
    </xdr:from>
    <xdr:to>
      <xdr:col>20</xdr:col>
      <xdr:colOff>133350</xdr:colOff>
      <xdr:row>64</xdr:row>
      <xdr:rowOff>287057</xdr:rowOff>
    </xdr:to>
    <xdr:sp macro="" textlink="">
      <xdr:nvSpPr>
        <xdr:cNvPr id="253063" name="Text Box 135" hidden="1">
          <a:extLst>
            <a:ext uri="{FF2B5EF4-FFF2-40B4-BE49-F238E27FC236}">
              <a16:creationId xmlns:a16="http://schemas.microsoft.com/office/drawing/2014/main" id="{390637DD-B8CC-423A-8E04-0FB27D7F99B5}"/>
            </a:ext>
          </a:extLst>
        </xdr:cNvPr>
        <xdr:cNvSpPr txBox="1">
          <a:spLocks noChangeArrowheads="1"/>
        </xdr:cNvSpPr>
      </xdr:nvSpPr>
      <xdr:spPr bwMode="auto">
        <a:xfrm>
          <a:off x="17589500" y="9131300"/>
          <a:ext cx="1257300" cy="4641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15</xdr:row>
      <xdr:rowOff>68170</xdr:rowOff>
    </xdr:from>
    <xdr:to>
      <xdr:col>3</xdr:col>
      <xdr:colOff>304800</xdr:colOff>
      <xdr:row>18</xdr:row>
      <xdr:rowOff>175745</xdr:rowOff>
    </xdr:to>
    <xdr:sp macro="" textlink="">
      <xdr:nvSpPr>
        <xdr:cNvPr id="253062" name="Text Box 134" hidden="1">
          <a:extLst>
            <a:ext uri="{FF2B5EF4-FFF2-40B4-BE49-F238E27FC236}">
              <a16:creationId xmlns:a16="http://schemas.microsoft.com/office/drawing/2014/main" id="{E9CCED1F-A550-48B6-B194-F52EBD2AC0AC}"/>
            </a:ext>
          </a:extLst>
        </xdr:cNvPr>
        <xdr:cNvSpPr txBox="1">
          <a:spLocks noChangeArrowheads="1"/>
        </xdr:cNvSpPr>
      </xdr:nvSpPr>
      <xdr:spPr bwMode="auto">
        <a:xfrm>
          <a:off x="4857750" y="3155950"/>
          <a:ext cx="1428750" cy="711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17</xdr:row>
      <xdr:rowOff>34739</xdr:rowOff>
    </xdr:from>
    <xdr:to>
      <xdr:col>3</xdr:col>
      <xdr:colOff>304800</xdr:colOff>
      <xdr:row>20</xdr:row>
      <xdr:rowOff>158189</xdr:rowOff>
    </xdr:to>
    <xdr:sp macro="" textlink="">
      <xdr:nvSpPr>
        <xdr:cNvPr id="253061" name="Text Box 133" hidden="1">
          <a:extLst>
            <a:ext uri="{FF2B5EF4-FFF2-40B4-BE49-F238E27FC236}">
              <a16:creationId xmlns:a16="http://schemas.microsoft.com/office/drawing/2014/main" id="{73153123-E303-4E51-8A97-26A4879C72C2}"/>
            </a:ext>
          </a:extLst>
        </xdr:cNvPr>
        <xdr:cNvSpPr txBox="1">
          <a:spLocks noChangeArrowheads="1"/>
        </xdr:cNvSpPr>
      </xdr:nvSpPr>
      <xdr:spPr bwMode="auto">
        <a:xfrm>
          <a:off x="4857750" y="3517900"/>
          <a:ext cx="142875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55</xdr:row>
      <xdr:rowOff>195655</xdr:rowOff>
    </xdr:from>
    <xdr:to>
      <xdr:col>40</xdr:col>
      <xdr:colOff>342900</xdr:colOff>
      <xdr:row>64</xdr:row>
      <xdr:rowOff>24000</xdr:rowOff>
    </xdr:to>
    <xdr:sp macro="" textlink="">
      <xdr:nvSpPr>
        <xdr:cNvPr id="253082" name="Text Box 154" hidden="1">
          <a:extLst>
            <a:ext uri="{FF2B5EF4-FFF2-40B4-BE49-F238E27FC236}">
              <a16:creationId xmlns:a16="http://schemas.microsoft.com/office/drawing/2014/main" id="{F0809122-ECDC-49B6-955C-C33B71E18B32}"/>
            </a:ext>
          </a:extLst>
        </xdr:cNvPr>
        <xdr:cNvSpPr txBox="1">
          <a:spLocks noChangeArrowheads="1"/>
        </xdr:cNvSpPr>
      </xdr:nvSpPr>
      <xdr:spPr bwMode="auto">
        <a:xfrm>
          <a:off x="33855660" y="12024360"/>
          <a:ext cx="1021080" cy="14325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56</xdr:row>
      <xdr:rowOff>40304</xdr:rowOff>
    </xdr:from>
    <xdr:to>
      <xdr:col>40</xdr:col>
      <xdr:colOff>228600</xdr:colOff>
      <xdr:row>81</xdr:row>
      <xdr:rowOff>71775</xdr:rowOff>
    </xdr:to>
    <xdr:sp macro="" textlink="">
      <xdr:nvSpPr>
        <xdr:cNvPr id="253081" name="Text Box 153" hidden="1">
          <a:extLst>
            <a:ext uri="{FF2B5EF4-FFF2-40B4-BE49-F238E27FC236}">
              <a16:creationId xmlns:a16="http://schemas.microsoft.com/office/drawing/2014/main" id="{FAAA09FF-3BB3-4890-9467-373B2ED31FCF}"/>
            </a:ext>
          </a:extLst>
        </xdr:cNvPr>
        <xdr:cNvSpPr txBox="1">
          <a:spLocks noChangeArrowheads="1"/>
        </xdr:cNvSpPr>
      </xdr:nvSpPr>
      <xdr:spPr bwMode="auto">
        <a:xfrm>
          <a:off x="33817560" y="1212342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54</xdr:row>
      <xdr:rowOff>204133</xdr:rowOff>
    </xdr:from>
    <xdr:to>
      <xdr:col>38</xdr:col>
      <xdr:colOff>419100</xdr:colOff>
      <xdr:row>56</xdr:row>
      <xdr:rowOff>145862</xdr:rowOff>
    </xdr:to>
    <xdr:sp macro="" textlink="">
      <xdr:nvSpPr>
        <xdr:cNvPr id="253080" name="Text Box 152" hidden="1">
          <a:extLst>
            <a:ext uri="{FF2B5EF4-FFF2-40B4-BE49-F238E27FC236}">
              <a16:creationId xmlns:a16="http://schemas.microsoft.com/office/drawing/2014/main" id="{3BFF550E-E7AD-4813-95C5-C8351F467628}"/>
            </a:ext>
          </a:extLst>
        </xdr:cNvPr>
        <xdr:cNvSpPr txBox="1">
          <a:spLocks noChangeArrowheads="1"/>
        </xdr:cNvSpPr>
      </xdr:nvSpPr>
      <xdr:spPr bwMode="auto">
        <a:xfrm>
          <a:off x="31074360" y="1175004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54</xdr:row>
      <xdr:rowOff>204133</xdr:rowOff>
    </xdr:from>
    <xdr:to>
      <xdr:col>38</xdr:col>
      <xdr:colOff>533400</xdr:colOff>
      <xdr:row>56</xdr:row>
      <xdr:rowOff>145862</xdr:rowOff>
    </xdr:to>
    <xdr:sp macro="" textlink="">
      <xdr:nvSpPr>
        <xdr:cNvPr id="253079" name="Text Box 151" hidden="1">
          <a:extLst>
            <a:ext uri="{FF2B5EF4-FFF2-40B4-BE49-F238E27FC236}">
              <a16:creationId xmlns:a16="http://schemas.microsoft.com/office/drawing/2014/main" id="{28BB212E-EA18-4A12-B0C7-62857A890B39}"/>
            </a:ext>
          </a:extLst>
        </xdr:cNvPr>
        <xdr:cNvSpPr txBox="1">
          <a:spLocks noChangeArrowheads="1"/>
        </xdr:cNvSpPr>
      </xdr:nvSpPr>
      <xdr:spPr bwMode="auto">
        <a:xfrm>
          <a:off x="31150560" y="1175004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56</xdr:row>
      <xdr:rowOff>40304</xdr:rowOff>
    </xdr:from>
    <xdr:to>
      <xdr:col>40</xdr:col>
      <xdr:colOff>228600</xdr:colOff>
      <xdr:row>63</xdr:row>
      <xdr:rowOff>85372</xdr:rowOff>
    </xdr:to>
    <xdr:sp macro="" textlink="">
      <xdr:nvSpPr>
        <xdr:cNvPr id="253078" name="Text Box 150" hidden="1">
          <a:extLst>
            <a:ext uri="{FF2B5EF4-FFF2-40B4-BE49-F238E27FC236}">
              <a16:creationId xmlns:a16="http://schemas.microsoft.com/office/drawing/2014/main" id="{08CAB2D8-39C4-4542-94AC-3140AC5B2033}"/>
            </a:ext>
          </a:extLst>
        </xdr:cNvPr>
        <xdr:cNvSpPr txBox="1">
          <a:spLocks noChangeArrowheads="1"/>
        </xdr:cNvSpPr>
      </xdr:nvSpPr>
      <xdr:spPr bwMode="auto">
        <a:xfrm>
          <a:off x="33817560" y="12123420"/>
          <a:ext cx="944880" cy="12344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115327</xdr:rowOff>
    </xdr:from>
    <xdr:to>
      <xdr:col>3</xdr:col>
      <xdr:colOff>304800</xdr:colOff>
      <xdr:row>34</xdr:row>
      <xdr:rowOff>61072</xdr:rowOff>
    </xdr:to>
    <xdr:sp macro="" textlink="">
      <xdr:nvSpPr>
        <xdr:cNvPr id="253077" name="Text Box 149" hidden="1">
          <a:extLst>
            <a:ext uri="{FF2B5EF4-FFF2-40B4-BE49-F238E27FC236}">
              <a16:creationId xmlns:a16="http://schemas.microsoft.com/office/drawing/2014/main" id="{F14E10EF-EDAB-44D2-A95F-FBF2C143A849}"/>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76" name="Text Box 148" hidden="1">
          <a:extLst>
            <a:ext uri="{FF2B5EF4-FFF2-40B4-BE49-F238E27FC236}">
              <a16:creationId xmlns:a16="http://schemas.microsoft.com/office/drawing/2014/main" id="{B04770AB-3CE4-4406-941E-3528E90A7E34}"/>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12886</xdr:rowOff>
    </xdr:to>
    <xdr:sp macro="" textlink="">
      <xdr:nvSpPr>
        <xdr:cNvPr id="253075" name="Text Box 147" hidden="1">
          <a:extLst>
            <a:ext uri="{FF2B5EF4-FFF2-40B4-BE49-F238E27FC236}">
              <a16:creationId xmlns:a16="http://schemas.microsoft.com/office/drawing/2014/main" id="{6FA99E2C-3494-40CA-8158-D600A98A1804}"/>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36</xdr:row>
      <xdr:rowOff>120182</xdr:rowOff>
    </xdr:from>
    <xdr:to>
      <xdr:col>20</xdr:col>
      <xdr:colOff>114300</xdr:colOff>
      <xdr:row>58</xdr:row>
      <xdr:rowOff>26107</xdr:rowOff>
    </xdr:to>
    <xdr:sp macro="" textlink="">
      <xdr:nvSpPr>
        <xdr:cNvPr id="253074" name="Text Box 146" hidden="1">
          <a:extLst>
            <a:ext uri="{FF2B5EF4-FFF2-40B4-BE49-F238E27FC236}">
              <a16:creationId xmlns:a16="http://schemas.microsoft.com/office/drawing/2014/main" id="{5999866C-2D22-4DA2-A7DD-76CE65643890}"/>
            </a:ext>
          </a:extLst>
        </xdr:cNvPr>
        <xdr:cNvSpPr txBox="1">
          <a:spLocks noChangeArrowheads="1"/>
        </xdr:cNvSpPr>
      </xdr:nvSpPr>
      <xdr:spPr bwMode="auto">
        <a:xfrm>
          <a:off x="17335500" y="7223760"/>
          <a:ext cx="1219200" cy="5303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55</xdr:row>
      <xdr:rowOff>193115</xdr:rowOff>
    </xdr:from>
    <xdr:to>
      <xdr:col>40</xdr:col>
      <xdr:colOff>342900</xdr:colOff>
      <xdr:row>64</xdr:row>
      <xdr:rowOff>24000</xdr:rowOff>
    </xdr:to>
    <xdr:sp macro="" textlink="">
      <xdr:nvSpPr>
        <xdr:cNvPr id="253091" name="Text Box 163" hidden="1">
          <a:extLst>
            <a:ext uri="{FF2B5EF4-FFF2-40B4-BE49-F238E27FC236}">
              <a16:creationId xmlns:a16="http://schemas.microsoft.com/office/drawing/2014/main" id="{9E6EE3C3-4141-4815-9750-F795C9380695}"/>
            </a:ext>
          </a:extLst>
        </xdr:cNvPr>
        <xdr:cNvSpPr txBox="1">
          <a:spLocks noChangeArrowheads="1"/>
        </xdr:cNvSpPr>
      </xdr:nvSpPr>
      <xdr:spPr bwMode="auto">
        <a:xfrm>
          <a:off x="33909000" y="12065000"/>
          <a:ext cx="990600" cy="1454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56</xdr:row>
      <xdr:rowOff>19984</xdr:rowOff>
    </xdr:from>
    <xdr:to>
      <xdr:col>40</xdr:col>
      <xdr:colOff>228600</xdr:colOff>
      <xdr:row>81</xdr:row>
      <xdr:rowOff>60980</xdr:rowOff>
    </xdr:to>
    <xdr:sp macro="" textlink="">
      <xdr:nvSpPr>
        <xdr:cNvPr id="253090" name="Text Box 162" hidden="1">
          <a:extLst>
            <a:ext uri="{FF2B5EF4-FFF2-40B4-BE49-F238E27FC236}">
              <a16:creationId xmlns:a16="http://schemas.microsoft.com/office/drawing/2014/main" id="{9FCFB1BB-75BB-4066-987A-22F918CFDCCF}"/>
            </a:ext>
          </a:extLst>
        </xdr:cNvPr>
        <xdr:cNvSpPr txBox="1">
          <a:spLocks noChangeArrowheads="1"/>
        </xdr:cNvSpPr>
      </xdr:nvSpPr>
      <xdr:spPr bwMode="auto">
        <a:xfrm>
          <a:off x="33870900" y="12172950"/>
          <a:ext cx="914400" cy="5480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54</xdr:row>
      <xdr:rowOff>204133</xdr:rowOff>
    </xdr:from>
    <xdr:to>
      <xdr:col>38</xdr:col>
      <xdr:colOff>419100</xdr:colOff>
      <xdr:row>56</xdr:row>
      <xdr:rowOff>145862</xdr:rowOff>
    </xdr:to>
    <xdr:sp macro="" textlink="">
      <xdr:nvSpPr>
        <xdr:cNvPr id="253089" name="Text Box 161" hidden="1">
          <a:extLst>
            <a:ext uri="{FF2B5EF4-FFF2-40B4-BE49-F238E27FC236}">
              <a16:creationId xmlns:a16="http://schemas.microsoft.com/office/drawing/2014/main" id="{0BFC1522-4F93-4A18-8FC7-DBC159564227}"/>
            </a:ext>
          </a:extLst>
        </xdr:cNvPr>
        <xdr:cNvSpPr txBox="1">
          <a:spLocks noChangeArrowheads="1"/>
        </xdr:cNvSpPr>
      </xdr:nvSpPr>
      <xdr:spPr bwMode="auto">
        <a:xfrm>
          <a:off x="31115000" y="11804650"/>
          <a:ext cx="8763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54</xdr:row>
      <xdr:rowOff>204133</xdr:rowOff>
    </xdr:from>
    <xdr:to>
      <xdr:col>38</xdr:col>
      <xdr:colOff>533400</xdr:colOff>
      <xdr:row>56</xdr:row>
      <xdr:rowOff>145862</xdr:rowOff>
    </xdr:to>
    <xdr:sp macro="" textlink="">
      <xdr:nvSpPr>
        <xdr:cNvPr id="253088" name="Text Box 160" hidden="1">
          <a:extLst>
            <a:ext uri="{FF2B5EF4-FFF2-40B4-BE49-F238E27FC236}">
              <a16:creationId xmlns:a16="http://schemas.microsoft.com/office/drawing/2014/main" id="{9A219B01-FC6D-46EA-9AEE-761D36EEF452}"/>
            </a:ext>
          </a:extLst>
        </xdr:cNvPr>
        <xdr:cNvSpPr txBox="1">
          <a:spLocks noChangeArrowheads="1"/>
        </xdr:cNvSpPr>
      </xdr:nvSpPr>
      <xdr:spPr bwMode="auto">
        <a:xfrm>
          <a:off x="31191200" y="11804650"/>
          <a:ext cx="9144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56</xdr:row>
      <xdr:rowOff>19984</xdr:rowOff>
    </xdr:from>
    <xdr:to>
      <xdr:col>40</xdr:col>
      <xdr:colOff>228600</xdr:colOff>
      <xdr:row>63</xdr:row>
      <xdr:rowOff>79657</xdr:rowOff>
    </xdr:to>
    <xdr:sp macro="" textlink="">
      <xdr:nvSpPr>
        <xdr:cNvPr id="253087" name="Text Box 159" hidden="1">
          <a:extLst>
            <a:ext uri="{FF2B5EF4-FFF2-40B4-BE49-F238E27FC236}">
              <a16:creationId xmlns:a16="http://schemas.microsoft.com/office/drawing/2014/main" id="{9BF1DBC0-15D0-441E-9EB3-0C4856EDDD11}"/>
            </a:ext>
          </a:extLst>
        </xdr:cNvPr>
        <xdr:cNvSpPr txBox="1">
          <a:spLocks noChangeArrowheads="1"/>
        </xdr:cNvSpPr>
      </xdr:nvSpPr>
      <xdr:spPr bwMode="auto">
        <a:xfrm>
          <a:off x="33870900" y="12172950"/>
          <a:ext cx="914400" cy="1231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115327</xdr:rowOff>
    </xdr:from>
    <xdr:to>
      <xdr:col>3</xdr:col>
      <xdr:colOff>304800</xdr:colOff>
      <xdr:row>34</xdr:row>
      <xdr:rowOff>61072</xdr:rowOff>
    </xdr:to>
    <xdr:sp macro="" textlink="">
      <xdr:nvSpPr>
        <xdr:cNvPr id="253086" name="Text Box 158" hidden="1">
          <a:extLst>
            <a:ext uri="{FF2B5EF4-FFF2-40B4-BE49-F238E27FC236}">
              <a16:creationId xmlns:a16="http://schemas.microsoft.com/office/drawing/2014/main" id="{9C4E3BA8-FE9D-46C1-AFC5-B405635D5BC9}"/>
            </a:ext>
          </a:extLst>
        </xdr:cNvPr>
        <xdr:cNvSpPr txBox="1">
          <a:spLocks noChangeArrowheads="1"/>
        </xdr:cNvSpPr>
      </xdr:nvSpPr>
      <xdr:spPr bwMode="auto">
        <a:xfrm>
          <a:off x="4883150" y="5854700"/>
          <a:ext cx="140970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85" name="Text Box 157" hidden="1">
          <a:extLst>
            <a:ext uri="{FF2B5EF4-FFF2-40B4-BE49-F238E27FC236}">
              <a16:creationId xmlns:a16="http://schemas.microsoft.com/office/drawing/2014/main" id="{2976410A-1F75-4A94-8078-1B41E6A84087}"/>
            </a:ext>
          </a:extLst>
        </xdr:cNvPr>
        <xdr:cNvSpPr txBox="1">
          <a:spLocks noChangeArrowheads="1"/>
        </xdr:cNvSpPr>
      </xdr:nvSpPr>
      <xdr:spPr bwMode="auto">
        <a:xfrm>
          <a:off x="484505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12886</xdr:rowOff>
    </xdr:to>
    <xdr:sp macro="" textlink="">
      <xdr:nvSpPr>
        <xdr:cNvPr id="253084" name="Text Box 156" hidden="1">
          <a:extLst>
            <a:ext uri="{FF2B5EF4-FFF2-40B4-BE49-F238E27FC236}">
              <a16:creationId xmlns:a16="http://schemas.microsoft.com/office/drawing/2014/main" id="{08238A3A-DED3-4218-B4C3-11052905909D}"/>
            </a:ext>
          </a:extLst>
        </xdr:cNvPr>
        <xdr:cNvSpPr txBox="1">
          <a:spLocks noChangeArrowheads="1"/>
        </xdr:cNvSpPr>
      </xdr:nvSpPr>
      <xdr:spPr bwMode="auto">
        <a:xfrm>
          <a:off x="4845050" y="2006600"/>
          <a:ext cx="129540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36</xdr:row>
      <xdr:rowOff>120182</xdr:rowOff>
    </xdr:from>
    <xdr:to>
      <xdr:col>20</xdr:col>
      <xdr:colOff>114300</xdr:colOff>
      <xdr:row>58</xdr:row>
      <xdr:rowOff>18487</xdr:rowOff>
    </xdr:to>
    <xdr:sp macro="" textlink="">
      <xdr:nvSpPr>
        <xdr:cNvPr id="253083" name="Text Box 155" hidden="1">
          <a:extLst>
            <a:ext uri="{FF2B5EF4-FFF2-40B4-BE49-F238E27FC236}">
              <a16:creationId xmlns:a16="http://schemas.microsoft.com/office/drawing/2014/main" id="{8F3165BF-5269-44BA-8730-CB86B8683097}"/>
            </a:ext>
          </a:extLst>
        </xdr:cNvPr>
        <xdr:cNvSpPr txBox="1">
          <a:spLocks noChangeArrowheads="1"/>
        </xdr:cNvSpPr>
      </xdr:nvSpPr>
      <xdr:spPr bwMode="auto">
        <a:xfrm>
          <a:off x="17602200" y="7264400"/>
          <a:ext cx="1244600" cy="5314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55</xdr:row>
      <xdr:rowOff>193115</xdr:rowOff>
    </xdr:from>
    <xdr:to>
      <xdr:col>40</xdr:col>
      <xdr:colOff>342900</xdr:colOff>
      <xdr:row>64</xdr:row>
      <xdr:rowOff>24000</xdr:rowOff>
    </xdr:to>
    <xdr:sp macro="" textlink="">
      <xdr:nvSpPr>
        <xdr:cNvPr id="253100" name="Text Box 172" hidden="1">
          <a:extLst>
            <a:ext uri="{FF2B5EF4-FFF2-40B4-BE49-F238E27FC236}">
              <a16:creationId xmlns:a16="http://schemas.microsoft.com/office/drawing/2014/main" id="{659D2051-9A85-447A-80F9-40C817C99465}"/>
            </a:ext>
          </a:extLst>
        </xdr:cNvPr>
        <xdr:cNvSpPr txBox="1">
          <a:spLocks noChangeArrowheads="1"/>
        </xdr:cNvSpPr>
      </xdr:nvSpPr>
      <xdr:spPr bwMode="auto">
        <a:xfrm>
          <a:off x="33855660" y="1200912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56</xdr:row>
      <xdr:rowOff>19984</xdr:rowOff>
    </xdr:from>
    <xdr:to>
      <xdr:col>40</xdr:col>
      <xdr:colOff>228600</xdr:colOff>
      <xdr:row>81</xdr:row>
      <xdr:rowOff>60980</xdr:rowOff>
    </xdr:to>
    <xdr:sp macro="" textlink="">
      <xdr:nvSpPr>
        <xdr:cNvPr id="253099" name="Text Box 171" hidden="1">
          <a:extLst>
            <a:ext uri="{FF2B5EF4-FFF2-40B4-BE49-F238E27FC236}">
              <a16:creationId xmlns:a16="http://schemas.microsoft.com/office/drawing/2014/main" id="{CF7D7F79-267B-47F9-BBD9-6E84A1110783}"/>
            </a:ext>
          </a:extLst>
        </xdr:cNvPr>
        <xdr:cNvSpPr txBox="1">
          <a:spLocks noChangeArrowheads="1"/>
        </xdr:cNvSpPr>
      </xdr:nvSpPr>
      <xdr:spPr bwMode="auto">
        <a:xfrm>
          <a:off x="33817560" y="1211580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54</xdr:row>
      <xdr:rowOff>204133</xdr:rowOff>
    </xdr:from>
    <xdr:to>
      <xdr:col>38</xdr:col>
      <xdr:colOff>419100</xdr:colOff>
      <xdr:row>56</xdr:row>
      <xdr:rowOff>145862</xdr:rowOff>
    </xdr:to>
    <xdr:sp macro="" textlink="">
      <xdr:nvSpPr>
        <xdr:cNvPr id="253098" name="Text Box 170" hidden="1">
          <a:extLst>
            <a:ext uri="{FF2B5EF4-FFF2-40B4-BE49-F238E27FC236}">
              <a16:creationId xmlns:a16="http://schemas.microsoft.com/office/drawing/2014/main" id="{18556C5C-5B8F-41F9-A842-456E7EB15FFE}"/>
            </a:ext>
          </a:extLst>
        </xdr:cNvPr>
        <xdr:cNvSpPr txBox="1">
          <a:spLocks noChangeArrowheads="1"/>
        </xdr:cNvSpPr>
      </xdr:nvSpPr>
      <xdr:spPr bwMode="auto">
        <a:xfrm>
          <a:off x="31074360" y="1175004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54</xdr:row>
      <xdr:rowOff>204133</xdr:rowOff>
    </xdr:from>
    <xdr:to>
      <xdr:col>38</xdr:col>
      <xdr:colOff>533400</xdr:colOff>
      <xdr:row>56</xdr:row>
      <xdr:rowOff>145862</xdr:rowOff>
    </xdr:to>
    <xdr:sp macro="" textlink="">
      <xdr:nvSpPr>
        <xdr:cNvPr id="253097" name="Text Box 169" hidden="1">
          <a:extLst>
            <a:ext uri="{FF2B5EF4-FFF2-40B4-BE49-F238E27FC236}">
              <a16:creationId xmlns:a16="http://schemas.microsoft.com/office/drawing/2014/main" id="{BEAB1565-5551-47A4-A297-A02ACD543B51}"/>
            </a:ext>
          </a:extLst>
        </xdr:cNvPr>
        <xdr:cNvSpPr txBox="1">
          <a:spLocks noChangeArrowheads="1"/>
        </xdr:cNvSpPr>
      </xdr:nvSpPr>
      <xdr:spPr bwMode="auto">
        <a:xfrm>
          <a:off x="31150560" y="1175004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56</xdr:row>
      <xdr:rowOff>19984</xdr:rowOff>
    </xdr:from>
    <xdr:to>
      <xdr:col>40</xdr:col>
      <xdr:colOff>228600</xdr:colOff>
      <xdr:row>63</xdr:row>
      <xdr:rowOff>79657</xdr:rowOff>
    </xdr:to>
    <xdr:sp macro="" textlink="">
      <xdr:nvSpPr>
        <xdr:cNvPr id="253096" name="Text Box 168" hidden="1">
          <a:extLst>
            <a:ext uri="{FF2B5EF4-FFF2-40B4-BE49-F238E27FC236}">
              <a16:creationId xmlns:a16="http://schemas.microsoft.com/office/drawing/2014/main" id="{B1C372B5-0CD4-475C-81C7-C172F148F2A9}"/>
            </a:ext>
          </a:extLst>
        </xdr:cNvPr>
        <xdr:cNvSpPr txBox="1">
          <a:spLocks noChangeArrowheads="1"/>
        </xdr:cNvSpPr>
      </xdr:nvSpPr>
      <xdr:spPr bwMode="auto">
        <a:xfrm>
          <a:off x="33817560" y="12115800"/>
          <a:ext cx="944880" cy="12268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115327</xdr:rowOff>
    </xdr:from>
    <xdr:to>
      <xdr:col>3</xdr:col>
      <xdr:colOff>304800</xdr:colOff>
      <xdr:row>34</xdr:row>
      <xdr:rowOff>61072</xdr:rowOff>
    </xdr:to>
    <xdr:sp macro="" textlink="">
      <xdr:nvSpPr>
        <xdr:cNvPr id="253095" name="Text Box 167" hidden="1">
          <a:extLst>
            <a:ext uri="{FF2B5EF4-FFF2-40B4-BE49-F238E27FC236}">
              <a16:creationId xmlns:a16="http://schemas.microsoft.com/office/drawing/2014/main" id="{69C0E314-B3F6-4AFD-81E5-4D861DCB5403}"/>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94" name="Text Box 166" hidden="1">
          <a:extLst>
            <a:ext uri="{FF2B5EF4-FFF2-40B4-BE49-F238E27FC236}">
              <a16:creationId xmlns:a16="http://schemas.microsoft.com/office/drawing/2014/main" id="{3A208F38-D05A-4464-8979-C301EDE6C28C}"/>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12886</xdr:rowOff>
    </xdr:to>
    <xdr:sp macro="" textlink="">
      <xdr:nvSpPr>
        <xdr:cNvPr id="253093" name="Text Box 165" hidden="1">
          <a:extLst>
            <a:ext uri="{FF2B5EF4-FFF2-40B4-BE49-F238E27FC236}">
              <a16:creationId xmlns:a16="http://schemas.microsoft.com/office/drawing/2014/main" id="{BFDDAB80-C2D4-43BC-9A08-FB089943A0D0}"/>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36</xdr:row>
      <xdr:rowOff>120182</xdr:rowOff>
    </xdr:from>
    <xdr:to>
      <xdr:col>20</xdr:col>
      <xdr:colOff>114300</xdr:colOff>
      <xdr:row>58</xdr:row>
      <xdr:rowOff>18487</xdr:rowOff>
    </xdr:to>
    <xdr:sp macro="" textlink="">
      <xdr:nvSpPr>
        <xdr:cNvPr id="253092" name="Text Box 164" hidden="1">
          <a:extLst>
            <a:ext uri="{FF2B5EF4-FFF2-40B4-BE49-F238E27FC236}">
              <a16:creationId xmlns:a16="http://schemas.microsoft.com/office/drawing/2014/main" id="{2DE82EA5-B6B3-41D0-84A2-550EB9078CE0}"/>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64</xdr:row>
      <xdr:rowOff>42490</xdr:rowOff>
    </xdr:from>
    <xdr:to>
      <xdr:col>40</xdr:col>
      <xdr:colOff>342900</xdr:colOff>
      <xdr:row>71</xdr:row>
      <xdr:rowOff>23534</xdr:rowOff>
    </xdr:to>
    <xdr:sp macro="" textlink="">
      <xdr:nvSpPr>
        <xdr:cNvPr id="253130" name="Text Box 202" hidden="1">
          <a:extLst>
            <a:ext uri="{FF2B5EF4-FFF2-40B4-BE49-F238E27FC236}">
              <a16:creationId xmlns:a16="http://schemas.microsoft.com/office/drawing/2014/main" id="{1FEC7AC2-AA7F-4E58-87EF-5F173535AAA0}"/>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64</xdr:row>
      <xdr:rowOff>110659</xdr:rowOff>
    </xdr:from>
    <xdr:to>
      <xdr:col>40</xdr:col>
      <xdr:colOff>228600</xdr:colOff>
      <xdr:row>85</xdr:row>
      <xdr:rowOff>177147</xdr:rowOff>
    </xdr:to>
    <xdr:sp macro="" textlink="">
      <xdr:nvSpPr>
        <xdr:cNvPr id="253129" name="Text Box 201" hidden="1">
          <a:extLst>
            <a:ext uri="{FF2B5EF4-FFF2-40B4-BE49-F238E27FC236}">
              <a16:creationId xmlns:a16="http://schemas.microsoft.com/office/drawing/2014/main" id="{31AAD6E5-A8CC-4E70-A35E-0574F6C39FDE}"/>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62</xdr:row>
      <xdr:rowOff>37635</xdr:rowOff>
    </xdr:from>
    <xdr:to>
      <xdr:col>38</xdr:col>
      <xdr:colOff>419100</xdr:colOff>
      <xdr:row>64</xdr:row>
      <xdr:rowOff>259790</xdr:rowOff>
    </xdr:to>
    <xdr:sp macro="" textlink="">
      <xdr:nvSpPr>
        <xdr:cNvPr id="253128" name="Text Box 200" hidden="1">
          <a:extLst>
            <a:ext uri="{FF2B5EF4-FFF2-40B4-BE49-F238E27FC236}">
              <a16:creationId xmlns:a16="http://schemas.microsoft.com/office/drawing/2014/main" id="{A4472E78-F41E-4056-B743-7B4180C1320B}"/>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62</xdr:row>
      <xdr:rowOff>37635</xdr:rowOff>
    </xdr:from>
    <xdr:to>
      <xdr:col>38</xdr:col>
      <xdr:colOff>533400</xdr:colOff>
      <xdr:row>64</xdr:row>
      <xdr:rowOff>259790</xdr:rowOff>
    </xdr:to>
    <xdr:sp macro="" textlink="">
      <xdr:nvSpPr>
        <xdr:cNvPr id="253127" name="Text Box 199" hidden="1">
          <a:extLst>
            <a:ext uri="{FF2B5EF4-FFF2-40B4-BE49-F238E27FC236}">
              <a16:creationId xmlns:a16="http://schemas.microsoft.com/office/drawing/2014/main" id="{5C0739CE-6A2A-41B3-A2EE-55D5253446E5}"/>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64</xdr:row>
      <xdr:rowOff>110659</xdr:rowOff>
    </xdr:from>
    <xdr:to>
      <xdr:col>40</xdr:col>
      <xdr:colOff>228600</xdr:colOff>
      <xdr:row>70</xdr:row>
      <xdr:rowOff>56554</xdr:rowOff>
    </xdr:to>
    <xdr:sp macro="" textlink="">
      <xdr:nvSpPr>
        <xdr:cNvPr id="253126" name="Text Box 198" hidden="1">
          <a:extLst>
            <a:ext uri="{FF2B5EF4-FFF2-40B4-BE49-F238E27FC236}">
              <a16:creationId xmlns:a16="http://schemas.microsoft.com/office/drawing/2014/main" id="{8AFB553C-E46D-4A9D-B808-BAF6E230C735}"/>
            </a:ext>
          </a:extLst>
        </xdr:cNvPr>
        <xdr:cNvSpPr txBox="1">
          <a:spLocks noChangeArrowheads="1"/>
        </xdr:cNvSpPr>
      </xdr:nvSpPr>
      <xdr:spPr bwMode="auto">
        <a:xfrm>
          <a:off x="33817560" y="13578840"/>
          <a:ext cx="944880" cy="11963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115327</xdr:rowOff>
    </xdr:from>
    <xdr:to>
      <xdr:col>3</xdr:col>
      <xdr:colOff>304800</xdr:colOff>
      <xdr:row>34</xdr:row>
      <xdr:rowOff>61072</xdr:rowOff>
    </xdr:to>
    <xdr:sp macro="" textlink="">
      <xdr:nvSpPr>
        <xdr:cNvPr id="253125" name="Text Box 197" hidden="1">
          <a:extLst>
            <a:ext uri="{FF2B5EF4-FFF2-40B4-BE49-F238E27FC236}">
              <a16:creationId xmlns:a16="http://schemas.microsoft.com/office/drawing/2014/main" id="{707E112C-ED2E-46F2-8130-4CA248F4B4DC}"/>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24" name="Text Box 196" hidden="1">
          <a:extLst>
            <a:ext uri="{FF2B5EF4-FFF2-40B4-BE49-F238E27FC236}">
              <a16:creationId xmlns:a16="http://schemas.microsoft.com/office/drawing/2014/main" id="{027D20A0-3010-4244-9491-0D00FD3D088E}"/>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12886</xdr:rowOff>
    </xdr:to>
    <xdr:sp macro="" textlink="">
      <xdr:nvSpPr>
        <xdr:cNvPr id="253123" name="Text Box 195" hidden="1">
          <a:extLst>
            <a:ext uri="{FF2B5EF4-FFF2-40B4-BE49-F238E27FC236}">
              <a16:creationId xmlns:a16="http://schemas.microsoft.com/office/drawing/2014/main" id="{3E6A3329-BE30-45E9-9724-530A7B60C248}"/>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36</xdr:row>
      <xdr:rowOff>120182</xdr:rowOff>
    </xdr:from>
    <xdr:to>
      <xdr:col>20</xdr:col>
      <xdr:colOff>114300</xdr:colOff>
      <xdr:row>58</xdr:row>
      <xdr:rowOff>19048</xdr:rowOff>
    </xdr:to>
    <xdr:sp macro="" textlink="">
      <xdr:nvSpPr>
        <xdr:cNvPr id="253122" name="Text Box 194" hidden="1">
          <a:extLst>
            <a:ext uri="{FF2B5EF4-FFF2-40B4-BE49-F238E27FC236}">
              <a16:creationId xmlns:a16="http://schemas.microsoft.com/office/drawing/2014/main" id="{D3C9047B-4C5C-4273-92A0-4058937CCA34}"/>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38</xdr:row>
      <xdr:rowOff>139008</xdr:rowOff>
    </xdr:from>
    <xdr:to>
      <xdr:col>20</xdr:col>
      <xdr:colOff>160020</xdr:colOff>
      <xdr:row>43</xdr:row>
      <xdr:rowOff>14007</xdr:rowOff>
    </xdr:to>
    <xdr:sp macro="" textlink="">
      <xdr:nvSpPr>
        <xdr:cNvPr id="253121" name="Text Box 193" hidden="1">
          <a:extLst>
            <a:ext uri="{FF2B5EF4-FFF2-40B4-BE49-F238E27FC236}">
              <a16:creationId xmlns:a16="http://schemas.microsoft.com/office/drawing/2014/main" id="{EF5BEDAB-EB3E-43E9-9868-F5CD05EF9AB1}"/>
            </a:ext>
          </a:extLst>
        </xdr:cNvPr>
        <xdr:cNvSpPr txBox="1">
          <a:spLocks noChangeArrowheads="1"/>
        </xdr:cNvSpPr>
      </xdr:nvSpPr>
      <xdr:spPr bwMode="auto">
        <a:xfrm>
          <a:off x="17335500" y="792480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64</xdr:row>
      <xdr:rowOff>42490</xdr:rowOff>
    </xdr:from>
    <xdr:to>
      <xdr:col>40</xdr:col>
      <xdr:colOff>342900</xdr:colOff>
      <xdr:row>71</xdr:row>
      <xdr:rowOff>23534</xdr:rowOff>
    </xdr:to>
    <xdr:sp macro="" textlink="">
      <xdr:nvSpPr>
        <xdr:cNvPr id="253120" name="Text Box 192" hidden="1">
          <a:extLst>
            <a:ext uri="{FF2B5EF4-FFF2-40B4-BE49-F238E27FC236}">
              <a16:creationId xmlns:a16="http://schemas.microsoft.com/office/drawing/2014/main" id="{0B33580F-F5C9-44C3-9546-C48931E0DE22}"/>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64</xdr:row>
      <xdr:rowOff>110659</xdr:rowOff>
    </xdr:from>
    <xdr:to>
      <xdr:col>40</xdr:col>
      <xdr:colOff>228600</xdr:colOff>
      <xdr:row>85</xdr:row>
      <xdr:rowOff>177147</xdr:rowOff>
    </xdr:to>
    <xdr:sp macro="" textlink="">
      <xdr:nvSpPr>
        <xdr:cNvPr id="253119" name="Text Box 191" hidden="1">
          <a:extLst>
            <a:ext uri="{FF2B5EF4-FFF2-40B4-BE49-F238E27FC236}">
              <a16:creationId xmlns:a16="http://schemas.microsoft.com/office/drawing/2014/main" id="{B3B07E77-0F23-486F-9517-5848F70B6C12}"/>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62</xdr:row>
      <xdr:rowOff>37635</xdr:rowOff>
    </xdr:from>
    <xdr:to>
      <xdr:col>38</xdr:col>
      <xdr:colOff>419100</xdr:colOff>
      <xdr:row>64</xdr:row>
      <xdr:rowOff>259790</xdr:rowOff>
    </xdr:to>
    <xdr:sp macro="" textlink="">
      <xdr:nvSpPr>
        <xdr:cNvPr id="253118" name="Text Box 190" hidden="1">
          <a:extLst>
            <a:ext uri="{FF2B5EF4-FFF2-40B4-BE49-F238E27FC236}">
              <a16:creationId xmlns:a16="http://schemas.microsoft.com/office/drawing/2014/main" id="{C97ED2FB-805D-4B5C-868E-E5E2483DDC41}"/>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62</xdr:row>
      <xdr:rowOff>37635</xdr:rowOff>
    </xdr:from>
    <xdr:to>
      <xdr:col>38</xdr:col>
      <xdr:colOff>533400</xdr:colOff>
      <xdr:row>64</xdr:row>
      <xdr:rowOff>259790</xdr:rowOff>
    </xdr:to>
    <xdr:sp macro="" textlink="">
      <xdr:nvSpPr>
        <xdr:cNvPr id="253117" name="Text Box 189" hidden="1">
          <a:extLst>
            <a:ext uri="{FF2B5EF4-FFF2-40B4-BE49-F238E27FC236}">
              <a16:creationId xmlns:a16="http://schemas.microsoft.com/office/drawing/2014/main" id="{1D7561C3-BEF1-4CD5-8E72-74545A645BF0}"/>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64</xdr:row>
      <xdr:rowOff>110659</xdr:rowOff>
    </xdr:from>
    <xdr:to>
      <xdr:col>40</xdr:col>
      <xdr:colOff>228600</xdr:colOff>
      <xdr:row>70</xdr:row>
      <xdr:rowOff>56554</xdr:rowOff>
    </xdr:to>
    <xdr:sp macro="" textlink="">
      <xdr:nvSpPr>
        <xdr:cNvPr id="253116" name="Text Box 188" hidden="1">
          <a:extLst>
            <a:ext uri="{FF2B5EF4-FFF2-40B4-BE49-F238E27FC236}">
              <a16:creationId xmlns:a16="http://schemas.microsoft.com/office/drawing/2014/main" id="{2667CD60-16A0-4AB9-8A49-3ECA63DE12EE}"/>
            </a:ext>
          </a:extLst>
        </xdr:cNvPr>
        <xdr:cNvSpPr txBox="1">
          <a:spLocks noChangeArrowheads="1"/>
        </xdr:cNvSpPr>
      </xdr:nvSpPr>
      <xdr:spPr bwMode="auto">
        <a:xfrm>
          <a:off x="33817560" y="13578840"/>
          <a:ext cx="944880" cy="11963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115327</xdr:rowOff>
    </xdr:from>
    <xdr:to>
      <xdr:col>3</xdr:col>
      <xdr:colOff>304800</xdr:colOff>
      <xdr:row>34</xdr:row>
      <xdr:rowOff>61072</xdr:rowOff>
    </xdr:to>
    <xdr:sp macro="" textlink="">
      <xdr:nvSpPr>
        <xdr:cNvPr id="253115" name="Text Box 187" hidden="1">
          <a:extLst>
            <a:ext uri="{FF2B5EF4-FFF2-40B4-BE49-F238E27FC236}">
              <a16:creationId xmlns:a16="http://schemas.microsoft.com/office/drawing/2014/main" id="{A559114E-C7C4-45F6-85A3-D2A4A0DE879D}"/>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14" name="Text Box 186" hidden="1">
          <a:extLst>
            <a:ext uri="{FF2B5EF4-FFF2-40B4-BE49-F238E27FC236}">
              <a16:creationId xmlns:a16="http://schemas.microsoft.com/office/drawing/2014/main" id="{7E2E7B8F-E98D-47F8-A4DF-169F2961E642}"/>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12886</xdr:rowOff>
    </xdr:to>
    <xdr:sp macro="" textlink="">
      <xdr:nvSpPr>
        <xdr:cNvPr id="253113" name="Text Box 185" hidden="1">
          <a:extLst>
            <a:ext uri="{FF2B5EF4-FFF2-40B4-BE49-F238E27FC236}">
              <a16:creationId xmlns:a16="http://schemas.microsoft.com/office/drawing/2014/main" id="{BD57456C-68C1-4BE2-AE77-97CC71158B71}"/>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36</xdr:row>
      <xdr:rowOff>120182</xdr:rowOff>
    </xdr:from>
    <xdr:to>
      <xdr:col>20</xdr:col>
      <xdr:colOff>114300</xdr:colOff>
      <xdr:row>58</xdr:row>
      <xdr:rowOff>19048</xdr:rowOff>
    </xdr:to>
    <xdr:sp macro="" textlink="">
      <xdr:nvSpPr>
        <xdr:cNvPr id="253112" name="Text Box 184" hidden="1">
          <a:extLst>
            <a:ext uri="{FF2B5EF4-FFF2-40B4-BE49-F238E27FC236}">
              <a16:creationId xmlns:a16="http://schemas.microsoft.com/office/drawing/2014/main" id="{8F1DD425-B185-4A8E-9F62-9F857D81BD01}"/>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38</xdr:row>
      <xdr:rowOff>139008</xdr:rowOff>
    </xdr:from>
    <xdr:to>
      <xdr:col>20</xdr:col>
      <xdr:colOff>160020</xdr:colOff>
      <xdr:row>43</xdr:row>
      <xdr:rowOff>14007</xdr:rowOff>
    </xdr:to>
    <xdr:sp macro="" textlink="">
      <xdr:nvSpPr>
        <xdr:cNvPr id="253111" name="Text Box 183" hidden="1">
          <a:extLst>
            <a:ext uri="{FF2B5EF4-FFF2-40B4-BE49-F238E27FC236}">
              <a16:creationId xmlns:a16="http://schemas.microsoft.com/office/drawing/2014/main" id="{FA808DA1-A24F-4AE5-9403-001DE8D60218}"/>
            </a:ext>
          </a:extLst>
        </xdr:cNvPr>
        <xdr:cNvSpPr txBox="1">
          <a:spLocks noChangeArrowheads="1"/>
        </xdr:cNvSpPr>
      </xdr:nvSpPr>
      <xdr:spPr bwMode="auto">
        <a:xfrm>
          <a:off x="17335500" y="792480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64</xdr:row>
      <xdr:rowOff>42490</xdr:rowOff>
    </xdr:from>
    <xdr:to>
      <xdr:col>40</xdr:col>
      <xdr:colOff>342900</xdr:colOff>
      <xdr:row>71</xdr:row>
      <xdr:rowOff>23534</xdr:rowOff>
    </xdr:to>
    <xdr:sp macro="" textlink="">
      <xdr:nvSpPr>
        <xdr:cNvPr id="253109" name="Text Box 181" hidden="1">
          <a:extLst>
            <a:ext uri="{FF2B5EF4-FFF2-40B4-BE49-F238E27FC236}">
              <a16:creationId xmlns:a16="http://schemas.microsoft.com/office/drawing/2014/main" id="{468C5C95-2660-4A59-9B0B-B97C1BFDAA02}"/>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64</xdr:row>
      <xdr:rowOff>110659</xdr:rowOff>
    </xdr:from>
    <xdr:to>
      <xdr:col>40</xdr:col>
      <xdr:colOff>228600</xdr:colOff>
      <xdr:row>85</xdr:row>
      <xdr:rowOff>177147</xdr:rowOff>
    </xdr:to>
    <xdr:sp macro="" textlink="">
      <xdr:nvSpPr>
        <xdr:cNvPr id="253108" name="Text Box 180" hidden="1">
          <a:extLst>
            <a:ext uri="{FF2B5EF4-FFF2-40B4-BE49-F238E27FC236}">
              <a16:creationId xmlns:a16="http://schemas.microsoft.com/office/drawing/2014/main" id="{ADFE3912-60B9-4219-AB60-F406E19BBB64}"/>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62</xdr:row>
      <xdr:rowOff>37635</xdr:rowOff>
    </xdr:from>
    <xdr:to>
      <xdr:col>38</xdr:col>
      <xdr:colOff>419100</xdr:colOff>
      <xdr:row>64</xdr:row>
      <xdr:rowOff>259790</xdr:rowOff>
    </xdr:to>
    <xdr:sp macro="" textlink="">
      <xdr:nvSpPr>
        <xdr:cNvPr id="253107" name="Text Box 179" hidden="1">
          <a:extLst>
            <a:ext uri="{FF2B5EF4-FFF2-40B4-BE49-F238E27FC236}">
              <a16:creationId xmlns:a16="http://schemas.microsoft.com/office/drawing/2014/main" id="{5EDC3ACD-B499-41F3-A3F9-78687BE82C9C}"/>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62</xdr:row>
      <xdr:rowOff>37635</xdr:rowOff>
    </xdr:from>
    <xdr:to>
      <xdr:col>38</xdr:col>
      <xdr:colOff>533400</xdr:colOff>
      <xdr:row>64</xdr:row>
      <xdr:rowOff>259790</xdr:rowOff>
    </xdr:to>
    <xdr:sp macro="" textlink="">
      <xdr:nvSpPr>
        <xdr:cNvPr id="253106" name="Text Box 178" hidden="1">
          <a:extLst>
            <a:ext uri="{FF2B5EF4-FFF2-40B4-BE49-F238E27FC236}">
              <a16:creationId xmlns:a16="http://schemas.microsoft.com/office/drawing/2014/main" id="{06EA7145-9A86-4630-A8F9-3303C1C572C9}"/>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64</xdr:row>
      <xdr:rowOff>110659</xdr:rowOff>
    </xdr:from>
    <xdr:to>
      <xdr:col>40</xdr:col>
      <xdr:colOff>228600</xdr:colOff>
      <xdr:row>70</xdr:row>
      <xdr:rowOff>56554</xdr:rowOff>
    </xdr:to>
    <xdr:sp macro="" textlink="">
      <xdr:nvSpPr>
        <xdr:cNvPr id="253105" name="Text Box 177" hidden="1">
          <a:extLst>
            <a:ext uri="{FF2B5EF4-FFF2-40B4-BE49-F238E27FC236}">
              <a16:creationId xmlns:a16="http://schemas.microsoft.com/office/drawing/2014/main" id="{1ED555BA-167A-4AD7-A2AC-60C3C21A5915}"/>
            </a:ext>
          </a:extLst>
        </xdr:cNvPr>
        <xdr:cNvSpPr txBox="1">
          <a:spLocks noChangeArrowheads="1"/>
        </xdr:cNvSpPr>
      </xdr:nvSpPr>
      <xdr:spPr bwMode="auto">
        <a:xfrm>
          <a:off x="33817560" y="13578840"/>
          <a:ext cx="944880" cy="11963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115327</xdr:rowOff>
    </xdr:from>
    <xdr:to>
      <xdr:col>3</xdr:col>
      <xdr:colOff>304800</xdr:colOff>
      <xdr:row>34</xdr:row>
      <xdr:rowOff>61072</xdr:rowOff>
    </xdr:to>
    <xdr:sp macro="" textlink="">
      <xdr:nvSpPr>
        <xdr:cNvPr id="253104" name="Text Box 176" hidden="1">
          <a:extLst>
            <a:ext uri="{FF2B5EF4-FFF2-40B4-BE49-F238E27FC236}">
              <a16:creationId xmlns:a16="http://schemas.microsoft.com/office/drawing/2014/main" id="{CE988748-F005-47B7-A24C-81264C07BA72}"/>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03" name="Text Box 175" hidden="1">
          <a:extLst>
            <a:ext uri="{FF2B5EF4-FFF2-40B4-BE49-F238E27FC236}">
              <a16:creationId xmlns:a16="http://schemas.microsoft.com/office/drawing/2014/main" id="{A1125812-655F-4536-BAA7-A75A28858B9C}"/>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12886</xdr:rowOff>
    </xdr:to>
    <xdr:sp macro="" textlink="">
      <xdr:nvSpPr>
        <xdr:cNvPr id="253102" name="Text Box 174" hidden="1">
          <a:extLst>
            <a:ext uri="{FF2B5EF4-FFF2-40B4-BE49-F238E27FC236}">
              <a16:creationId xmlns:a16="http://schemas.microsoft.com/office/drawing/2014/main" id="{BB090F40-4FDA-4D3D-8545-C74390952348}"/>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36</xdr:row>
      <xdr:rowOff>120182</xdr:rowOff>
    </xdr:from>
    <xdr:to>
      <xdr:col>20</xdr:col>
      <xdr:colOff>114300</xdr:colOff>
      <xdr:row>58</xdr:row>
      <xdr:rowOff>19048</xdr:rowOff>
    </xdr:to>
    <xdr:sp macro="" textlink="">
      <xdr:nvSpPr>
        <xdr:cNvPr id="253101" name="Text Box 173" hidden="1">
          <a:extLst>
            <a:ext uri="{FF2B5EF4-FFF2-40B4-BE49-F238E27FC236}">
              <a16:creationId xmlns:a16="http://schemas.microsoft.com/office/drawing/2014/main" id="{3A307065-8054-415B-95CC-223BA5EF925C}"/>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38</xdr:row>
      <xdr:rowOff>139008</xdr:rowOff>
    </xdr:from>
    <xdr:to>
      <xdr:col>20</xdr:col>
      <xdr:colOff>160020</xdr:colOff>
      <xdr:row>43</xdr:row>
      <xdr:rowOff>14007</xdr:rowOff>
    </xdr:to>
    <xdr:sp macro="" textlink="">
      <xdr:nvSpPr>
        <xdr:cNvPr id="253110" name="Text Box 182" hidden="1">
          <a:extLst>
            <a:ext uri="{FF2B5EF4-FFF2-40B4-BE49-F238E27FC236}">
              <a16:creationId xmlns:a16="http://schemas.microsoft.com/office/drawing/2014/main" id="{C1F5530E-42DC-4515-B688-916EFF1C45E6}"/>
            </a:ext>
          </a:extLst>
        </xdr:cNvPr>
        <xdr:cNvSpPr txBox="1">
          <a:spLocks noChangeArrowheads="1"/>
        </xdr:cNvSpPr>
      </xdr:nvSpPr>
      <xdr:spPr bwMode="auto">
        <a:xfrm>
          <a:off x="17335500" y="7924800"/>
          <a:ext cx="126492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64</xdr:row>
      <xdr:rowOff>42490</xdr:rowOff>
    </xdr:from>
    <xdr:to>
      <xdr:col>40</xdr:col>
      <xdr:colOff>342900</xdr:colOff>
      <xdr:row>71</xdr:row>
      <xdr:rowOff>23534</xdr:rowOff>
    </xdr:to>
    <xdr:sp macro="" textlink="">
      <xdr:nvSpPr>
        <xdr:cNvPr id="253160" name="Text Box 232" hidden="1">
          <a:extLst>
            <a:ext uri="{FF2B5EF4-FFF2-40B4-BE49-F238E27FC236}">
              <a16:creationId xmlns:a16="http://schemas.microsoft.com/office/drawing/2014/main" id="{82295DDD-46A3-4C35-BDA9-B28032D28EEC}"/>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64</xdr:row>
      <xdr:rowOff>110659</xdr:rowOff>
    </xdr:from>
    <xdr:to>
      <xdr:col>40</xdr:col>
      <xdr:colOff>228600</xdr:colOff>
      <xdr:row>85</xdr:row>
      <xdr:rowOff>177147</xdr:rowOff>
    </xdr:to>
    <xdr:sp macro="" textlink="">
      <xdr:nvSpPr>
        <xdr:cNvPr id="253159" name="Text Box 231" hidden="1">
          <a:extLst>
            <a:ext uri="{FF2B5EF4-FFF2-40B4-BE49-F238E27FC236}">
              <a16:creationId xmlns:a16="http://schemas.microsoft.com/office/drawing/2014/main" id="{2BC42326-28C1-46D1-A92D-44231208F06E}"/>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62</xdr:row>
      <xdr:rowOff>37635</xdr:rowOff>
    </xdr:from>
    <xdr:to>
      <xdr:col>38</xdr:col>
      <xdr:colOff>419100</xdr:colOff>
      <xdr:row>64</xdr:row>
      <xdr:rowOff>259790</xdr:rowOff>
    </xdr:to>
    <xdr:sp macro="" textlink="">
      <xdr:nvSpPr>
        <xdr:cNvPr id="253158" name="Text Box 230" hidden="1">
          <a:extLst>
            <a:ext uri="{FF2B5EF4-FFF2-40B4-BE49-F238E27FC236}">
              <a16:creationId xmlns:a16="http://schemas.microsoft.com/office/drawing/2014/main" id="{AF88F8EF-4C29-4CB6-B168-FA52430597FE}"/>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62</xdr:row>
      <xdr:rowOff>37635</xdr:rowOff>
    </xdr:from>
    <xdr:to>
      <xdr:col>38</xdr:col>
      <xdr:colOff>533400</xdr:colOff>
      <xdr:row>64</xdr:row>
      <xdr:rowOff>259790</xdr:rowOff>
    </xdr:to>
    <xdr:sp macro="" textlink="">
      <xdr:nvSpPr>
        <xdr:cNvPr id="253157" name="Text Box 229" hidden="1">
          <a:extLst>
            <a:ext uri="{FF2B5EF4-FFF2-40B4-BE49-F238E27FC236}">
              <a16:creationId xmlns:a16="http://schemas.microsoft.com/office/drawing/2014/main" id="{0075B0B2-249C-4A27-8AB8-359B42700628}"/>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64</xdr:row>
      <xdr:rowOff>110659</xdr:rowOff>
    </xdr:from>
    <xdr:to>
      <xdr:col>40</xdr:col>
      <xdr:colOff>228600</xdr:colOff>
      <xdr:row>70</xdr:row>
      <xdr:rowOff>45759</xdr:rowOff>
    </xdr:to>
    <xdr:sp macro="" textlink="">
      <xdr:nvSpPr>
        <xdr:cNvPr id="253156" name="Text Box 228" hidden="1">
          <a:extLst>
            <a:ext uri="{FF2B5EF4-FFF2-40B4-BE49-F238E27FC236}">
              <a16:creationId xmlns:a16="http://schemas.microsoft.com/office/drawing/2014/main" id="{8D08E321-21CD-47C9-AEBE-2E87FE57E022}"/>
            </a:ext>
          </a:extLst>
        </xdr:cNvPr>
        <xdr:cNvSpPr txBox="1">
          <a:spLocks noChangeArrowheads="1"/>
        </xdr:cNvSpPr>
      </xdr:nvSpPr>
      <xdr:spPr bwMode="auto">
        <a:xfrm>
          <a:off x="33817560" y="13578840"/>
          <a:ext cx="9448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115327</xdr:rowOff>
    </xdr:from>
    <xdr:to>
      <xdr:col>3</xdr:col>
      <xdr:colOff>304800</xdr:colOff>
      <xdr:row>34</xdr:row>
      <xdr:rowOff>61072</xdr:rowOff>
    </xdr:to>
    <xdr:sp macro="" textlink="">
      <xdr:nvSpPr>
        <xdr:cNvPr id="253155" name="Text Box 227" hidden="1">
          <a:extLst>
            <a:ext uri="{FF2B5EF4-FFF2-40B4-BE49-F238E27FC236}">
              <a16:creationId xmlns:a16="http://schemas.microsoft.com/office/drawing/2014/main" id="{F03B5C2D-7CED-4455-A33B-585EE2671D37}"/>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54" name="Text Box 226" hidden="1">
          <a:extLst>
            <a:ext uri="{FF2B5EF4-FFF2-40B4-BE49-F238E27FC236}">
              <a16:creationId xmlns:a16="http://schemas.microsoft.com/office/drawing/2014/main" id="{77797685-BC37-45D0-B945-DA84F3725811}"/>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12886</xdr:rowOff>
    </xdr:to>
    <xdr:sp macro="" textlink="">
      <xdr:nvSpPr>
        <xdr:cNvPr id="253153" name="Text Box 225" hidden="1">
          <a:extLst>
            <a:ext uri="{FF2B5EF4-FFF2-40B4-BE49-F238E27FC236}">
              <a16:creationId xmlns:a16="http://schemas.microsoft.com/office/drawing/2014/main" id="{7BCEF910-E5A6-44AE-91CC-45AA86E1F4DA}"/>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36</xdr:row>
      <xdr:rowOff>120182</xdr:rowOff>
    </xdr:from>
    <xdr:to>
      <xdr:col>20</xdr:col>
      <xdr:colOff>114300</xdr:colOff>
      <xdr:row>58</xdr:row>
      <xdr:rowOff>19048</xdr:rowOff>
    </xdr:to>
    <xdr:sp macro="" textlink="">
      <xdr:nvSpPr>
        <xdr:cNvPr id="253152" name="Text Box 224" hidden="1">
          <a:extLst>
            <a:ext uri="{FF2B5EF4-FFF2-40B4-BE49-F238E27FC236}">
              <a16:creationId xmlns:a16="http://schemas.microsoft.com/office/drawing/2014/main" id="{C6BB1D42-AF69-4DD1-BE5E-572AADCB581A}"/>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38</xdr:row>
      <xdr:rowOff>150438</xdr:rowOff>
    </xdr:from>
    <xdr:to>
      <xdr:col>20</xdr:col>
      <xdr:colOff>152400</xdr:colOff>
      <xdr:row>43</xdr:row>
      <xdr:rowOff>14007</xdr:rowOff>
    </xdr:to>
    <xdr:sp macro="" textlink="">
      <xdr:nvSpPr>
        <xdr:cNvPr id="253151" name="Text Box 223" hidden="1">
          <a:extLst>
            <a:ext uri="{FF2B5EF4-FFF2-40B4-BE49-F238E27FC236}">
              <a16:creationId xmlns:a16="http://schemas.microsoft.com/office/drawing/2014/main" id="{AC59E01E-43E7-4A80-87D5-81AD8FF2EE62}"/>
            </a:ext>
          </a:extLst>
        </xdr:cNvPr>
        <xdr:cNvSpPr txBox="1">
          <a:spLocks noChangeArrowheads="1"/>
        </xdr:cNvSpPr>
      </xdr:nvSpPr>
      <xdr:spPr bwMode="auto">
        <a:xfrm>
          <a:off x="17335500" y="79171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64</xdr:row>
      <xdr:rowOff>42490</xdr:rowOff>
    </xdr:from>
    <xdr:to>
      <xdr:col>40</xdr:col>
      <xdr:colOff>342900</xdr:colOff>
      <xdr:row>71</xdr:row>
      <xdr:rowOff>23534</xdr:rowOff>
    </xdr:to>
    <xdr:sp macro="" textlink="">
      <xdr:nvSpPr>
        <xdr:cNvPr id="253150" name="Text Box 222" hidden="1">
          <a:extLst>
            <a:ext uri="{FF2B5EF4-FFF2-40B4-BE49-F238E27FC236}">
              <a16:creationId xmlns:a16="http://schemas.microsoft.com/office/drawing/2014/main" id="{25ED747B-3DF0-4A8E-90C9-E71ABAD0D48C}"/>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64</xdr:row>
      <xdr:rowOff>110659</xdr:rowOff>
    </xdr:from>
    <xdr:to>
      <xdr:col>40</xdr:col>
      <xdr:colOff>228600</xdr:colOff>
      <xdr:row>85</xdr:row>
      <xdr:rowOff>177147</xdr:rowOff>
    </xdr:to>
    <xdr:sp macro="" textlink="">
      <xdr:nvSpPr>
        <xdr:cNvPr id="253149" name="Text Box 221" hidden="1">
          <a:extLst>
            <a:ext uri="{FF2B5EF4-FFF2-40B4-BE49-F238E27FC236}">
              <a16:creationId xmlns:a16="http://schemas.microsoft.com/office/drawing/2014/main" id="{BEE37C05-4E3E-491A-BEE1-79A9E4E076A9}"/>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62</xdr:row>
      <xdr:rowOff>37635</xdr:rowOff>
    </xdr:from>
    <xdr:to>
      <xdr:col>38</xdr:col>
      <xdr:colOff>419100</xdr:colOff>
      <xdr:row>64</xdr:row>
      <xdr:rowOff>259790</xdr:rowOff>
    </xdr:to>
    <xdr:sp macro="" textlink="">
      <xdr:nvSpPr>
        <xdr:cNvPr id="253148" name="Text Box 220" hidden="1">
          <a:extLst>
            <a:ext uri="{FF2B5EF4-FFF2-40B4-BE49-F238E27FC236}">
              <a16:creationId xmlns:a16="http://schemas.microsoft.com/office/drawing/2014/main" id="{E933B412-F4D1-4F34-B105-C00DF441446E}"/>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62</xdr:row>
      <xdr:rowOff>37635</xdr:rowOff>
    </xdr:from>
    <xdr:to>
      <xdr:col>38</xdr:col>
      <xdr:colOff>533400</xdr:colOff>
      <xdr:row>64</xdr:row>
      <xdr:rowOff>259790</xdr:rowOff>
    </xdr:to>
    <xdr:sp macro="" textlink="">
      <xdr:nvSpPr>
        <xdr:cNvPr id="253147" name="Text Box 219" hidden="1">
          <a:extLst>
            <a:ext uri="{FF2B5EF4-FFF2-40B4-BE49-F238E27FC236}">
              <a16:creationId xmlns:a16="http://schemas.microsoft.com/office/drawing/2014/main" id="{968C9F7D-CA77-495D-A697-ADA9CD120E62}"/>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64</xdr:row>
      <xdr:rowOff>110659</xdr:rowOff>
    </xdr:from>
    <xdr:to>
      <xdr:col>40</xdr:col>
      <xdr:colOff>228600</xdr:colOff>
      <xdr:row>70</xdr:row>
      <xdr:rowOff>45759</xdr:rowOff>
    </xdr:to>
    <xdr:sp macro="" textlink="">
      <xdr:nvSpPr>
        <xdr:cNvPr id="253146" name="Text Box 218" hidden="1">
          <a:extLst>
            <a:ext uri="{FF2B5EF4-FFF2-40B4-BE49-F238E27FC236}">
              <a16:creationId xmlns:a16="http://schemas.microsoft.com/office/drawing/2014/main" id="{FA27E1B1-2BAE-4CA0-ACAF-7E433C88DE14}"/>
            </a:ext>
          </a:extLst>
        </xdr:cNvPr>
        <xdr:cNvSpPr txBox="1">
          <a:spLocks noChangeArrowheads="1"/>
        </xdr:cNvSpPr>
      </xdr:nvSpPr>
      <xdr:spPr bwMode="auto">
        <a:xfrm>
          <a:off x="33817560" y="13578840"/>
          <a:ext cx="9448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115327</xdr:rowOff>
    </xdr:from>
    <xdr:to>
      <xdr:col>3</xdr:col>
      <xdr:colOff>304800</xdr:colOff>
      <xdr:row>34</xdr:row>
      <xdr:rowOff>61072</xdr:rowOff>
    </xdr:to>
    <xdr:sp macro="" textlink="">
      <xdr:nvSpPr>
        <xdr:cNvPr id="253145" name="Text Box 217" hidden="1">
          <a:extLst>
            <a:ext uri="{FF2B5EF4-FFF2-40B4-BE49-F238E27FC236}">
              <a16:creationId xmlns:a16="http://schemas.microsoft.com/office/drawing/2014/main" id="{FD36B24C-8BDF-4538-BDB6-1C69DAD5DEF1}"/>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44" name="Text Box 216" hidden="1">
          <a:extLst>
            <a:ext uri="{FF2B5EF4-FFF2-40B4-BE49-F238E27FC236}">
              <a16:creationId xmlns:a16="http://schemas.microsoft.com/office/drawing/2014/main" id="{A786583A-F9CF-43BC-8A57-C11F451C6EF0}"/>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12886</xdr:rowOff>
    </xdr:to>
    <xdr:sp macro="" textlink="">
      <xdr:nvSpPr>
        <xdr:cNvPr id="253143" name="Text Box 215" hidden="1">
          <a:extLst>
            <a:ext uri="{FF2B5EF4-FFF2-40B4-BE49-F238E27FC236}">
              <a16:creationId xmlns:a16="http://schemas.microsoft.com/office/drawing/2014/main" id="{EC0A7227-A9EB-4077-8196-D2EFEB136382}"/>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36</xdr:row>
      <xdr:rowOff>120182</xdr:rowOff>
    </xdr:from>
    <xdr:to>
      <xdr:col>20</xdr:col>
      <xdr:colOff>114300</xdr:colOff>
      <xdr:row>58</xdr:row>
      <xdr:rowOff>19048</xdr:rowOff>
    </xdr:to>
    <xdr:sp macro="" textlink="">
      <xdr:nvSpPr>
        <xdr:cNvPr id="253142" name="Text Box 214" hidden="1">
          <a:extLst>
            <a:ext uri="{FF2B5EF4-FFF2-40B4-BE49-F238E27FC236}">
              <a16:creationId xmlns:a16="http://schemas.microsoft.com/office/drawing/2014/main" id="{537CBDE0-33D1-4EDE-AC0E-9747AF97DEB9}"/>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38</xdr:row>
      <xdr:rowOff>150438</xdr:rowOff>
    </xdr:from>
    <xdr:to>
      <xdr:col>20</xdr:col>
      <xdr:colOff>152400</xdr:colOff>
      <xdr:row>43</xdr:row>
      <xdr:rowOff>14007</xdr:rowOff>
    </xdr:to>
    <xdr:sp macro="" textlink="">
      <xdr:nvSpPr>
        <xdr:cNvPr id="253141" name="Text Box 213" hidden="1">
          <a:extLst>
            <a:ext uri="{FF2B5EF4-FFF2-40B4-BE49-F238E27FC236}">
              <a16:creationId xmlns:a16="http://schemas.microsoft.com/office/drawing/2014/main" id="{2E4E53AE-8E96-41A8-AEBC-D2A9E74D182A}"/>
            </a:ext>
          </a:extLst>
        </xdr:cNvPr>
        <xdr:cNvSpPr txBox="1">
          <a:spLocks noChangeArrowheads="1"/>
        </xdr:cNvSpPr>
      </xdr:nvSpPr>
      <xdr:spPr bwMode="auto">
        <a:xfrm>
          <a:off x="17335500" y="79171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64</xdr:row>
      <xdr:rowOff>42490</xdr:rowOff>
    </xdr:from>
    <xdr:to>
      <xdr:col>40</xdr:col>
      <xdr:colOff>342900</xdr:colOff>
      <xdr:row>71</xdr:row>
      <xdr:rowOff>23534</xdr:rowOff>
    </xdr:to>
    <xdr:sp macro="" textlink="">
      <xdr:nvSpPr>
        <xdr:cNvPr id="253140" name="Text Box 212" hidden="1">
          <a:extLst>
            <a:ext uri="{FF2B5EF4-FFF2-40B4-BE49-F238E27FC236}">
              <a16:creationId xmlns:a16="http://schemas.microsoft.com/office/drawing/2014/main" id="{F07BB82F-870D-43C8-B945-DDF46D3B1A95}"/>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64</xdr:row>
      <xdr:rowOff>110659</xdr:rowOff>
    </xdr:from>
    <xdr:to>
      <xdr:col>40</xdr:col>
      <xdr:colOff>228600</xdr:colOff>
      <xdr:row>85</xdr:row>
      <xdr:rowOff>177147</xdr:rowOff>
    </xdr:to>
    <xdr:sp macro="" textlink="">
      <xdr:nvSpPr>
        <xdr:cNvPr id="253139" name="Text Box 211" hidden="1">
          <a:extLst>
            <a:ext uri="{FF2B5EF4-FFF2-40B4-BE49-F238E27FC236}">
              <a16:creationId xmlns:a16="http://schemas.microsoft.com/office/drawing/2014/main" id="{12652035-B09F-4E07-98B7-33DB0F1BA477}"/>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62</xdr:row>
      <xdr:rowOff>37635</xdr:rowOff>
    </xdr:from>
    <xdr:to>
      <xdr:col>38</xdr:col>
      <xdr:colOff>419100</xdr:colOff>
      <xdr:row>64</xdr:row>
      <xdr:rowOff>259790</xdr:rowOff>
    </xdr:to>
    <xdr:sp macro="" textlink="">
      <xdr:nvSpPr>
        <xdr:cNvPr id="253138" name="Text Box 210" hidden="1">
          <a:extLst>
            <a:ext uri="{FF2B5EF4-FFF2-40B4-BE49-F238E27FC236}">
              <a16:creationId xmlns:a16="http://schemas.microsoft.com/office/drawing/2014/main" id="{E4EE5BC4-4A5E-48BE-90C8-07B1FDCB7F35}"/>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62</xdr:row>
      <xdr:rowOff>37635</xdr:rowOff>
    </xdr:from>
    <xdr:to>
      <xdr:col>38</xdr:col>
      <xdr:colOff>533400</xdr:colOff>
      <xdr:row>64</xdr:row>
      <xdr:rowOff>259790</xdr:rowOff>
    </xdr:to>
    <xdr:sp macro="" textlink="">
      <xdr:nvSpPr>
        <xdr:cNvPr id="253137" name="Text Box 209" hidden="1">
          <a:extLst>
            <a:ext uri="{FF2B5EF4-FFF2-40B4-BE49-F238E27FC236}">
              <a16:creationId xmlns:a16="http://schemas.microsoft.com/office/drawing/2014/main" id="{61982B12-8289-497D-B60E-70910EB6499E}"/>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64</xdr:row>
      <xdr:rowOff>110659</xdr:rowOff>
    </xdr:from>
    <xdr:to>
      <xdr:col>40</xdr:col>
      <xdr:colOff>228600</xdr:colOff>
      <xdr:row>70</xdr:row>
      <xdr:rowOff>45759</xdr:rowOff>
    </xdr:to>
    <xdr:sp macro="" textlink="">
      <xdr:nvSpPr>
        <xdr:cNvPr id="253136" name="Text Box 208" hidden="1">
          <a:extLst>
            <a:ext uri="{FF2B5EF4-FFF2-40B4-BE49-F238E27FC236}">
              <a16:creationId xmlns:a16="http://schemas.microsoft.com/office/drawing/2014/main" id="{6FC3FB93-7211-4E62-A5C4-F1BB97363B2E}"/>
            </a:ext>
          </a:extLst>
        </xdr:cNvPr>
        <xdr:cNvSpPr txBox="1">
          <a:spLocks noChangeArrowheads="1"/>
        </xdr:cNvSpPr>
      </xdr:nvSpPr>
      <xdr:spPr bwMode="auto">
        <a:xfrm>
          <a:off x="33817560" y="13578840"/>
          <a:ext cx="9448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115327</xdr:rowOff>
    </xdr:from>
    <xdr:to>
      <xdr:col>3</xdr:col>
      <xdr:colOff>304800</xdr:colOff>
      <xdr:row>34</xdr:row>
      <xdr:rowOff>61072</xdr:rowOff>
    </xdr:to>
    <xdr:sp macro="" textlink="">
      <xdr:nvSpPr>
        <xdr:cNvPr id="253135" name="Text Box 207" hidden="1">
          <a:extLst>
            <a:ext uri="{FF2B5EF4-FFF2-40B4-BE49-F238E27FC236}">
              <a16:creationId xmlns:a16="http://schemas.microsoft.com/office/drawing/2014/main" id="{3FD39C4E-55B3-47A3-A11A-EE6085117100}"/>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34" name="Text Box 206" hidden="1">
          <a:extLst>
            <a:ext uri="{FF2B5EF4-FFF2-40B4-BE49-F238E27FC236}">
              <a16:creationId xmlns:a16="http://schemas.microsoft.com/office/drawing/2014/main" id="{A11F7B18-9D08-43F2-B6EC-0631E220B04B}"/>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12886</xdr:rowOff>
    </xdr:to>
    <xdr:sp macro="" textlink="">
      <xdr:nvSpPr>
        <xdr:cNvPr id="253133" name="Text Box 205" hidden="1">
          <a:extLst>
            <a:ext uri="{FF2B5EF4-FFF2-40B4-BE49-F238E27FC236}">
              <a16:creationId xmlns:a16="http://schemas.microsoft.com/office/drawing/2014/main" id="{F791543A-8F01-435A-8C47-2A3C97F5B5E5}"/>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36</xdr:row>
      <xdr:rowOff>120182</xdr:rowOff>
    </xdr:from>
    <xdr:to>
      <xdr:col>20</xdr:col>
      <xdr:colOff>114300</xdr:colOff>
      <xdr:row>58</xdr:row>
      <xdr:rowOff>19048</xdr:rowOff>
    </xdr:to>
    <xdr:sp macro="" textlink="">
      <xdr:nvSpPr>
        <xdr:cNvPr id="253132" name="Text Box 204" hidden="1">
          <a:extLst>
            <a:ext uri="{FF2B5EF4-FFF2-40B4-BE49-F238E27FC236}">
              <a16:creationId xmlns:a16="http://schemas.microsoft.com/office/drawing/2014/main" id="{1B7F1782-0FC3-4143-B182-274706343E7A}"/>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38</xdr:row>
      <xdr:rowOff>150438</xdr:rowOff>
    </xdr:from>
    <xdr:to>
      <xdr:col>20</xdr:col>
      <xdr:colOff>152400</xdr:colOff>
      <xdr:row>43</xdr:row>
      <xdr:rowOff>14007</xdr:rowOff>
    </xdr:to>
    <xdr:sp macro="" textlink="">
      <xdr:nvSpPr>
        <xdr:cNvPr id="253131" name="Text Box 203" hidden="1">
          <a:extLst>
            <a:ext uri="{FF2B5EF4-FFF2-40B4-BE49-F238E27FC236}">
              <a16:creationId xmlns:a16="http://schemas.microsoft.com/office/drawing/2014/main" id="{5F1C737C-46A5-4B09-AAE7-D94222E8F1E1}"/>
            </a:ext>
          </a:extLst>
        </xdr:cNvPr>
        <xdr:cNvSpPr txBox="1">
          <a:spLocks noChangeArrowheads="1"/>
        </xdr:cNvSpPr>
      </xdr:nvSpPr>
      <xdr:spPr bwMode="auto">
        <a:xfrm>
          <a:off x="17335500" y="79171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64</xdr:row>
      <xdr:rowOff>42490</xdr:rowOff>
    </xdr:from>
    <xdr:to>
      <xdr:col>40</xdr:col>
      <xdr:colOff>342900</xdr:colOff>
      <xdr:row>71</xdr:row>
      <xdr:rowOff>23534</xdr:rowOff>
    </xdr:to>
    <xdr:sp macro="" textlink="">
      <xdr:nvSpPr>
        <xdr:cNvPr id="253170" name="Text Box 242" hidden="1">
          <a:extLst>
            <a:ext uri="{FF2B5EF4-FFF2-40B4-BE49-F238E27FC236}">
              <a16:creationId xmlns:a16="http://schemas.microsoft.com/office/drawing/2014/main" id="{457245CD-6E82-4132-BD0D-1EBEC61F88E3}"/>
            </a:ext>
          </a:extLst>
        </xdr:cNvPr>
        <xdr:cNvSpPr txBox="1">
          <a:spLocks noChangeArrowheads="1"/>
        </xdr:cNvSpPr>
      </xdr:nvSpPr>
      <xdr:spPr bwMode="auto">
        <a:xfrm>
          <a:off x="32785050" y="13763625"/>
          <a:ext cx="990600" cy="148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64</xdr:row>
      <xdr:rowOff>110659</xdr:rowOff>
    </xdr:from>
    <xdr:to>
      <xdr:col>40</xdr:col>
      <xdr:colOff>228600</xdr:colOff>
      <xdr:row>85</xdr:row>
      <xdr:rowOff>177147</xdr:rowOff>
    </xdr:to>
    <xdr:sp macro="" textlink="">
      <xdr:nvSpPr>
        <xdr:cNvPr id="253169" name="Text Box 241" hidden="1">
          <a:extLst>
            <a:ext uri="{FF2B5EF4-FFF2-40B4-BE49-F238E27FC236}">
              <a16:creationId xmlns:a16="http://schemas.microsoft.com/office/drawing/2014/main" id="{497B83E8-2A1E-478D-8616-86C0BB5AC46B}"/>
            </a:ext>
          </a:extLst>
        </xdr:cNvPr>
        <xdr:cNvSpPr txBox="1">
          <a:spLocks noChangeArrowheads="1"/>
        </xdr:cNvSpPr>
      </xdr:nvSpPr>
      <xdr:spPr bwMode="auto">
        <a:xfrm>
          <a:off x="32746950" y="13877925"/>
          <a:ext cx="914400" cy="552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62</xdr:row>
      <xdr:rowOff>37635</xdr:rowOff>
    </xdr:from>
    <xdr:to>
      <xdr:col>38</xdr:col>
      <xdr:colOff>419100</xdr:colOff>
      <xdr:row>64</xdr:row>
      <xdr:rowOff>259790</xdr:rowOff>
    </xdr:to>
    <xdr:sp macro="" textlink="">
      <xdr:nvSpPr>
        <xdr:cNvPr id="253168" name="Text Box 240" hidden="1">
          <a:extLst>
            <a:ext uri="{FF2B5EF4-FFF2-40B4-BE49-F238E27FC236}">
              <a16:creationId xmlns:a16="http://schemas.microsoft.com/office/drawing/2014/main" id="{B2C22265-F1A7-4025-BA46-1C7EA72737DF}"/>
            </a:ext>
          </a:extLst>
        </xdr:cNvPr>
        <xdr:cNvSpPr txBox="1">
          <a:spLocks noChangeArrowheads="1"/>
        </xdr:cNvSpPr>
      </xdr:nvSpPr>
      <xdr:spPr bwMode="auto">
        <a:xfrm>
          <a:off x="30099000" y="13496925"/>
          <a:ext cx="8763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62</xdr:row>
      <xdr:rowOff>37635</xdr:rowOff>
    </xdr:from>
    <xdr:to>
      <xdr:col>38</xdr:col>
      <xdr:colOff>533400</xdr:colOff>
      <xdr:row>64</xdr:row>
      <xdr:rowOff>259790</xdr:rowOff>
    </xdr:to>
    <xdr:sp macro="" textlink="">
      <xdr:nvSpPr>
        <xdr:cNvPr id="253167" name="Text Box 239" hidden="1">
          <a:extLst>
            <a:ext uri="{FF2B5EF4-FFF2-40B4-BE49-F238E27FC236}">
              <a16:creationId xmlns:a16="http://schemas.microsoft.com/office/drawing/2014/main" id="{561B88B7-D978-4C89-A37E-CE2D200B2FA8}"/>
            </a:ext>
          </a:extLst>
        </xdr:cNvPr>
        <xdr:cNvSpPr txBox="1">
          <a:spLocks noChangeArrowheads="1"/>
        </xdr:cNvSpPr>
      </xdr:nvSpPr>
      <xdr:spPr bwMode="auto">
        <a:xfrm>
          <a:off x="30175200" y="13496925"/>
          <a:ext cx="9144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64</xdr:row>
      <xdr:rowOff>110659</xdr:rowOff>
    </xdr:from>
    <xdr:to>
      <xdr:col>40</xdr:col>
      <xdr:colOff>228600</xdr:colOff>
      <xdr:row>70</xdr:row>
      <xdr:rowOff>45759</xdr:rowOff>
    </xdr:to>
    <xdr:sp macro="" textlink="">
      <xdr:nvSpPr>
        <xdr:cNvPr id="253166" name="Text Box 238" hidden="1">
          <a:extLst>
            <a:ext uri="{FF2B5EF4-FFF2-40B4-BE49-F238E27FC236}">
              <a16:creationId xmlns:a16="http://schemas.microsoft.com/office/drawing/2014/main" id="{D2BF2C0C-6636-4FBC-AD12-495680F7B1DF}"/>
            </a:ext>
          </a:extLst>
        </xdr:cNvPr>
        <xdr:cNvSpPr txBox="1">
          <a:spLocks noChangeArrowheads="1"/>
        </xdr:cNvSpPr>
      </xdr:nvSpPr>
      <xdr:spPr bwMode="auto">
        <a:xfrm>
          <a:off x="32746950" y="13877925"/>
          <a:ext cx="91440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115327</xdr:rowOff>
    </xdr:from>
    <xdr:to>
      <xdr:col>3</xdr:col>
      <xdr:colOff>304800</xdr:colOff>
      <xdr:row>34</xdr:row>
      <xdr:rowOff>61072</xdr:rowOff>
    </xdr:to>
    <xdr:sp macro="" textlink="">
      <xdr:nvSpPr>
        <xdr:cNvPr id="253165" name="Text Box 237" hidden="1">
          <a:extLst>
            <a:ext uri="{FF2B5EF4-FFF2-40B4-BE49-F238E27FC236}">
              <a16:creationId xmlns:a16="http://schemas.microsoft.com/office/drawing/2014/main" id="{4781A7F9-103D-4990-8227-00CD0FCBE537}"/>
            </a:ext>
          </a:extLst>
        </xdr:cNvPr>
        <xdr:cNvSpPr txBox="1">
          <a:spLocks noChangeArrowheads="1"/>
        </xdr:cNvSpPr>
      </xdr:nvSpPr>
      <xdr:spPr bwMode="auto">
        <a:xfrm>
          <a:off x="4695825" y="5953125"/>
          <a:ext cx="13525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64" name="Text Box 236" hidden="1">
          <a:extLst>
            <a:ext uri="{FF2B5EF4-FFF2-40B4-BE49-F238E27FC236}">
              <a16:creationId xmlns:a16="http://schemas.microsoft.com/office/drawing/2014/main" id="{2C72DB8E-5F91-441B-94AE-24BDDE61753E}"/>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12886</xdr:rowOff>
    </xdr:to>
    <xdr:sp macro="" textlink="">
      <xdr:nvSpPr>
        <xdr:cNvPr id="253163" name="Text Box 235" hidden="1">
          <a:extLst>
            <a:ext uri="{FF2B5EF4-FFF2-40B4-BE49-F238E27FC236}">
              <a16:creationId xmlns:a16="http://schemas.microsoft.com/office/drawing/2014/main" id="{995CB0AB-4F3D-4F0D-874A-A3CF9A0D8CD4}"/>
            </a:ext>
          </a:extLst>
        </xdr:cNvPr>
        <xdr:cNvSpPr txBox="1">
          <a:spLocks noChangeArrowheads="1"/>
        </xdr:cNvSpPr>
      </xdr:nvSpPr>
      <xdr:spPr bwMode="auto">
        <a:xfrm>
          <a:off x="4657725" y="2019300"/>
          <a:ext cx="1238250"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36</xdr:row>
      <xdr:rowOff>120182</xdr:rowOff>
    </xdr:from>
    <xdr:to>
      <xdr:col>20</xdr:col>
      <xdr:colOff>114300</xdr:colOff>
      <xdr:row>58</xdr:row>
      <xdr:rowOff>19048</xdr:rowOff>
    </xdr:to>
    <xdr:sp macro="" textlink="">
      <xdr:nvSpPr>
        <xdr:cNvPr id="253162" name="Text Box 234" hidden="1">
          <a:extLst>
            <a:ext uri="{FF2B5EF4-FFF2-40B4-BE49-F238E27FC236}">
              <a16:creationId xmlns:a16="http://schemas.microsoft.com/office/drawing/2014/main" id="{B6A0B7B5-B476-4DF0-BADC-05141172FE69}"/>
            </a:ext>
          </a:extLst>
        </xdr:cNvPr>
        <xdr:cNvSpPr txBox="1">
          <a:spLocks noChangeArrowheads="1"/>
        </xdr:cNvSpPr>
      </xdr:nvSpPr>
      <xdr:spPr bwMode="auto">
        <a:xfrm>
          <a:off x="16859250" y="7391400"/>
          <a:ext cx="1181100" cy="5400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38</xdr:row>
      <xdr:rowOff>150438</xdr:rowOff>
    </xdr:from>
    <xdr:to>
      <xdr:col>20</xdr:col>
      <xdr:colOff>152400</xdr:colOff>
      <xdr:row>43</xdr:row>
      <xdr:rowOff>14007</xdr:rowOff>
    </xdr:to>
    <xdr:sp macro="" textlink="">
      <xdr:nvSpPr>
        <xdr:cNvPr id="253161" name="Text Box 233" hidden="1">
          <a:extLst>
            <a:ext uri="{FF2B5EF4-FFF2-40B4-BE49-F238E27FC236}">
              <a16:creationId xmlns:a16="http://schemas.microsoft.com/office/drawing/2014/main" id="{FCD2E3FC-5684-4C0E-970B-39E9BCEA4AAF}"/>
            </a:ext>
          </a:extLst>
        </xdr:cNvPr>
        <xdr:cNvSpPr txBox="1">
          <a:spLocks noChangeArrowheads="1"/>
        </xdr:cNvSpPr>
      </xdr:nvSpPr>
      <xdr:spPr bwMode="auto">
        <a:xfrm>
          <a:off x="16859250" y="8105775"/>
          <a:ext cx="12192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55</xdr:row>
      <xdr:rowOff>185084</xdr:rowOff>
    </xdr:from>
    <xdr:to>
      <xdr:col>40</xdr:col>
      <xdr:colOff>342900</xdr:colOff>
      <xdr:row>64</xdr:row>
      <xdr:rowOff>41892</xdr:rowOff>
    </xdr:to>
    <xdr:sp macro="" textlink="">
      <xdr:nvSpPr>
        <xdr:cNvPr id="253180" name="Text Box 252" hidden="1">
          <a:extLst>
            <a:ext uri="{FF2B5EF4-FFF2-40B4-BE49-F238E27FC236}">
              <a16:creationId xmlns:a16="http://schemas.microsoft.com/office/drawing/2014/main" id="{BD9EE5FB-5F4E-426D-9994-D42FF71FC6F2}"/>
            </a:ext>
          </a:extLst>
        </xdr:cNvPr>
        <xdr:cNvSpPr txBox="1">
          <a:spLocks noChangeArrowheads="1"/>
        </xdr:cNvSpPr>
      </xdr:nvSpPr>
      <xdr:spPr bwMode="auto">
        <a:xfrm>
          <a:off x="33817560" y="12039600"/>
          <a:ext cx="1021080" cy="1455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56</xdr:row>
      <xdr:rowOff>15128</xdr:rowOff>
    </xdr:from>
    <xdr:to>
      <xdr:col>40</xdr:col>
      <xdr:colOff>228600</xdr:colOff>
      <xdr:row>81</xdr:row>
      <xdr:rowOff>63408</xdr:rowOff>
    </xdr:to>
    <xdr:sp macro="" textlink="">
      <xdr:nvSpPr>
        <xdr:cNvPr id="253179" name="Text Box 251" hidden="1">
          <a:extLst>
            <a:ext uri="{FF2B5EF4-FFF2-40B4-BE49-F238E27FC236}">
              <a16:creationId xmlns:a16="http://schemas.microsoft.com/office/drawing/2014/main" id="{E1418A71-DF5F-4180-9904-34E60B4B2625}"/>
            </a:ext>
          </a:extLst>
        </xdr:cNvPr>
        <xdr:cNvSpPr txBox="1">
          <a:spLocks noChangeArrowheads="1"/>
        </xdr:cNvSpPr>
      </xdr:nvSpPr>
      <xdr:spPr bwMode="auto">
        <a:xfrm>
          <a:off x="33779460" y="1215390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55</xdr:row>
      <xdr:rowOff>61258</xdr:rowOff>
    </xdr:from>
    <xdr:to>
      <xdr:col>38</xdr:col>
      <xdr:colOff>419100</xdr:colOff>
      <xdr:row>57</xdr:row>
      <xdr:rowOff>105950</xdr:rowOff>
    </xdr:to>
    <xdr:sp macro="" textlink="">
      <xdr:nvSpPr>
        <xdr:cNvPr id="253178" name="Text Box 250" hidden="1">
          <a:extLst>
            <a:ext uri="{FF2B5EF4-FFF2-40B4-BE49-F238E27FC236}">
              <a16:creationId xmlns:a16="http://schemas.microsoft.com/office/drawing/2014/main" id="{298586F4-9668-441D-8E66-91A5B45C01C4}"/>
            </a:ext>
          </a:extLst>
        </xdr:cNvPr>
        <xdr:cNvSpPr txBox="1">
          <a:spLocks noChangeArrowheads="1"/>
        </xdr:cNvSpPr>
      </xdr:nvSpPr>
      <xdr:spPr bwMode="auto">
        <a:xfrm>
          <a:off x="31043880" y="11932920"/>
          <a:ext cx="906780" cy="518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55</xdr:row>
      <xdr:rowOff>61258</xdr:rowOff>
    </xdr:from>
    <xdr:to>
      <xdr:col>38</xdr:col>
      <xdr:colOff>533400</xdr:colOff>
      <xdr:row>57</xdr:row>
      <xdr:rowOff>105950</xdr:rowOff>
    </xdr:to>
    <xdr:sp macro="" textlink="">
      <xdr:nvSpPr>
        <xdr:cNvPr id="253177" name="Text Box 249" hidden="1">
          <a:extLst>
            <a:ext uri="{FF2B5EF4-FFF2-40B4-BE49-F238E27FC236}">
              <a16:creationId xmlns:a16="http://schemas.microsoft.com/office/drawing/2014/main" id="{AC6A6AE7-7DAC-433E-B14D-C123E88BCFCC}"/>
            </a:ext>
          </a:extLst>
        </xdr:cNvPr>
        <xdr:cNvSpPr txBox="1">
          <a:spLocks noChangeArrowheads="1"/>
        </xdr:cNvSpPr>
      </xdr:nvSpPr>
      <xdr:spPr bwMode="auto">
        <a:xfrm>
          <a:off x="31120080" y="11932920"/>
          <a:ext cx="944880" cy="518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56</xdr:row>
      <xdr:rowOff>15128</xdr:rowOff>
    </xdr:from>
    <xdr:to>
      <xdr:col>40</xdr:col>
      <xdr:colOff>228600</xdr:colOff>
      <xdr:row>63</xdr:row>
      <xdr:rowOff>37411</xdr:rowOff>
    </xdr:to>
    <xdr:sp macro="" textlink="">
      <xdr:nvSpPr>
        <xdr:cNvPr id="253176" name="Text Box 248" hidden="1">
          <a:extLst>
            <a:ext uri="{FF2B5EF4-FFF2-40B4-BE49-F238E27FC236}">
              <a16:creationId xmlns:a16="http://schemas.microsoft.com/office/drawing/2014/main" id="{490268C5-2700-4D09-8BE5-612C5E2584A6}"/>
            </a:ext>
          </a:extLst>
        </xdr:cNvPr>
        <xdr:cNvSpPr txBox="1">
          <a:spLocks noChangeArrowheads="1"/>
        </xdr:cNvSpPr>
      </xdr:nvSpPr>
      <xdr:spPr bwMode="auto">
        <a:xfrm>
          <a:off x="33779460" y="12153900"/>
          <a:ext cx="9448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115327</xdr:rowOff>
    </xdr:from>
    <xdr:to>
      <xdr:col>3</xdr:col>
      <xdr:colOff>304800</xdr:colOff>
      <xdr:row>34</xdr:row>
      <xdr:rowOff>61072</xdr:rowOff>
    </xdr:to>
    <xdr:sp macro="" textlink="">
      <xdr:nvSpPr>
        <xdr:cNvPr id="253175" name="Text Box 247" hidden="1">
          <a:extLst>
            <a:ext uri="{FF2B5EF4-FFF2-40B4-BE49-F238E27FC236}">
              <a16:creationId xmlns:a16="http://schemas.microsoft.com/office/drawing/2014/main" id="{DA197B18-C69F-4056-B159-E53A96E96288}"/>
            </a:ext>
          </a:extLst>
        </xdr:cNvPr>
        <xdr:cNvSpPr txBox="1">
          <a:spLocks noChangeArrowheads="1"/>
        </xdr:cNvSpPr>
      </xdr:nvSpPr>
      <xdr:spPr bwMode="auto">
        <a:xfrm>
          <a:off x="483108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74" name="Text Box 246" hidden="1">
          <a:extLst>
            <a:ext uri="{FF2B5EF4-FFF2-40B4-BE49-F238E27FC236}">
              <a16:creationId xmlns:a16="http://schemas.microsoft.com/office/drawing/2014/main" id="{502B1F80-38F8-42AD-B376-03C58EC42078}"/>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12886</xdr:rowOff>
    </xdr:to>
    <xdr:sp macro="" textlink="">
      <xdr:nvSpPr>
        <xdr:cNvPr id="253173" name="Text Box 245" hidden="1">
          <a:extLst>
            <a:ext uri="{FF2B5EF4-FFF2-40B4-BE49-F238E27FC236}">
              <a16:creationId xmlns:a16="http://schemas.microsoft.com/office/drawing/2014/main" id="{76CC597E-032D-42D6-8922-C3A4B2EC951C}"/>
            </a:ext>
          </a:extLst>
        </xdr:cNvPr>
        <xdr:cNvSpPr txBox="1">
          <a:spLocks noChangeArrowheads="1"/>
        </xdr:cNvSpPr>
      </xdr:nvSpPr>
      <xdr:spPr bwMode="auto">
        <a:xfrm>
          <a:off x="479298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36</xdr:row>
      <xdr:rowOff>120182</xdr:rowOff>
    </xdr:from>
    <xdr:to>
      <xdr:col>20</xdr:col>
      <xdr:colOff>114300</xdr:colOff>
      <xdr:row>58</xdr:row>
      <xdr:rowOff>8701</xdr:rowOff>
    </xdr:to>
    <xdr:sp macro="" textlink="">
      <xdr:nvSpPr>
        <xdr:cNvPr id="253172" name="Text Box 244" hidden="1">
          <a:extLst>
            <a:ext uri="{FF2B5EF4-FFF2-40B4-BE49-F238E27FC236}">
              <a16:creationId xmlns:a16="http://schemas.microsoft.com/office/drawing/2014/main" id="{30488D17-4EE6-41A0-8179-B3FD57B48342}"/>
            </a:ext>
          </a:extLst>
        </xdr:cNvPr>
        <xdr:cNvSpPr txBox="1">
          <a:spLocks noChangeArrowheads="1"/>
        </xdr:cNvSpPr>
      </xdr:nvSpPr>
      <xdr:spPr bwMode="auto">
        <a:xfrm>
          <a:off x="17358360" y="7223760"/>
          <a:ext cx="1211580" cy="531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55</xdr:row>
      <xdr:rowOff>185084</xdr:rowOff>
    </xdr:from>
    <xdr:to>
      <xdr:col>40</xdr:col>
      <xdr:colOff>342900</xdr:colOff>
      <xdr:row>64</xdr:row>
      <xdr:rowOff>24747</xdr:rowOff>
    </xdr:to>
    <xdr:sp macro="" textlink="">
      <xdr:nvSpPr>
        <xdr:cNvPr id="253189" name="Text Box 261" hidden="1">
          <a:extLst>
            <a:ext uri="{FF2B5EF4-FFF2-40B4-BE49-F238E27FC236}">
              <a16:creationId xmlns:a16="http://schemas.microsoft.com/office/drawing/2014/main" id="{A5C0B1D5-C297-47FE-87DB-C9948C892B99}"/>
            </a:ext>
          </a:extLst>
        </xdr:cNvPr>
        <xdr:cNvSpPr txBox="1">
          <a:spLocks noChangeArrowheads="1"/>
        </xdr:cNvSpPr>
      </xdr:nvSpPr>
      <xdr:spPr bwMode="auto">
        <a:xfrm>
          <a:off x="32785050" y="12277725"/>
          <a:ext cx="990600" cy="148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56</xdr:row>
      <xdr:rowOff>15128</xdr:rowOff>
    </xdr:from>
    <xdr:to>
      <xdr:col>40</xdr:col>
      <xdr:colOff>228600</xdr:colOff>
      <xdr:row>81</xdr:row>
      <xdr:rowOff>63408</xdr:rowOff>
    </xdr:to>
    <xdr:sp macro="" textlink="">
      <xdr:nvSpPr>
        <xdr:cNvPr id="253188" name="Text Box 260" hidden="1">
          <a:extLst>
            <a:ext uri="{FF2B5EF4-FFF2-40B4-BE49-F238E27FC236}">
              <a16:creationId xmlns:a16="http://schemas.microsoft.com/office/drawing/2014/main" id="{8FE3A703-C8CC-4475-8F24-D0061ED52E2B}"/>
            </a:ext>
          </a:extLst>
        </xdr:cNvPr>
        <xdr:cNvSpPr txBox="1">
          <a:spLocks noChangeArrowheads="1"/>
        </xdr:cNvSpPr>
      </xdr:nvSpPr>
      <xdr:spPr bwMode="auto">
        <a:xfrm>
          <a:off x="32746950" y="12392025"/>
          <a:ext cx="914400" cy="552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55</xdr:row>
      <xdr:rowOff>61258</xdr:rowOff>
    </xdr:from>
    <xdr:to>
      <xdr:col>38</xdr:col>
      <xdr:colOff>419100</xdr:colOff>
      <xdr:row>57</xdr:row>
      <xdr:rowOff>85630</xdr:rowOff>
    </xdr:to>
    <xdr:sp macro="" textlink="">
      <xdr:nvSpPr>
        <xdr:cNvPr id="253187" name="Text Box 259" hidden="1">
          <a:extLst>
            <a:ext uri="{FF2B5EF4-FFF2-40B4-BE49-F238E27FC236}">
              <a16:creationId xmlns:a16="http://schemas.microsoft.com/office/drawing/2014/main" id="{EB823068-0649-406B-972D-43ACE9F5F17E}"/>
            </a:ext>
          </a:extLst>
        </xdr:cNvPr>
        <xdr:cNvSpPr txBox="1">
          <a:spLocks noChangeArrowheads="1"/>
        </xdr:cNvSpPr>
      </xdr:nvSpPr>
      <xdr:spPr bwMode="auto">
        <a:xfrm>
          <a:off x="30099000" y="12163425"/>
          <a:ext cx="8763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55</xdr:row>
      <xdr:rowOff>61258</xdr:rowOff>
    </xdr:from>
    <xdr:to>
      <xdr:col>38</xdr:col>
      <xdr:colOff>533400</xdr:colOff>
      <xdr:row>57</xdr:row>
      <xdr:rowOff>85630</xdr:rowOff>
    </xdr:to>
    <xdr:sp macro="" textlink="">
      <xdr:nvSpPr>
        <xdr:cNvPr id="253186" name="Text Box 258" hidden="1">
          <a:extLst>
            <a:ext uri="{FF2B5EF4-FFF2-40B4-BE49-F238E27FC236}">
              <a16:creationId xmlns:a16="http://schemas.microsoft.com/office/drawing/2014/main" id="{36EE7CB8-5442-4802-8607-41EB1E6BD7C9}"/>
            </a:ext>
          </a:extLst>
        </xdr:cNvPr>
        <xdr:cNvSpPr txBox="1">
          <a:spLocks noChangeArrowheads="1"/>
        </xdr:cNvSpPr>
      </xdr:nvSpPr>
      <xdr:spPr bwMode="auto">
        <a:xfrm>
          <a:off x="30175200" y="12163425"/>
          <a:ext cx="9144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56</xdr:row>
      <xdr:rowOff>15128</xdr:rowOff>
    </xdr:from>
    <xdr:to>
      <xdr:col>40</xdr:col>
      <xdr:colOff>228600</xdr:colOff>
      <xdr:row>63</xdr:row>
      <xdr:rowOff>39316</xdr:rowOff>
    </xdr:to>
    <xdr:sp macro="" textlink="">
      <xdr:nvSpPr>
        <xdr:cNvPr id="253185" name="Text Box 257" hidden="1">
          <a:extLst>
            <a:ext uri="{FF2B5EF4-FFF2-40B4-BE49-F238E27FC236}">
              <a16:creationId xmlns:a16="http://schemas.microsoft.com/office/drawing/2014/main" id="{72FC47EE-5D2E-4532-A25A-18D949C4502B}"/>
            </a:ext>
          </a:extLst>
        </xdr:cNvPr>
        <xdr:cNvSpPr txBox="1">
          <a:spLocks noChangeArrowheads="1"/>
        </xdr:cNvSpPr>
      </xdr:nvSpPr>
      <xdr:spPr bwMode="auto">
        <a:xfrm>
          <a:off x="32746950" y="12392025"/>
          <a:ext cx="91440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115327</xdr:rowOff>
    </xdr:from>
    <xdr:to>
      <xdr:col>3</xdr:col>
      <xdr:colOff>304800</xdr:colOff>
      <xdr:row>34</xdr:row>
      <xdr:rowOff>61072</xdr:rowOff>
    </xdr:to>
    <xdr:sp macro="" textlink="">
      <xdr:nvSpPr>
        <xdr:cNvPr id="253184" name="Text Box 256" hidden="1">
          <a:extLst>
            <a:ext uri="{FF2B5EF4-FFF2-40B4-BE49-F238E27FC236}">
              <a16:creationId xmlns:a16="http://schemas.microsoft.com/office/drawing/2014/main" id="{F77F1D95-F328-4230-9B4C-0BF4DCEEECDF}"/>
            </a:ext>
          </a:extLst>
        </xdr:cNvPr>
        <xdr:cNvSpPr txBox="1">
          <a:spLocks noChangeArrowheads="1"/>
        </xdr:cNvSpPr>
      </xdr:nvSpPr>
      <xdr:spPr bwMode="auto">
        <a:xfrm>
          <a:off x="4695825" y="5953125"/>
          <a:ext cx="13525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83" name="Text Box 255" hidden="1">
          <a:extLst>
            <a:ext uri="{FF2B5EF4-FFF2-40B4-BE49-F238E27FC236}">
              <a16:creationId xmlns:a16="http://schemas.microsoft.com/office/drawing/2014/main" id="{A7CBDF0F-1F45-4F10-B6D0-A68BF440A04D}"/>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12886</xdr:rowOff>
    </xdr:to>
    <xdr:sp macro="" textlink="">
      <xdr:nvSpPr>
        <xdr:cNvPr id="253182" name="Text Box 254" hidden="1">
          <a:extLst>
            <a:ext uri="{FF2B5EF4-FFF2-40B4-BE49-F238E27FC236}">
              <a16:creationId xmlns:a16="http://schemas.microsoft.com/office/drawing/2014/main" id="{787521F7-02A6-4D1C-B23F-EFEC7525132F}"/>
            </a:ext>
          </a:extLst>
        </xdr:cNvPr>
        <xdr:cNvSpPr txBox="1">
          <a:spLocks noChangeArrowheads="1"/>
        </xdr:cNvSpPr>
      </xdr:nvSpPr>
      <xdr:spPr bwMode="auto">
        <a:xfrm>
          <a:off x="4657725" y="2019300"/>
          <a:ext cx="1238250"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36</xdr:row>
      <xdr:rowOff>120182</xdr:rowOff>
    </xdr:from>
    <xdr:to>
      <xdr:col>20</xdr:col>
      <xdr:colOff>114300</xdr:colOff>
      <xdr:row>57</xdr:row>
      <xdr:rowOff>158561</xdr:rowOff>
    </xdr:to>
    <xdr:sp macro="" textlink="">
      <xdr:nvSpPr>
        <xdr:cNvPr id="253181" name="Text Box 253" hidden="1">
          <a:extLst>
            <a:ext uri="{FF2B5EF4-FFF2-40B4-BE49-F238E27FC236}">
              <a16:creationId xmlns:a16="http://schemas.microsoft.com/office/drawing/2014/main" id="{79368CBC-A27B-4000-B6B6-2B9A953104D4}"/>
            </a:ext>
          </a:extLst>
        </xdr:cNvPr>
        <xdr:cNvSpPr txBox="1">
          <a:spLocks noChangeArrowheads="1"/>
        </xdr:cNvSpPr>
      </xdr:nvSpPr>
      <xdr:spPr bwMode="auto">
        <a:xfrm>
          <a:off x="16859250" y="7391400"/>
          <a:ext cx="1181100" cy="539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55</xdr:row>
      <xdr:rowOff>185084</xdr:rowOff>
    </xdr:from>
    <xdr:to>
      <xdr:col>40</xdr:col>
      <xdr:colOff>342900</xdr:colOff>
      <xdr:row>64</xdr:row>
      <xdr:rowOff>24747</xdr:rowOff>
    </xdr:to>
    <xdr:sp macro="" textlink="">
      <xdr:nvSpPr>
        <xdr:cNvPr id="253198" name="Text Box 270" hidden="1">
          <a:extLst>
            <a:ext uri="{FF2B5EF4-FFF2-40B4-BE49-F238E27FC236}">
              <a16:creationId xmlns:a16="http://schemas.microsoft.com/office/drawing/2014/main" id="{0ECFAEBE-FC68-4F2D-B16F-7998D3F78F3F}"/>
            </a:ext>
          </a:extLst>
        </xdr:cNvPr>
        <xdr:cNvSpPr txBox="1">
          <a:spLocks noChangeArrowheads="1"/>
        </xdr:cNvSpPr>
      </xdr:nvSpPr>
      <xdr:spPr bwMode="auto">
        <a:xfrm>
          <a:off x="33909000" y="12096750"/>
          <a:ext cx="990600" cy="1454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56</xdr:row>
      <xdr:rowOff>15128</xdr:rowOff>
    </xdr:from>
    <xdr:to>
      <xdr:col>40</xdr:col>
      <xdr:colOff>228600</xdr:colOff>
      <xdr:row>81</xdr:row>
      <xdr:rowOff>63408</xdr:rowOff>
    </xdr:to>
    <xdr:sp macro="" textlink="">
      <xdr:nvSpPr>
        <xdr:cNvPr id="253197" name="Text Box 269" hidden="1">
          <a:extLst>
            <a:ext uri="{FF2B5EF4-FFF2-40B4-BE49-F238E27FC236}">
              <a16:creationId xmlns:a16="http://schemas.microsoft.com/office/drawing/2014/main" id="{06773AEF-6A3E-4E93-8627-35C94CA8D58F}"/>
            </a:ext>
          </a:extLst>
        </xdr:cNvPr>
        <xdr:cNvSpPr txBox="1">
          <a:spLocks noChangeArrowheads="1"/>
        </xdr:cNvSpPr>
      </xdr:nvSpPr>
      <xdr:spPr bwMode="auto">
        <a:xfrm>
          <a:off x="33870900" y="12211050"/>
          <a:ext cx="914400" cy="5480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55</xdr:row>
      <xdr:rowOff>61258</xdr:rowOff>
    </xdr:from>
    <xdr:to>
      <xdr:col>38</xdr:col>
      <xdr:colOff>419100</xdr:colOff>
      <xdr:row>57</xdr:row>
      <xdr:rowOff>85630</xdr:rowOff>
    </xdr:to>
    <xdr:sp macro="" textlink="">
      <xdr:nvSpPr>
        <xdr:cNvPr id="253196" name="Text Box 268" hidden="1">
          <a:extLst>
            <a:ext uri="{FF2B5EF4-FFF2-40B4-BE49-F238E27FC236}">
              <a16:creationId xmlns:a16="http://schemas.microsoft.com/office/drawing/2014/main" id="{62F2B20D-4B1A-4188-9657-92CE1D0899EE}"/>
            </a:ext>
          </a:extLst>
        </xdr:cNvPr>
        <xdr:cNvSpPr txBox="1">
          <a:spLocks noChangeArrowheads="1"/>
        </xdr:cNvSpPr>
      </xdr:nvSpPr>
      <xdr:spPr bwMode="auto">
        <a:xfrm>
          <a:off x="31115000" y="11988800"/>
          <a:ext cx="8763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55</xdr:row>
      <xdr:rowOff>61258</xdr:rowOff>
    </xdr:from>
    <xdr:to>
      <xdr:col>38</xdr:col>
      <xdr:colOff>533400</xdr:colOff>
      <xdr:row>57</xdr:row>
      <xdr:rowOff>85630</xdr:rowOff>
    </xdr:to>
    <xdr:sp macro="" textlink="">
      <xdr:nvSpPr>
        <xdr:cNvPr id="253195" name="Text Box 267" hidden="1">
          <a:extLst>
            <a:ext uri="{FF2B5EF4-FFF2-40B4-BE49-F238E27FC236}">
              <a16:creationId xmlns:a16="http://schemas.microsoft.com/office/drawing/2014/main" id="{BEED1DBC-F7FA-4AA7-A5BB-025C51D5F19C}"/>
            </a:ext>
          </a:extLst>
        </xdr:cNvPr>
        <xdr:cNvSpPr txBox="1">
          <a:spLocks noChangeArrowheads="1"/>
        </xdr:cNvSpPr>
      </xdr:nvSpPr>
      <xdr:spPr bwMode="auto">
        <a:xfrm>
          <a:off x="31191200" y="11988800"/>
          <a:ext cx="9144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56</xdr:row>
      <xdr:rowOff>15128</xdr:rowOff>
    </xdr:from>
    <xdr:to>
      <xdr:col>40</xdr:col>
      <xdr:colOff>228600</xdr:colOff>
      <xdr:row>63</xdr:row>
      <xdr:rowOff>39316</xdr:rowOff>
    </xdr:to>
    <xdr:sp macro="" textlink="">
      <xdr:nvSpPr>
        <xdr:cNvPr id="253194" name="Text Box 266" hidden="1">
          <a:extLst>
            <a:ext uri="{FF2B5EF4-FFF2-40B4-BE49-F238E27FC236}">
              <a16:creationId xmlns:a16="http://schemas.microsoft.com/office/drawing/2014/main" id="{0858A9BD-1D2D-44B6-8C08-6E2426FBBB30}"/>
            </a:ext>
          </a:extLst>
        </xdr:cNvPr>
        <xdr:cNvSpPr txBox="1">
          <a:spLocks noChangeArrowheads="1"/>
        </xdr:cNvSpPr>
      </xdr:nvSpPr>
      <xdr:spPr bwMode="auto">
        <a:xfrm>
          <a:off x="33870900" y="12211050"/>
          <a:ext cx="9144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115327</xdr:rowOff>
    </xdr:from>
    <xdr:to>
      <xdr:col>3</xdr:col>
      <xdr:colOff>304800</xdr:colOff>
      <xdr:row>34</xdr:row>
      <xdr:rowOff>61072</xdr:rowOff>
    </xdr:to>
    <xdr:sp macro="" textlink="">
      <xdr:nvSpPr>
        <xdr:cNvPr id="253193" name="Text Box 265" hidden="1">
          <a:extLst>
            <a:ext uri="{FF2B5EF4-FFF2-40B4-BE49-F238E27FC236}">
              <a16:creationId xmlns:a16="http://schemas.microsoft.com/office/drawing/2014/main" id="{5C89436A-B89B-4FAF-B7FA-1F5396F18C1B}"/>
            </a:ext>
          </a:extLst>
        </xdr:cNvPr>
        <xdr:cNvSpPr txBox="1">
          <a:spLocks noChangeArrowheads="1"/>
        </xdr:cNvSpPr>
      </xdr:nvSpPr>
      <xdr:spPr bwMode="auto">
        <a:xfrm>
          <a:off x="4883150" y="5854700"/>
          <a:ext cx="140970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92" name="Text Box 264" hidden="1">
          <a:extLst>
            <a:ext uri="{FF2B5EF4-FFF2-40B4-BE49-F238E27FC236}">
              <a16:creationId xmlns:a16="http://schemas.microsoft.com/office/drawing/2014/main" id="{8604793B-E7B5-419C-B497-1920A24BD19D}"/>
            </a:ext>
          </a:extLst>
        </xdr:cNvPr>
        <xdr:cNvSpPr txBox="1">
          <a:spLocks noChangeArrowheads="1"/>
        </xdr:cNvSpPr>
      </xdr:nvSpPr>
      <xdr:spPr bwMode="auto">
        <a:xfrm>
          <a:off x="484505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12886</xdr:rowOff>
    </xdr:to>
    <xdr:sp macro="" textlink="">
      <xdr:nvSpPr>
        <xdr:cNvPr id="253191" name="Text Box 263" hidden="1">
          <a:extLst>
            <a:ext uri="{FF2B5EF4-FFF2-40B4-BE49-F238E27FC236}">
              <a16:creationId xmlns:a16="http://schemas.microsoft.com/office/drawing/2014/main" id="{39D515FB-47B9-472C-8E80-EFAB6FE4CF0E}"/>
            </a:ext>
          </a:extLst>
        </xdr:cNvPr>
        <xdr:cNvSpPr txBox="1">
          <a:spLocks noChangeArrowheads="1"/>
        </xdr:cNvSpPr>
      </xdr:nvSpPr>
      <xdr:spPr bwMode="auto">
        <a:xfrm>
          <a:off x="4845050" y="2006600"/>
          <a:ext cx="129540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36</xdr:row>
      <xdr:rowOff>120182</xdr:rowOff>
    </xdr:from>
    <xdr:to>
      <xdr:col>20</xdr:col>
      <xdr:colOff>114300</xdr:colOff>
      <xdr:row>57</xdr:row>
      <xdr:rowOff>158561</xdr:rowOff>
    </xdr:to>
    <xdr:sp macro="" textlink="">
      <xdr:nvSpPr>
        <xdr:cNvPr id="253190" name="Text Box 262" hidden="1">
          <a:extLst>
            <a:ext uri="{FF2B5EF4-FFF2-40B4-BE49-F238E27FC236}">
              <a16:creationId xmlns:a16="http://schemas.microsoft.com/office/drawing/2014/main" id="{80BFCBB9-DF0B-4B0B-8EA3-1298137EFE08}"/>
            </a:ext>
          </a:extLst>
        </xdr:cNvPr>
        <xdr:cNvSpPr txBox="1">
          <a:spLocks noChangeArrowheads="1"/>
        </xdr:cNvSpPr>
      </xdr:nvSpPr>
      <xdr:spPr bwMode="auto">
        <a:xfrm>
          <a:off x="17602200" y="7264400"/>
          <a:ext cx="1244600" cy="5314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55</xdr:row>
      <xdr:rowOff>185084</xdr:rowOff>
    </xdr:from>
    <xdr:to>
      <xdr:col>40</xdr:col>
      <xdr:colOff>342900</xdr:colOff>
      <xdr:row>64</xdr:row>
      <xdr:rowOff>24747</xdr:rowOff>
    </xdr:to>
    <xdr:sp macro="" textlink="">
      <xdr:nvSpPr>
        <xdr:cNvPr id="253207" name="Text Box 279" hidden="1">
          <a:extLst>
            <a:ext uri="{FF2B5EF4-FFF2-40B4-BE49-F238E27FC236}">
              <a16:creationId xmlns:a16="http://schemas.microsoft.com/office/drawing/2014/main" id="{204EECD9-FCC8-451F-966F-08BEF902D822}"/>
            </a:ext>
          </a:extLst>
        </xdr:cNvPr>
        <xdr:cNvSpPr txBox="1">
          <a:spLocks noChangeArrowheads="1"/>
        </xdr:cNvSpPr>
      </xdr:nvSpPr>
      <xdr:spPr bwMode="auto">
        <a:xfrm>
          <a:off x="32832675" y="12277725"/>
          <a:ext cx="990600" cy="148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56</xdr:row>
      <xdr:rowOff>15128</xdr:rowOff>
    </xdr:from>
    <xdr:to>
      <xdr:col>40</xdr:col>
      <xdr:colOff>228600</xdr:colOff>
      <xdr:row>81</xdr:row>
      <xdr:rowOff>63408</xdr:rowOff>
    </xdr:to>
    <xdr:sp macro="" textlink="">
      <xdr:nvSpPr>
        <xdr:cNvPr id="253206" name="Text Box 278" hidden="1">
          <a:extLst>
            <a:ext uri="{FF2B5EF4-FFF2-40B4-BE49-F238E27FC236}">
              <a16:creationId xmlns:a16="http://schemas.microsoft.com/office/drawing/2014/main" id="{846057D0-3165-4A7E-9225-226F0A3E903F}"/>
            </a:ext>
          </a:extLst>
        </xdr:cNvPr>
        <xdr:cNvSpPr txBox="1">
          <a:spLocks noChangeArrowheads="1"/>
        </xdr:cNvSpPr>
      </xdr:nvSpPr>
      <xdr:spPr bwMode="auto">
        <a:xfrm>
          <a:off x="32794575" y="12392025"/>
          <a:ext cx="914400" cy="552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55</xdr:row>
      <xdr:rowOff>61258</xdr:rowOff>
    </xdr:from>
    <xdr:to>
      <xdr:col>38</xdr:col>
      <xdr:colOff>419100</xdr:colOff>
      <xdr:row>57</xdr:row>
      <xdr:rowOff>85630</xdr:rowOff>
    </xdr:to>
    <xdr:sp macro="" textlink="">
      <xdr:nvSpPr>
        <xdr:cNvPr id="253205" name="Text Box 277" hidden="1">
          <a:extLst>
            <a:ext uri="{FF2B5EF4-FFF2-40B4-BE49-F238E27FC236}">
              <a16:creationId xmlns:a16="http://schemas.microsoft.com/office/drawing/2014/main" id="{8E767E15-98AE-4157-A677-3E62D56B4A0C}"/>
            </a:ext>
          </a:extLst>
        </xdr:cNvPr>
        <xdr:cNvSpPr txBox="1">
          <a:spLocks noChangeArrowheads="1"/>
        </xdr:cNvSpPr>
      </xdr:nvSpPr>
      <xdr:spPr bwMode="auto">
        <a:xfrm>
          <a:off x="30137100" y="12163425"/>
          <a:ext cx="8763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55</xdr:row>
      <xdr:rowOff>61258</xdr:rowOff>
    </xdr:from>
    <xdr:to>
      <xdr:col>38</xdr:col>
      <xdr:colOff>533400</xdr:colOff>
      <xdr:row>57</xdr:row>
      <xdr:rowOff>85630</xdr:rowOff>
    </xdr:to>
    <xdr:sp macro="" textlink="">
      <xdr:nvSpPr>
        <xdr:cNvPr id="253204" name="Text Box 276" hidden="1">
          <a:extLst>
            <a:ext uri="{FF2B5EF4-FFF2-40B4-BE49-F238E27FC236}">
              <a16:creationId xmlns:a16="http://schemas.microsoft.com/office/drawing/2014/main" id="{5261697D-415E-45FF-8E59-658CC27E30F8}"/>
            </a:ext>
          </a:extLst>
        </xdr:cNvPr>
        <xdr:cNvSpPr txBox="1">
          <a:spLocks noChangeArrowheads="1"/>
        </xdr:cNvSpPr>
      </xdr:nvSpPr>
      <xdr:spPr bwMode="auto">
        <a:xfrm>
          <a:off x="30213300" y="12163425"/>
          <a:ext cx="9144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56</xdr:row>
      <xdr:rowOff>15128</xdr:rowOff>
    </xdr:from>
    <xdr:to>
      <xdr:col>40</xdr:col>
      <xdr:colOff>228600</xdr:colOff>
      <xdr:row>63</xdr:row>
      <xdr:rowOff>39316</xdr:rowOff>
    </xdr:to>
    <xdr:sp macro="" textlink="">
      <xdr:nvSpPr>
        <xdr:cNvPr id="253203" name="Text Box 275" hidden="1">
          <a:extLst>
            <a:ext uri="{FF2B5EF4-FFF2-40B4-BE49-F238E27FC236}">
              <a16:creationId xmlns:a16="http://schemas.microsoft.com/office/drawing/2014/main" id="{8063E1FE-0ACA-4552-8E4E-BAC166E9290A}"/>
            </a:ext>
          </a:extLst>
        </xdr:cNvPr>
        <xdr:cNvSpPr txBox="1">
          <a:spLocks noChangeArrowheads="1"/>
        </xdr:cNvSpPr>
      </xdr:nvSpPr>
      <xdr:spPr bwMode="auto">
        <a:xfrm>
          <a:off x="32794575" y="12392025"/>
          <a:ext cx="91440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115327</xdr:rowOff>
    </xdr:from>
    <xdr:to>
      <xdr:col>3</xdr:col>
      <xdr:colOff>304800</xdr:colOff>
      <xdr:row>34</xdr:row>
      <xdr:rowOff>61072</xdr:rowOff>
    </xdr:to>
    <xdr:sp macro="" textlink="">
      <xdr:nvSpPr>
        <xdr:cNvPr id="253202" name="Text Box 274" hidden="1">
          <a:extLst>
            <a:ext uri="{FF2B5EF4-FFF2-40B4-BE49-F238E27FC236}">
              <a16:creationId xmlns:a16="http://schemas.microsoft.com/office/drawing/2014/main" id="{DC73A306-9439-4F31-AA0D-3D667928139C}"/>
            </a:ext>
          </a:extLst>
        </xdr:cNvPr>
        <xdr:cNvSpPr txBox="1">
          <a:spLocks noChangeArrowheads="1"/>
        </xdr:cNvSpPr>
      </xdr:nvSpPr>
      <xdr:spPr bwMode="auto">
        <a:xfrm>
          <a:off x="4705350" y="5953125"/>
          <a:ext cx="13525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201" name="Text Box 273" hidden="1">
          <a:extLst>
            <a:ext uri="{FF2B5EF4-FFF2-40B4-BE49-F238E27FC236}">
              <a16:creationId xmlns:a16="http://schemas.microsoft.com/office/drawing/2014/main" id="{F073B93A-15D0-4314-A1C2-F0D1BEC0AE0B}"/>
            </a:ext>
          </a:extLst>
        </xdr:cNvPr>
        <xdr:cNvSpPr txBox="1">
          <a:spLocks noChangeArrowheads="1"/>
        </xdr:cNvSpPr>
      </xdr:nvSpPr>
      <xdr:spPr bwMode="auto">
        <a:xfrm>
          <a:off x="4667250"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12886</xdr:rowOff>
    </xdr:to>
    <xdr:sp macro="" textlink="">
      <xdr:nvSpPr>
        <xdr:cNvPr id="253200" name="Text Box 272" hidden="1">
          <a:extLst>
            <a:ext uri="{FF2B5EF4-FFF2-40B4-BE49-F238E27FC236}">
              <a16:creationId xmlns:a16="http://schemas.microsoft.com/office/drawing/2014/main" id="{91EC9F70-7A16-4A54-9F18-4000D3EBFA32}"/>
            </a:ext>
          </a:extLst>
        </xdr:cNvPr>
        <xdr:cNvSpPr txBox="1">
          <a:spLocks noChangeArrowheads="1"/>
        </xdr:cNvSpPr>
      </xdr:nvSpPr>
      <xdr:spPr bwMode="auto">
        <a:xfrm>
          <a:off x="4667250" y="2019300"/>
          <a:ext cx="1238250"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36</xdr:row>
      <xdr:rowOff>120182</xdr:rowOff>
    </xdr:from>
    <xdr:to>
      <xdr:col>20</xdr:col>
      <xdr:colOff>114300</xdr:colOff>
      <xdr:row>57</xdr:row>
      <xdr:rowOff>158561</xdr:rowOff>
    </xdr:to>
    <xdr:sp macro="" textlink="">
      <xdr:nvSpPr>
        <xdr:cNvPr id="253199" name="Text Box 271" hidden="1">
          <a:extLst>
            <a:ext uri="{FF2B5EF4-FFF2-40B4-BE49-F238E27FC236}">
              <a16:creationId xmlns:a16="http://schemas.microsoft.com/office/drawing/2014/main" id="{E801D4CE-4922-4FB9-BB6F-2D1AA001AA74}"/>
            </a:ext>
          </a:extLst>
        </xdr:cNvPr>
        <xdr:cNvSpPr txBox="1">
          <a:spLocks noChangeArrowheads="1"/>
        </xdr:cNvSpPr>
      </xdr:nvSpPr>
      <xdr:spPr bwMode="auto">
        <a:xfrm>
          <a:off x="16830675" y="7391400"/>
          <a:ext cx="1190625" cy="5381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51360</xdr:rowOff>
    </xdr:from>
    <xdr:to>
      <xdr:col>3</xdr:col>
      <xdr:colOff>304800</xdr:colOff>
      <xdr:row>25</xdr:row>
      <xdr:rowOff>60138</xdr:rowOff>
    </xdr:to>
    <xdr:sp macro="" textlink="">
      <xdr:nvSpPr>
        <xdr:cNvPr id="253211" name="Text Box 283" hidden="1">
          <a:extLst>
            <a:ext uri="{FF2B5EF4-FFF2-40B4-BE49-F238E27FC236}">
              <a16:creationId xmlns:a16="http://schemas.microsoft.com/office/drawing/2014/main" id="{C2858B69-B81D-44E5-B2A4-66CC9A194BAE}"/>
            </a:ext>
          </a:extLst>
        </xdr:cNvPr>
        <xdr:cNvSpPr txBox="1">
          <a:spLocks noChangeArrowheads="1"/>
        </xdr:cNvSpPr>
      </xdr:nvSpPr>
      <xdr:spPr bwMode="auto">
        <a:xfrm>
          <a:off x="4705350" y="4171950"/>
          <a:ext cx="1352550" cy="1047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210" name="Text Box 282" hidden="1">
          <a:extLst>
            <a:ext uri="{FF2B5EF4-FFF2-40B4-BE49-F238E27FC236}">
              <a16:creationId xmlns:a16="http://schemas.microsoft.com/office/drawing/2014/main" id="{ADB0D776-E19D-4A32-B34D-1EF15B347DFC}"/>
            </a:ext>
          </a:extLst>
        </xdr:cNvPr>
        <xdr:cNvSpPr txBox="1">
          <a:spLocks noChangeArrowheads="1"/>
        </xdr:cNvSpPr>
      </xdr:nvSpPr>
      <xdr:spPr bwMode="auto">
        <a:xfrm>
          <a:off x="4667250" y="1524000"/>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176398</xdr:rowOff>
    </xdr:to>
    <xdr:sp macro="" textlink="">
      <xdr:nvSpPr>
        <xdr:cNvPr id="253209" name="Text Box 281" hidden="1">
          <a:extLst>
            <a:ext uri="{FF2B5EF4-FFF2-40B4-BE49-F238E27FC236}">
              <a16:creationId xmlns:a16="http://schemas.microsoft.com/office/drawing/2014/main" id="{7485237A-3C38-4295-80CF-67E3E6FFE268}"/>
            </a:ext>
          </a:extLst>
        </xdr:cNvPr>
        <xdr:cNvSpPr txBox="1">
          <a:spLocks noChangeArrowheads="1"/>
        </xdr:cNvSpPr>
      </xdr:nvSpPr>
      <xdr:spPr bwMode="auto">
        <a:xfrm>
          <a:off x="4667250" y="2019300"/>
          <a:ext cx="123825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24</xdr:row>
      <xdr:rowOff>22038</xdr:rowOff>
    </xdr:from>
    <xdr:to>
      <xdr:col>20</xdr:col>
      <xdr:colOff>114300</xdr:colOff>
      <xdr:row>52</xdr:row>
      <xdr:rowOff>444594</xdr:rowOff>
    </xdr:to>
    <xdr:sp macro="" textlink="">
      <xdr:nvSpPr>
        <xdr:cNvPr id="253208" name="Text Box 280" hidden="1">
          <a:extLst>
            <a:ext uri="{FF2B5EF4-FFF2-40B4-BE49-F238E27FC236}">
              <a16:creationId xmlns:a16="http://schemas.microsoft.com/office/drawing/2014/main" id="{D50D1EFF-D955-4137-9C29-C4763C1F1FF4}"/>
            </a:ext>
          </a:extLst>
        </xdr:cNvPr>
        <xdr:cNvSpPr txBox="1">
          <a:spLocks noChangeArrowheads="1"/>
        </xdr:cNvSpPr>
      </xdr:nvSpPr>
      <xdr:spPr bwMode="auto">
        <a:xfrm>
          <a:off x="16830675" y="4972050"/>
          <a:ext cx="1190625" cy="6124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21</xdr:row>
      <xdr:rowOff>78254</xdr:rowOff>
    </xdr:from>
    <xdr:to>
      <xdr:col>3</xdr:col>
      <xdr:colOff>171450</xdr:colOff>
      <xdr:row>25</xdr:row>
      <xdr:rowOff>22038</xdr:rowOff>
    </xdr:to>
    <xdr:sp macro="" textlink="">
      <xdr:nvSpPr>
        <xdr:cNvPr id="253217" name="Text Box 289" hidden="1">
          <a:extLst>
            <a:ext uri="{FF2B5EF4-FFF2-40B4-BE49-F238E27FC236}">
              <a16:creationId xmlns:a16="http://schemas.microsoft.com/office/drawing/2014/main" id="{5BB536FA-B380-4A1C-A823-6B36ABAA95AC}"/>
            </a:ext>
          </a:extLst>
        </xdr:cNvPr>
        <xdr:cNvSpPr txBox="1">
          <a:spLocks noChangeArrowheads="1"/>
        </xdr:cNvSpPr>
      </xdr:nvSpPr>
      <xdr:spPr bwMode="auto">
        <a:xfrm>
          <a:off x="4648200" y="440055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66862</xdr:rowOff>
    </xdr:from>
    <xdr:to>
      <xdr:col>3</xdr:col>
      <xdr:colOff>304800</xdr:colOff>
      <xdr:row>23</xdr:row>
      <xdr:rowOff>86472</xdr:rowOff>
    </xdr:to>
    <xdr:sp macro="" textlink="">
      <xdr:nvSpPr>
        <xdr:cNvPr id="294917" name="Text Box 5" hidden="1">
          <a:extLst>
            <a:ext uri="{FF2B5EF4-FFF2-40B4-BE49-F238E27FC236}">
              <a16:creationId xmlns:a16="http://schemas.microsoft.com/office/drawing/2014/main" id="{F6214994-29C3-43E6-AECD-4CB9824ACA7B}"/>
            </a:ext>
          </a:extLst>
        </xdr:cNvPr>
        <xdr:cNvSpPr txBox="1">
          <a:spLocks noChangeArrowheads="1"/>
        </xdr:cNvSpPr>
      </xdr:nvSpPr>
      <xdr:spPr bwMode="auto">
        <a:xfrm>
          <a:off x="4705350" y="3790950"/>
          <a:ext cx="1352550"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94916" name="Text Box 4" hidden="1">
          <a:extLst>
            <a:ext uri="{FF2B5EF4-FFF2-40B4-BE49-F238E27FC236}">
              <a16:creationId xmlns:a16="http://schemas.microsoft.com/office/drawing/2014/main" id="{D6C14F77-D215-434B-8351-EA159A9F7E1F}"/>
            </a:ext>
          </a:extLst>
        </xdr:cNvPr>
        <xdr:cNvSpPr txBox="1">
          <a:spLocks noChangeArrowheads="1"/>
        </xdr:cNvSpPr>
      </xdr:nvSpPr>
      <xdr:spPr bwMode="auto">
        <a:xfrm>
          <a:off x="4667250" y="1524000"/>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184244</xdr:rowOff>
    </xdr:to>
    <xdr:sp macro="" textlink="">
      <xdr:nvSpPr>
        <xdr:cNvPr id="294915" name="Text Box 3" hidden="1">
          <a:extLst>
            <a:ext uri="{FF2B5EF4-FFF2-40B4-BE49-F238E27FC236}">
              <a16:creationId xmlns:a16="http://schemas.microsoft.com/office/drawing/2014/main" id="{945E6265-FFEA-4654-8F07-2316CDB4CB3E}"/>
            </a:ext>
          </a:extLst>
        </xdr:cNvPr>
        <xdr:cNvSpPr txBox="1">
          <a:spLocks noChangeArrowheads="1"/>
        </xdr:cNvSpPr>
      </xdr:nvSpPr>
      <xdr:spPr bwMode="auto">
        <a:xfrm>
          <a:off x="4667250" y="1790700"/>
          <a:ext cx="1238250" cy="695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66862</xdr:rowOff>
    </xdr:from>
    <xdr:to>
      <xdr:col>3</xdr:col>
      <xdr:colOff>304800</xdr:colOff>
      <xdr:row>23</xdr:row>
      <xdr:rowOff>86472</xdr:rowOff>
    </xdr:to>
    <xdr:sp macro="" textlink="">
      <xdr:nvSpPr>
        <xdr:cNvPr id="294920" name="Text Box 8" hidden="1">
          <a:extLst>
            <a:ext uri="{FF2B5EF4-FFF2-40B4-BE49-F238E27FC236}">
              <a16:creationId xmlns:a16="http://schemas.microsoft.com/office/drawing/2014/main" id="{2EA07351-4EC7-45C7-8D74-E6E27A42AD12}"/>
            </a:ext>
          </a:extLst>
        </xdr:cNvPr>
        <xdr:cNvSpPr txBox="1">
          <a:spLocks noChangeArrowheads="1"/>
        </xdr:cNvSpPr>
      </xdr:nvSpPr>
      <xdr:spPr bwMode="auto">
        <a:xfrm>
          <a:off x="4705350" y="3790950"/>
          <a:ext cx="1352550"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94919" name="Text Box 7" hidden="1">
          <a:extLst>
            <a:ext uri="{FF2B5EF4-FFF2-40B4-BE49-F238E27FC236}">
              <a16:creationId xmlns:a16="http://schemas.microsoft.com/office/drawing/2014/main" id="{6460D63A-9B5C-412A-AD24-918D0A351E36}"/>
            </a:ext>
          </a:extLst>
        </xdr:cNvPr>
        <xdr:cNvSpPr txBox="1">
          <a:spLocks noChangeArrowheads="1"/>
        </xdr:cNvSpPr>
      </xdr:nvSpPr>
      <xdr:spPr bwMode="auto">
        <a:xfrm>
          <a:off x="4667250" y="1524000"/>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184244</xdr:rowOff>
    </xdr:to>
    <xdr:sp macro="" textlink="">
      <xdr:nvSpPr>
        <xdr:cNvPr id="294918" name="Text Box 6" hidden="1">
          <a:extLst>
            <a:ext uri="{FF2B5EF4-FFF2-40B4-BE49-F238E27FC236}">
              <a16:creationId xmlns:a16="http://schemas.microsoft.com/office/drawing/2014/main" id="{EEE5F740-5718-4725-87BB-2B42945F22F9}"/>
            </a:ext>
          </a:extLst>
        </xdr:cNvPr>
        <xdr:cNvSpPr txBox="1">
          <a:spLocks noChangeArrowheads="1"/>
        </xdr:cNvSpPr>
      </xdr:nvSpPr>
      <xdr:spPr bwMode="auto">
        <a:xfrm>
          <a:off x="4667250" y="1790700"/>
          <a:ext cx="1238250" cy="695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70037</xdr:rowOff>
    </xdr:from>
    <xdr:to>
      <xdr:col>3</xdr:col>
      <xdr:colOff>304800</xdr:colOff>
      <xdr:row>23</xdr:row>
      <xdr:rowOff>86472</xdr:rowOff>
    </xdr:to>
    <xdr:sp macro="" textlink="">
      <xdr:nvSpPr>
        <xdr:cNvPr id="294923" name="Text Box 11" hidden="1">
          <a:extLst>
            <a:ext uri="{FF2B5EF4-FFF2-40B4-BE49-F238E27FC236}">
              <a16:creationId xmlns:a16="http://schemas.microsoft.com/office/drawing/2014/main" id="{BEB61B7E-2017-497F-81A9-3D3D3A1603DE}"/>
            </a:ext>
          </a:extLst>
        </xdr:cNvPr>
        <xdr:cNvSpPr txBox="1">
          <a:spLocks noChangeArrowheads="1"/>
        </xdr:cNvSpPr>
      </xdr:nvSpPr>
      <xdr:spPr bwMode="auto">
        <a:xfrm>
          <a:off x="4883150" y="3733800"/>
          <a:ext cx="1409700"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94922" name="Text Box 10" hidden="1">
          <a:extLst>
            <a:ext uri="{FF2B5EF4-FFF2-40B4-BE49-F238E27FC236}">
              <a16:creationId xmlns:a16="http://schemas.microsoft.com/office/drawing/2014/main" id="{0B85C91A-4ABB-4EDF-9609-85F1FE8A171B}"/>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184244</xdr:rowOff>
    </xdr:to>
    <xdr:sp macro="" textlink="">
      <xdr:nvSpPr>
        <xdr:cNvPr id="294921" name="Text Box 9" hidden="1">
          <a:extLst>
            <a:ext uri="{FF2B5EF4-FFF2-40B4-BE49-F238E27FC236}">
              <a16:creationId xmlns:a16="http://schemas.microsoft.com/office/drawing/2014/main" id="{6F865B28-D451-49FE-9B01-840A72BE11D2}"/>
            </a:ext>
          </a:extLst>
        </xdr:cNvPr>
        <xdr:cNvSpPr txBox="1">
          <a:spLocks noChangeArrowheads="1"/>
        </xdr:cNvSpPr>
      </xdr:nvSpPr>
      <xdr:spPr bwMode="auto">
        <a:xfrm>
          <a:off x="4845050" y="1778000"/>
          <a:ext cx="129540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50987</xdr:rowOff>
    </xdr:from>
    <xdr:to>
      <xdr:col>3</xdr:col>
      <xdr:colOff>304800</xdr:colOff>
      <xdr:row>23</xdr:row>
      <xdr:rowOff>86472</xdr:rowOff>
    </xdr:to>
    <xdr:sp macro="" textlink="">
      <xdr:nvSpPr>
        <xdr:cNvPr id="294926" name="Text Box 14" hidden="1">
          <a:extLst>
            <a:ext uri="{FF2B5EF4-FFF2-40B4-BE49-F238E27FC236}">
              <a16:creationId xmlns:a16="http://schemas.microsoft.com/office/drawing/2014/main" id="{C73BB9B6-4A60-4EA6-8F01-4058F3ED5275}"/>
            </a:ext>
          </a:extLst>
        </xdr:cNvPr>
        <xdr:cNvSpPr txBox="1">
          <a:spLocks noChangeArrowheads="1"/>
        </xdr:cNvSpPr>
      </xdr:nvSpPr>
      <xdr:spPr bwMode="auto">
        <a:xfrm>
          <a:off x="4883150" y="3708400"/>
          <a:ext cx="1409700" cy="1035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94925" name="Text Box 13" hidden="1">
          <a:extLst>
            <a:ext uri="{FF2B5EF4-FFF2-40B4-BE49-F238E27FC236}">
              <a16:creationId xmlns:a16="http://schemas.microsoft.com/office/drawing/2014/main" id="{79301E6B-CD70-4EC5-A7E6-FD11A47BBCB2}"/>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294924" name="Text Box 12" hidden="1">
          <a:extLst>
            <a:ext uri="{FF2B5EF4-FFF2-40B4-BE49-F238E27FC236}">
              <a16:creationId xmlns:a16="http://schemas.microsoft.com/office/drawing/2014/main" id="{9908C924-ED19-43BC-94A1-368015AC7D13}"/>
            </a:ext>
          </a:extLst>
        </xdr:cNvPr>
        <xdr:cNvSpPr txBox="1">
          <a:spLocks noChangeArrowheads="1"/>
        </xdr:cNvSpPr>
      </xdr:nvSpPr>
      <xdr:spPr bwMode="auto">
        <a:xfrm>
          <a:off x="4845050" y="1778000"/>
          <a:ext cx="1295400" cy="660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50987</xdr:rowOff>
    </xdr:from>
    <xdr:to>
      <xdr:col>3</xdr:col>
      <xdr:colOff>304800</xdr:colOff>
      <xdr:row>23</xdr:row>
      <xdr:rowOff>86472</xdr:rowOff>
    </xdr:to>
    <xdr:sp macro="" textlink="">
      <xdr:nvSpPr>
        <xdr:cNvPr id="294929" name="Text Box 17" hidden="1">
          <a:extLst>
            <a:ext uri="{FF2B5EF4-FFF2-40B4-BE49-F238E27FC236}">
              <a16:creationId xmlns:a16="http://schemas.microsoft.com/office/drawing/2014/main" id="{690273E6-B75A-4995-9080-F24C2AC96EA3}"/>
            </a:ext>
          </a:extLst>
        </xdr:cNvPr>
        <xdr:cNvSpPr txBox="1">
          <a:spLocks noChangeArrowheads="1"/>
        </xdr:cNvSpPr>
      </xdr:nvSpPr>
      <xdr:spPr bwMode="auto">
        <a:xfrm>
          <a:off x="4705350" y="3762375"/>
          <a:ext cx="135255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94928" name="Text Box 16" hidden="1">
          <a:extLst>
            <a:ext uri="{FF2B5EF4-FFF2-40B4-BE49-F238E27FC236}">
              <a16:creationId xmlns:a16="http://schemas.microsoft.com/office/drawing/2014/main" id="{1C872A5B-1C3F-4DE2-9848-EED7B1F2A855}"/>
            </a:ext>
          </a:extLst>
        </xdr:cNvPr>
        <xdr:cNvSpPr txBox="1">
          <a:spLocks noChangeArrowheads="1"/>
        </xdr:cNvSpPr>
      </xdr:nvSpPr>
      <xdr:spPr bwMode="auto">
        <a:xfrm>
          <a:off x="4667250" y="1524000"/>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294927" name="Text Box 15" hidden="1">
          <a:extLst>
            <a:ext uri="{FF2B5EF4-FFF2-40B4-BE49-F238E27FC236}">
              <a16:creationId xmlns:a16="http://schemas.microsoft.com/office/drawing/2014/main" id="{BDA0B2AE-4C1A-4584-AEB3-2D65D287A02C}"/>
            </a:ext>
          </a:extLst>
        </xdr:cNvPr>
        <xdr:cNvSpPr txBox="1">
          <a:spLocks noChangeArrowheads="1"/>
        </xdr:cNvSpPr>
      </xdr:nvSpPr>
      <xdr:spPr bwMode="auto">
        <a:xfrm>
          <a:off x="4667250" y="1790700"/>
          <a:ext cx="1238250" cy="666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24</xdr:row>
      <xdr:rowOff>24653</xdr:rowOff>
    </xdr:from>
    <xdr:to>
      <xdr:col>23</xdr:col>
      <xdr:colOff>190500</xdr:colOff>
      <xdr:row>27</xdr:row>
      <xdr:rowOff>200119</xdr:rowOff>
    </xdr:to>
    <xdr:sp macro="" textlink="">
      <xdr:nvSpPr>
        <xdr:cNvPr id="294930" name="Text Box 18" hidden="1">
          <a:extLst>
            <a:ext uri="{FF2B5EF4-FFF2-40B4-BE49-F238E27FC236}">
              <a16:creationId xmlns:a16="http://schemas.microsoft.com/office/drawing/2014/main" id="{303752F7-E448-43D4-8E64-04B8F8350845}"/>
            </a:ext>
          </a:extLst>
        </xdr:cNvPr>
        <xdr:cNvSpPr txBox="1">
          <a:spLocks noChangeArrowheads="1"/>
        </xdr:cNvSpPr>
      </xdr:nvSpPr>
      <xdr:spPr bwMode="auto">
        <a:xfrm>
          <a:off x="18592800" y="4962525"/>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6.xml><?xml version="1.0" encoding="utf-8"?>
<xdr:wsDr xmlns:xdr="http://schemas.openxmlformats.org/drawingml/2006/spreadsheetDrawing" xmlns:a="http://schemas.openxmlformats.org/drawingml/2006/main">
  <xdr:twoCellAnchor editAs="absolute">
    <xdr:from>
      <xdr:col>16</xdr:col>
      <xdr:colOff>76200</xdr:colOff>
      <xdr:row>26</xdr:row>
      <xdr:rowOff>0</xdr:rowOff>
    </xdr:from>
    <xdr:to>
      <xdr:col>19</xdr:col>
      <xdr:colOff>38100</xdr:colOff>
      <xdr:row>30</xdr:row>
      <xdr:rowOff>38100</xdr:rowOff>
    </xdr:to>
    <xdr:sp macro="" textlink="">
      <xdr:nvSpPr>
        <xdr:cNvPr id="243716" name="Text Box 4" hidden="1">
          <a:extLst>
            <a:ext uri="{FF2B5EF4-FFF2-40B4-BE49-F238E27FC236}">
              <a16:creationId xmlns:a16="http://schemas.microsoft.com/office/drawing/2014/main" id="{B0A03D1E-5A83-47C9-BE37-1EF3A7E579CF}"/>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114300</xdr:colOff>
      <xdr:row>58</xdr:row>
      <xdr:rowOff>162288</xdr:rowOff>
    </xdr:from>
    <xdr:to>
      <xdr:col>19</xdr:col>
      <xdr:colOff>76200</xdr:colOff>
      <xdr:row>63</xdr:row>
      <xdr:rowOff>78105</xdr:rowOff>
    </xdr:to>
    <xdr:sp macro="" textlink="">
      <xdr:nvSpPr>
        <xdr:cNvPr id="243720" name="Text Box 8" hidden="1">
          <a:extLst>
            <a:ext uri="{FF2B5EF4-FFF2-40B4-BE49-F238E27FC236}">
              <a16:creationId xmlns:a16="http://schemas.microsoft.com/office/drawing/2014/main" id="{06457418-FED5-45AC-B6F5-0977895A8213}"/>
            </a:ext>
          </a:extLst>
        </xdr:cNvPr>
        <xdr:cNvSpPr txBox="1">
          <a:spLocks noChangeArrowheads="1"/>
        </xdr:cNvSpPr>
      </xdr:nvSpPr>
      <xdr:spPr bwMode="auto">
        <a:xfrm>
          <a:off x="11536680" y="11353800"/>
          <a:ext cx="1287780" cy="8382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43721" name="Text Box 9" hidden="1">
          <a:extLst>
            <a:ext uri="{FF2B5EF4-FFF2-40B4-BE49-F238E27FC236}">
              <a16:creationId xmlns:a16="http://schemas.microsoft.com/office/drawing/2014/main" id="{4FF414AE-5FD4-4238-8D5E-4808F4D82B12}"/>
            </a:ext>
          </a:extLst>
        </xdr:cNvPr>
        <xdr:cNvSpPr txBox="1">
          <a:spLocks noChangeArrowheads="1"/>
        </xdr:cNvSpPr>
      </xdr:nvSpPr>
      <xdr:spPr bwMode="auto">
        <a:xfrm>
          <a:off x="12420600" y="3718560"/>
          <a:ext cx="1287780" cy="8077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55" name="Text Box 3" hidden="1">
          <a:extLst>
            <a:ext uri="{FF2B5EF4-FFF2-40B4-BE49-F238E27FC236}">
              <a16:creationId xmlns:a16="http://schemas.microsoft.com/office/drawing/2014/main" id="{493C9031-C239-415C-ADFE-A6A5BDEBA21E}"/>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53" name="Text Box 1" hidden="1">
          <a:extLst>
            <a:ext uri="{FF2B5EF4-FFF2-40B4-BE49-F238E27FC236}">
              <a16:creationId xmlns:a16="http://schemas.microsoft.com/office/drawing/2014/main" id="{44E207FF-692A-4DF2-93BF-4A77FE6422B0}"/>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57" name="Text Box 5" hidden="1">
          <a:extLst>
            <a:ext uri="{FF2B5EF4-FFF2-40B4-BE49-F238E27FC236}">
              <a16:creationId xmlns:a16="http://schemas.microsoft.com/office/drawing/2014/main" id="{3CE6B365-E603-4548-B8FF-D6229A8A39DE}"/>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56" name="Text Box 4" hidden="1">
          <a:extLst>
            <a:ext uri="{FF2B5EF4-FFF2-40B4-BE49-F238E27FC236}">
              <a16:creationId xmlns:a16="http://schemas.microsoft.com/office/drawing/2014/main" id="{1E6C49C6-DF32-47C0-B7C5-D8432F2C6B3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59" name="Text Box 7" hidden="1">
          <a:extLst>
            <a:ext uri="{FF2B5EF4-FFF2-40B4-BE49-F238E27FC236}">
              <a16:creationId xmlns:a16="http://schemas.microsoft.com/office/drawing/2014/main" id="{F9F3A517-BE3A-4123-B950-7DC9B7217A79}"/>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58" name="Text Box 6" hidden="1">
          <a:extLst>
            <a:ext uri="{FF2B5EF4-FFF2-40B4-BE49-F238E27FC236}">
              <a16:creationId xmlns:a16="http://schemas.microsoft.com/office/drawing/2014/main" id="{285D3CE1-5B29-4A98-8B69-B40B69CE42F6}"/>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1" name="Text Box 9" hidden="1">
          <a:extLst>
            <a:ext uri="{FF2B5EF4-FFF2-40B4-BE49-F238E27FC236}">
              <a16:creationId xmlns:a16="http://schemas.microsoft.com/office/drawing/2014/main" id="{FFBECB77-E4B9-47E2-A66A-A5656CA4547C}"/>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0" name="Text Box 8" hidden="1">
          <a:extLst>
            <a:ext uri="{FF2B5EF4-FFF2-40B4-BE49-F238E27FC236}">
              <a16:creationId xmlns:a16="http://schemas.microsoft.com/office/drawing/2014/main" id="{76FE704D-8170-4017-91BA-392389226F5F}"/>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3" name="Text Box 11" hidden="1">
          <a:extLst>
            <a:ext uri="{FF2B5EF4-FFF2-40B4-BE49-F238E27FC236}">
              <a16:creationId xmlns:a16="http://schemas.microsoft.com/office/drawing/2014/main" id="{209B6F44-5B03-46D3-B112-34F1E51467FD}"/>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2" name="Text Box 10" hidden="1">
          <a:extLst>
            <a:ext uri="{FF2B5EF4-FFF2-40B4-BE49-F238E27FC236}">
              <a16:creationId xmlns:a16="http://schemas.microsoft.com/office/drawing/2014/main" id="{EDE62F83-B2E4-4D97-B0C5-84102EC94DE1}"/>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5" name="Text Box 13" hidden="1">
          <a:extLst>
            <a:ext uri="{FF2B5EF4-FFF2-40B4-BE49-F238E27FC236}">
              <a16:creationId xmlns:a16="http://schemas.microsoft.com/office/drawing/2014/main" id="{D77294AE-D268-4E3E-B492-C25164B9D3CA}"/>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4" name="Text Box 12" hidden="1">
          <a:extLst>
            <a:ext uri="{FF2B5EF4-FFF2-40B4-BE49-F238E27FC236}">
              <a16:creationId xmlns:a16="http://schemas.microsoft.com/office/drawing/2014/main" id="{627C05B6-677D-4D42-AB0E-FDF8C19E4FB7}"/>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7" name="Text Box 15" hidden="1">
          <a:extLst>
            <a:ext uri="{FF2B5EF4-FFF2-40B4-BE49-F238E27FC236}">
              <a16:creationId xmlns:a16="http://schemas.microsoft.com/office/drawing/2014/main" id="{77D3382F-C3EC-4F60-A791-6EEC6982962B}"/>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6" name="Text Box 14" hidden="1">
          <a:extLst>
            <a:ext uri="{FF2B5EF4-FFF2-40B4-BE49-F238E27FC236}">
              <a16:creationId xmlns:a16="http://schemas.microsoft.com/office/drawing/2014/main" id="{60B2A262-9480-4888-B1F0-25B62F60A7DA}"/>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9" name="Text Box 17" hidden="1">
          <a:extLst>
            <a:ext uri="{FF2B5EF4-FFF2-40B4-BE49-F238E27FC236}">
              <a16:creationId xmlns:a16="http://schemas.microsoft.com/office/drawing/2014/main" id="{0A29A45A-32DC-4CD1-AEB5-36A383730E37}"/>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8" name="Text Box 16" hidden="1">
          <a:extLst>
            <a:ext uri="{FF2B5EF4-FFF2-40B4-BE49-F238E27FC236}">
              <a16:creationId xmlns:a16="http://schemas.microsoft.com/office/drawing/2014/main" id="{8A8A26C2-E5CB-49BA-A9BB-D5CB2E66870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56</xdr:row>
      <xdr:rowOff>1633</xdr:rowOff>
    </xdr:from>
    <xdr:to>
      <xdr:col>21</xdr:col>
      <xdr:colOff>218440</xdr:colOff>
      <xdr:row>59</xdr:row>
      <xdr:rowOff>164193</xdr:rowOff>
    </xdr:to>
    <xdr:sp macro="" textlink="">
      <xdr:nvSpPr>
        <xdr:cNvPr id="253970" name="Text Box 18" hidden="1">
          <a:extLst>
            <a:ext uri="{FF2B5EF4-FFF2-40B4-BE49-F238E27FC236}">
              <a16:creationId xmlns:a16="http://schemas.microsoft.com/office/drawing/2014/main" id="{C32DD6EC-EB13-4513-8AEF-C7BAE7F8FBF3}"/>
            </a:ext>
          </a:extLst>
        </xdr:cNvPr>
        <xdr:cNvSpPr txBox="1">
          <a:spLocks noChangeArrowheads="1"/>
        </xdr:cNvSpPr>
      </xdr:nvSpPr>
      <xdr:spPr bwMode="auto">
        <a:xfrm>
          <a:off x="12068175" y="11134725"/>
          <a:ext cx="135255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104140</xdr:rowOff>
    </xdr:from>
    <xdr:to>
      <xdr:col>21</xdr:col>
      <xdr:colOff>218440</xdr:colOff>
      <xdr:row>21</xdr:row>
      <xdr:rowOff>86360</xdr:rowOff>
    </xdr:to>
    <xdr:sp macro="" textlink="">
      <xdr:nvSpPr>
        <xdr:cNvPr id="253971" name="Text Box 19" hidden="1">
          <a:extLst>
            <a:ext uri="{FF2B5EF4-FFF2-40B4-BE49-F238E27FC236}">
              <a16:creationId xmlns:a16="http://schemas.microsoft.com/office/drawing/2014/main" id="{303747F6-E715-4B9F-A70E-87F489267339}"/>
            </a:ext>
          </a:extLst>
        </xdr:cNvPr>
        <xdr:cNvSpPr txBox="1">
          <a:spLocks noChangeArrowheads="1"/>
        </xdr:cNvSpPr>
      </xdr:nvSpPr>
      <xdr:spPr bwMode="auto">
        <a:xfrm>
          <a:off x="12068175" y="3257550"/>
          <a:ext cx="135255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43</xdr:row>
      <xdr:rowOff>11611</xdr:rowOff>
    </xdr:from>
    <xdr:to>
      <xdr:col>22</xdr:col>
      <xdr:colOff>218440</xdr:colOff>
      <xdr:row>46</xdr:row>
      <xdr:rowOff>27940</xdr:rowOff>
    </xdr:to>
    <xdr:sp macro="" textlink="">
      <xdr:nvSpPr>
        <xdr:cNvPr id="253972" name="Text Box 20" hidden="1">
          <a:extLst>
            <a:ext uri="{FF2B5EF4-FFF2-40B4-BE49-F238E27FC236}">
              <a16:creationId xmlns:a16="http://schemas.microsoft.com/office/drawing/2014/main" id="{99B604FB-76E1-433D-88F5-C14B7E2CE257}"/>
            </a:ext>
          </a:extLst>
        </xdr:cNvPr>
        <xdr:cNvSpPr txBox="1">
          <a:spLocks noChangeArrowheads="1"/>
        </xdr:cNvSpPr>
      </xdr:nvSpPr>
      <xdr:spPr bwMode="auto">
        <a:xfrm>
          <a:off x="12496800" y="8429625"/>
          <a:ext cx="135255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77" name="Text Box 25" hidden="1">
          <a:extLst>
            <a:ext uri="{FF2B5EF4-FFF2-40B4-BE49-F238E27FC236}">
              <a16:creationId xmlns:a16="http://schemas.microsoft.com/office/drawing/2014/main" id="{F9AA5F58-81EB-456D-B35D-BB8AA67544BD}"/>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76" name="Text Box 24" hidden="1">
          <a:extLst>
            <a:ext uri="{FF2B5EF4-FFF2-40B4-BE49-F238E27FC236}">
              <a16:creationId xmlns:a16="http://schemas.microsoft.com/office/drawing/2014/main" id="{6CAD96CB-0A1E-4B22-8282-71E3654DADF9}"/>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164193</xdr:rowOff>
    </xdr:from>
    <xdr:to>
      <xdr:col>21</xdr:col>
      <xdr:colOff>218440</xdr:colOff>
      <xdr:row>59</xdr:row>
      <xdr:rowOff>162288</xdr:rowOff>
    </xdr:to>
    <xdr:sp macro="" textlink="">
      <xdr:nvSpPr>
        <xdr:cNvPr id="253975" name="Text Box 23" hidden="1">
          <a:extLst>
            <a:ext uri="{FF2B5EF4-FFF2-40B4-BE49-F238E27FC236}">
              <a16:creationId xmlns:a16="http://schemas.microsoft.com/office/drawing/2014/main" id="{62608814-2CF8-418D-93B3-936A7996FFA8}"/>
            </a:ext>
          </a:extLst>
        </xdr:cNvPr>
        <xdr:cNvSpPr txBox="1">
          <a:spLocks noChangeArrowheads="1"/>
        </xdr:cNvSpPr>
      </xdr:nvSpPr>
      <xdr:spPr bwMode="auto">
        <a:xfrm>
          <a:off x="12458700" y="10812780"/>
          <a:ext cx="13792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86360</xdr:rowOff>
    </xdr:from>
    <xdr:to>
      <xdr:col>21</xdr:col>
      <xdr:colOff>218440</xdr:colOff>
      <xdr:row>21</xdr:row>
      <xdr:rowOff>76200</xdr:rowOff>
    </xdr:to>
    <xdr:sp macro="" textlink="">
      <xdr:nvSpPr>
        <xdr:cNvPr id="253974" name="Text Box 22" hidden="1">
          <a:extLst>
            <a:ext uri="{FF2B5EF4-FFF2-40B4-BE49-F238E27FC236}">
              <a16:creationId xmlns:a16="http://schemas.microsoft.com/office/drawing/2014/main" id="{6510BA9A-77DC-4BC7-8EC0-051E4316A391}"/>
            </a:ext>
          </a:extLst>
        </xdr:cNvPr>
        <xdr:cNvSpPr txBox="1">
          <a:spLocks noChangeArrowheads="1"/>
        </xdr:cNvSpPr>
      </xdr:nvSpPr>
      <xdr:spPr bwMode="auto">
        <a:xfrm>
          <a:off x="12458700" y="3177540"/>
          <a:ext cx="13792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43</xdr:row>
      <xdr:rowOff>11611</xdr:rowOff>
    </xdr:from>
    <xdr:to>
      <xdr:col>22</xdr:col>
      <xdr:colOff>218440</xdr:colOff>
      <xdr:row>46</xdr:row>
      <xdr:rowOff>27940</xdr:rowOff>
    </xdr:to>
    <xdr:sp macro="" textlink="">
      <xdr:nvSpPr>
        <xdr:cNvPr id="253973" name="Text Box 21" hidden="1">
          <a:extLst>
            <a:ext uri="{FF2B5EF4-FFF2-40B4-BE49-F238E27FC236}">
              <a16:creationId xmlns:a16="http://schemas.microsoft.com/office/drawing/2014/main" id="{A0CE7516-0832-4BA8-9306-997228502C8B}"/>
            </a:ext>
          </a:extLst>
        </xdr:cNvPr>
        <xdr:cNvSpPr txBox="1">
          <a:spLocks noChangeArrowheads="1"/>
        </xdr:cNvSpPr>
      </xdr:nvSpPr>
      <xdr:spPr bwMode="auto">
        <a:xfrm>
          <a:off x="12900660" y="8191500"/>
          <a:ext cx="13792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82" name="Text Box 30" hidden="1">
          <a:extLst>
            <a:ext uri="{FF2B5EF4-FFF2-40B4-BE49-F238E27FC236}">
              <a16:creationId xmlns:a16="http://schemas.microsoft.com/office/drawing/2014/main" id="{9D00F1F5-4CB3-48E2-8FE5-19E17AF09301}"/>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81" name="Text Box 29" hidden="1">
          <a:extLst>
            <a:ext uri="{FF2B5EF4-FFF2-40B4-BE49-F238E27FC236}">
              <a16:creationId xmlns:a16="http://schemas.microsoft.com/office/drawing/2014/main" id="{0833158D-6CF1-4EBE-8732-9E4FAD957ECB}"/>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162288</xdr:rowOff>
    </xdr:from>
    <xdr:to>
      <xdr:col>21</xdr:col>
      <xdr:colOff>200660</xdr:colOff>
      <xdr:row>59</xdr:row>
      <xdr:rowOff>162288</xdr:rowOff>
    </xdr:to>
    <xdr:sp macro="" textlink="">
      <xdr:nvSpPr>
        <xdr:cNvPr id="253980" name="Text Box 28" hidden="1">
          <a:extLst>
            <a:ext uri="{FF2B5EF4-FFF2-40B4-BE49-F238E27FC236}">
              <a16:creationId xmlns:a16="http://schemas.microsoft.com/office/drawing/2014/main" id="{A05F084C-120A-4551-8119-E7AD3EAAFD47}"/>
            </a:ext>
          </a:extLst>
        </xdr:cNvPr>
        <xdr:cNvSpPr txBox="1">
          <a:spLocks noChangeArrowheads="1"/>
        </xdr:cNvSpPr>
      </xdr:nvSpPr>
      <xdr:spPr bwMode="auto">
        <a:xfrm>
          <a:off x="12458700" y="10805160"/>
          <a:ext cx="137160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200660</xdr:colOff>
      <xdr:row>21</xdr:row>
      <xdr:rowOff>76200</xdr:rowOff>
    </xdr:to>
    <xdr:sp macro="" textlink="">
      <xdr:nvSpPr>
        <xdr:cNvPr id="253979" name="Text Box 27" hidden="1">
          <a:extLst>
            <a:ext uri="{FF2B5EF4-FFF2-40B4-BE49-F238E27FC236}">
              <a16:creationId xmlns:a16="http://schemas.microsoft.com/office/drawing/2014/main" id="{26687D79-111B-442F-BBAC-2F8313214DBC}"/>
            </a:ext>
          </a:extLst>
        </xdr:cNvPr>
        <xdr:cNvSpPr txBox="1">
          <a:spLocks noChangeArrowheads="1"/>
        </xdr:cNvSpPr>
      </xdr:nvSpPr>
      <xdr:spPr bwMode="auto">
        <a:xfrm>
          <a:off x="12458700" y="3169920"/>
          <a:ext cx="137160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42</xdr:row>
      <xdr:rowOff>162560</xdr:rowOff>
    </xdr:from>
    <xdr:to>
      <xdr:col>22</xdr:col>
      <xdr:colOff>200660</xdr:colOff>
      <xdr:row>46</xdr:row>
      <xdr:rowOff>10160</xdr:rowOff>
    </xdr:to>
    <xdr:sp macro="" textlink="">
      <xdr:nvSpPr>
        <xdr:cNvPr id="253978" name="Text Box 26" hidden="1">
          <a:extLst>
            <a:ext uri="{FF2B5EF4-FFF2-40B4-BE49-F238E27FC236}">
              <a16:creationId xmlns:a16="http://schemas.microsoft.com/office/drawing/2014/main" id="{E7728438-FA12-434E-B439-6BCBAFF0CEFE}"/>
            </a:ext>
          </a:extLst>
        </xdr:cNvPr>
        <xdr:cNvSpPr txBox="1">
          <a:spLocks noChangeArrowheads="1"/>
        </xdr:cNvSpPr>
      </xdr:nvSpPr>
      <xdr:spPr bwMode="auto">
        <a:xfrm>
          <a:off x="12900660" y="8183880"/>
          <a:ext cx="137160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87" name="Text Box 35" hidden="1">
          <a:extLst>
            <a:ext uri="{FF2B5EF4-FFF2-40B4-BE49-F238E27FC236}">
              <a16:creationId xmlns:a16="http://schemas.microsoft.com/office/drawing/2014/main" id="{7641B9E9-6875-418C-999E-CD83065F4A08}"/>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86" name="Text Box 34" hidden="1">
          <a:extLst>
            <a:ext uri="{FF2B5EF4-FFF2-40B4-BE49-F238E27FC236}">
              <a16:creationId xmlns:a16="http://schemas.microsoft.com/office/drawing/2014/main" id="{E3A74598-19C4-4863-89B8-FBAA928455C5}"/>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162288</xdr:rowOff>
    </xdr:from>
    <xdr:to>
      <xdr:col>21</xdr:col>
      <xdr:colOff>190500</xdr:colOff>
      <xdr:row>59</xdr:row>
      <xdr:rowOff>162288</xdr:rowOff>
    </xdr:to>
    <xdr:sp macro="" textlink="">
      <xdr:nvSpPr>
        <xdr:cNvPr id="253985" name="Text Box 33" hidden="1">
          <a:extLst>
            <a:ext uri="{FF2B5EF4-FFF2-40B4-BE49-F238E27FC236}">
              <a16:creationId xmlns:a16="http://schemas.microsoft.com/office/drawing/2014/main" id="{228D6AD2-976D-4E5D-98B7-C507CBC20FF4}"/>
            </a:ext>
          </a:extLst>
        </xdr:cNvPr>
        <xdr:cNvSpPr txBox="1">
          <a:spLocks noChangeArrowheads="1"/>
        </xdr:cNvSpPr>
      </xdr:nvSpPr>
      <xdr:spPr bwMode="auto">
        <a:xfrm>
          <a:off x="12458700" y="1080516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84" name="Text Box 32" hidden="1">
          <a:extLst>
            <a:ext uri="{FF2B5EF4-FFF2-40B4-BE49-F238E27FC236}">
              <a16:creationId xmlns:a16="http://schemas.microsoft.com/office/drawing/2014/main" id="{D672E75D-E8F6-4499-ABB3-4BAEBB914996}"/>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42</xdr:row>
      <xdr:rowOff>152400</xdr:rowOff>
    </xdr:from>
    <xdr:to>
      <xdr:col>22</xdr:col>
      <xdr:colOff>190500</xdr:colOff>
      <xdr:row>46</xdr:row>
      <xdr:rowOff>0</xdr:rowOff>
    </xdr:to>
    <xdr:sp macro="" textlink="">
      <xdr:nvSpPr>
        <xdr:cNvPr id="253983" name="Text Box 31" hidden="1">
          <a:extLst>
            <a:ext uri="{FF2B5EF4-FFF2-40B4-BE49-F238E27FC236}">
              <a16:creationId xmlns:a16="http://schemas.microsoft.com/office/drawing/2014/main" id="{671497DD-8F33-423A-AF99-420206A8BEDB}"/>
            </a:ext>
          </a:extLst>
        </xdr:cNvPr>
        <xdr:cNvSpPr txBox="1">
          <a:spLocks noChangeArrowheads="1"/>
        </xdr:cNvSpPr>
      </xdr:nvSpPr>
      <xdr:spPr bwMode="auto">
        <a:xfrm>
          <a:off x="12900660" y="8176260"/>
          <a:ext cx="136398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92" name="Text Box 40" hidden="1">
          <a:extLst>
            <a:ext uri="{FF2B5EF4-FFF2-40B4-BE49-F238E27FC236}">
              <a16:creationId xmlns:a16="http://schemas.microsoft.com/office/drawing/2014/main" id="{867BBF87-74E2-4AEB-A36A-908238A3392A}"/>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91" name="Text Box 39" hidden="1">
          <a:extLst>
            <a:ext uri="{FF2B5EF4-FFF2-40B4-BE49-F238E27FC236}">
              <a16:creationId xmlns:a16="http://schemas.microsoft.com/office/drawing/2014/main" id="{A2D35E53-171B-44FF-A9F7-3C5BBBC86C7D}"/>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162288</xdr:rowOff>
    </xdr:from>
    <xdr:to>
      <xdr:col>21</xdr:col>
      <xdr:colOff>190500</xdr:colOff>
      <xdr:row>59</xdr:row>
      <xdr:rowOff>162288</xdr:rowOff>
    </xdr:to>
    <xdr:sp macro="" textlink="">
      <xdr:nvSpPr>
        <xdr:cNvPr id="253990" name="Text Box 38" hidden="1">
          <a:extLst>
            <a:ext uri="{FF2B5EF4-FFF2-40B4-BE49-F238E27FC236}">
              <a16:creationId xmlns:a16="http://schemas.microsoft.com/office/drawing/2014/main" id="{CFC6C123-8A0E-4674-AB5D-222709AA8EC7}"/>
            </a:ext>
          </a:extLst>
        </xdr:cNvPr>
        <xdr:cNvSpPr txBox="1">
          <a:spLocks noChangeArrowheads="1"/>
        </xdr:cNvSpPr>
      </xdr:nvSpPr>
      <xdr:spPr bwMode="auto">
        <a:xfrm>
          <a:off x="12068175" y="1111567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89" name="Text Box 37" hidden="1">
          <a:extLst>
            <a:ext uri="{FF2B5EF4-FFF2-40B4-BE49-F238E27FC236}">
              <a16:creationId xmlns:a16="http://schemas.microsoft.com/office/drawing/2014/main" id="{A0CACA46-9C46-4CB1-AD37-E18FC68151B9}"/>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42</xdr:row>
      <xdr:rowOff>152400</xdr:rowOff>
    </xdr:from>
    <xdr:to>
      <xdr:col>22</xdr:col>
      <xdr:colOff>190500</xdr:colOff>
      <xdr:row>46</xdr:row>
      <xdr:rowOff>0</xdr:rowOff>
    </xdr:to>
    <xdr:sp macro="" textlink="">
      <xdr:nvSpPr>
        <xdr:cNvPr id="253988" name="Text Box 36" hidden="1">
          <a:extLst>
            <a:ext uri="{FF2B5EF4-FFF2-40B4-BE49-F238E27FC236}">
              <a16:creationId xmlns:a16="http://schemas.microsoft.com/office/drawing/2014/main" id="{DB00F3C8-92E9-42AF-A760-70EDDC859708}"/>
            </a:ext>
          </a:extLst>
        </xdr:cNvPr>
        <xdr:cNvSpPr txBox="1">
          <a:spLocks noChangeArrowheads="1"/>
        </xdr:cNvSpPr>
      </xdr:nvSpPr>
      <xdr:spPr bwMode="auto">
        <a:xfrm>
          <a:off x="12496800" y="8401050"/>
          <a:ext cx="1323975"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97" name="Text Box 45" hidden="1">
          <a:extLst>
            <a:ext uri="{FF2B5EF4-FFF2-40B4-BE49-F238E27FC236}">
              <a16:creationId xmlns:a16="http://schemas.microsoft.com/office/drawing/2014/main" id="{366DB5D9-9330-486C-93C3-CA3D03A68A69}"/>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96" name="Text Box 44" hidden="1">
          <a:extLst>
            <a:ext uri="{FF2B5EF4-FFF2-40B4-BE49-F238E27FC236}">
              <a16:creationId xmlns:a16="http://schemas.microsoft.com/office/drawing/2014/main" id="{930C3209-A868-4F3E-873E-9E3A7DB51DF8}"/>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94" name="Text Box 42" hidden="1">
          <a:extLst>
            <a:ext uri="{FF2B5EF4-FFF2-40B4-BE49-F238E27FC236}">
              <a16:creationId xmlns:a16="http://schemas.microsoft.com/office/drawing/2014/main" id="{A77792B2-5B5F-4FF0-92DE-94610CA5FF42}"/>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141787</xdr:rowOff>
    </xdr:to>
    <xdr:sp macro="" textlink="">
      <xdr:nvSpPr>
        <xdr:cNvPr id="253993" name="Text Box 41" hidden="1">
          <a:extLst>
            <a:ext uri="{FF2B5EF4-FFF2-40B4-BE49-F238E27FC236}">
              <a16:creationId xmlns:a16="http://schemas.microsoft.com/office/drawing/2014/main" id="{C90F92DA-FB47-400F-ACA3-C21C64E46FF8}"/>
            </a:ext>
          </a:extLst>
        </xdr:cNvPr>
        <xdr:cNvSpPr txBox="1">
          <a:spLocks noChangeArrowheads="1"/>
        </xdr:cNvSpPr>
      </xdr:nvSpPr>
      <xdr:spPr bwMode="auto">
        <a:xfrm>
          <a:off x="12496800" y="8934450"/>
          <a:ext cx="1323975"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01" name="Text Box 49" hidden="1">
          <a:extLst>
            <a:ext uri="{FF2B5EF4-FFF2-40B4-BE49-F238E27FC236}">
              <a16:creationId xmlns:a16="http://schemas.microsoft.com/office/drawing/2014/main" id="{8194668E-6D99-4BB3-9928-820C1E3D503B}"/>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00" name="Text Box 48" hidden="1">
          <a:extLst>
            <a:ext uri="{FF2B5EF4-FFF2-40B4-BE49-F238E27FC236}">
              <a16:creationId xmlns:a16="http://schemas.microsoft.com/office/drawing/2014/main" id="{0AE6DD68-2DAE-4B97-A9B9-C0E8518A8391}"/>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99" name="Text Box 47" hidden="1">
          <a:extLst>
            <a:ext uri="{FF2B5EF4-FFF2-40B4-BE49-F238E27FC236}">
              <a16:creationId xmlns:a16="http://schemas.microsoft.com/office/drawing/2014/main" id="{D4104F4F-8477-4233-8840-1EC57D41CE1F}"/>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140970</xdr:rowOff>
    </xdr:to>
    <xdr:sp macro="" textlink="">
      <xdr:nvSpPr>
        <xdr:cNvPr id="253998" name="Text Box 46" hidden="1">
          <a:extLst>
            <a:ext uri="{FF2B5EF4-FFF2-40B4-BE49-F238E27FC236}">
              <a16:creationId xmlns:a16="http://schemas.microsoft.com/office/drawing/2014/main" id="{19BDC162-CB53-4794-BEB6-06CDE7B7E556}"/>
            </a:ext>
          </a:extLst>
        </xdr:cNvPr>
        <xdr:cNvSpPr txBox="1">
          <a:spLocks noChangeArrowheads="1"/>
        </xdr:cNvSpPr>
      </xdr:nvSpPr>
      <xdr:spPr bwMode="auto">
        <a:xfrm>
          <a:off x="12496800" y="8934450"/>
          <a:ext cx="1323975"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57</xdr:row>
      <xdr:rowOff>1270</xdr:rowOff>
    </xdr:from>
    <xdr:to>
      <xdr:col>21</xdr:col>
      <xdr:colOff>217170</xdr:colOff>
      <xdr:row>60</xdr:row>
      <xdr:rowOff>152400</xdr:rowOff>
    </xdr:to>
    <xdr:sp macro="" textlink="">
      <xdr:nvSpPr>
        <xdr:cNvPr id="254006" name="Text Box 54" hidden="1">
          <a:extLst>
            <a:ext uri="{FF2B5EF4-FFF2-40B4-BE49-F238E27FC236}">
              <a16:creationId xmlns:a16="http://schemas.microsoft.com/office/drawing/2014/main" id="{7121F289-73C5-49F2-A3B1-C4F00F5595AA}"/>
            </a:ext>
          </a:extLst>
        </xdr:cNvPr>
        <xdr:cNvSpPr txBox="1">
          <a:spLocks noChangeArrowheads="1"/>
        </xdr:cNvSpPr>
      </xdr:nvSpPr>
      <xdr:spPr bwMode="auto">
        <a:xfrm>
          <a:off x="12068175" y="11325225"/>
          <a:ext cx="1343025"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60</xdr:row>
      <xdr:rowOff>1270</xdr:rowOff>
    </xdr:from>
    <xdr:to>
      <xdr:col>21</xdr:col>
      <xdr:colOff>217170</xdr:colOff>
      <xdr:row>63</xdr:row>
      <xdr:rowOff>152400</xdr:rowOff>
    </xdr:to>
    <xdr:sp macro="" textlink="">
      <xdr:nvSpPr>
        <xdr:cNvPr id="254007" name="Text Box 55" hidden="1">
          <a:extLst>
            <a:ext uri="{FF2B5EF4-FFF2-40B4-BE49-F238E27FC236}">
              <a16:creationId xmlns:a16="http://schemas.microsoft.com/office/drawing/2014/main" id="{A2408D7B-6AD9-44F6-9453-EF041EAD9C8E}"/>
            </a:ext>
          </a:extLst>
        </xdr:cNvPr>
        <xdr:cNvSpPr txBox="1">
          <a:spLocks noChangeArrowheads="1"/>
        </xdr:cNvSpPr>
      </xdr:nvSpPr>
      <xdr:spPr bwMode="auto">
        <a:xfrm>
          <a:off x="12068175" y="11896725"/>
          <a:ext cx="1343025"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152400</xdr:colOff>
      <xdr:row>63</xdr:row>
      <xdr:rowOff>1270</xdr:rowOff>
    </xdr:from>
    <xdr:to>
      <xdr:col>19</xdr:col>
      <xdr:colOff>217170</xdr:colOff>
      <xdr:row>66</xdr:row>
      <xdr:rowOff>140970</xdr:rowOff>
    </xdr:to>
    <xdr:sp macro="" textlink="">
      <xdr:nvSpPr>
        <xdr:cNvPr id="254008" name="Text Box 56" hidden="1">
          <a:extLst>
            <a:ext uri="{FF2B5EF4-FFF2-40B4-BE49-F238E27FC236}">
              <a16:creationId xmlns:a16="http://schemas.microsoft.com/office/drawing/2014/main" id="{873A723F-A2C8-47DD-B982-7F0875EAC57C}"/>
            </a:ext>
          </a:extLst>
        </xdr:cNvPr>
        <xdr:cNvSpPr txBox="1">
          <a:spLocks noChangeArrowheads="1"/>
        </xdr:cNvSpPr>
      </xdr:nvSpPr>
      <xdr:spPr bwMode="auto">
        <a:xfrm>
          <a:off x="11210925" y="12468225"/>
          <a:ext cx="1343025" cy="723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87</xdr:row>
      <xdr:rowOff>134257</xdr:rowOff>
    </xdr:from>
    <xdr:to>
      <xdr:col>22</xdr:col>
      <xdr:colOff>217170</xdr:colOff>
      <xdr:row>91</xdr:row>
      <xdr:rowOff>122827</xdr:rowOff>
    </xdr:to>
    <xdr:sp macro="" textlink="">
      <xdr:nvSpPr>
        <xdr:cNvPr id="254009" name="Text Box 57" hidden="1">
          <a:extLst>
            <a:ext uri="{FF2B5EF4-FFF2-40B4-BE49-F238E27FC236}">
              <a16:creationId xmlns:a16="http://schemas.microsoft.com/office/drawing/2014/main" id="{2452DF54-F88A-41B3-B844-B7412693576C}"/>
            </a:ext>
          </a:extLst>
        </xdr:cNvPr>
        <xdr:cNvSpPr txBox="1">
          <a:spLocks noChangeArrowheads="1"/>
        </xdr:cNvSpPr>
      </xdr:nvSpPr>
      <xdr:spPr bwMode="auto">
        <a:xfrm>
          <a:off x="12496800" y="17078325"/>
          <a:ext cx="1343025" cy="7334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17" name="Text Box 65" hidden="1">
          <a:extLst>
            <a:ext uri="{FF2B5EF4-FFF2-40B4-BE49-F238E27FC236}">
              <a16:creationId xmlns:a16="http://schemas.microsoft.com/office/drawing/2014/main" id="{FC92EFD8-A0CE-4128-AA15-7EE30C5E4EC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16" name="Text Box 64" hidden="1">
          <a:extLst>
            <a:ext uri="{FF2B5EF4-FFF2-40B4-BE49-F238E27FC236}">
              <a16:creationId xmlns:a16="http://schemas.microsoft.com/office/drawing/2014/main" id="{2721EA77-BF9B-4855-AA0B-0A30794B7C34}"/>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15" name="Text Box 63" hidden="1">
          <a:extLst>
            <a:ext uri="{FF2B5EF4-FFF2-40B4-BE49-F238E27FC236}">
              <a16:creationId xmlns:a16="http://schemas.microsoft.com/office/drawing/2014/main" id="{268C6FCD-46EA-41E5-B435-D65A2C7AEBCC}"/>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133350</xdr:rowOff>
    </xdr:to>
    <xdr:sp macro="" textlink="">
      <xdr:nvSpPr>
        <xdr:cNvPr id="254014" name="Text Box 62" hidden="1">
          <a:extLst>
            <a:ext uri="{FF2B5EF4-FFF2-40B4-BE49-F238E27FC236}">
              <a16:creationId xmlns:a16="http://schemas.microsoft.com/office/drawing/2014/main" id="{98F0E968-0941-4B3A-A148-1099C49D04DA}"/>
            </a:ext>
          </a:extLst>
        </xdr:cNvPr>
        <xdr:cNvSpPr txBox="1">
          <a:spLocks noChangeArrowheads="1"/>
        </xdr:cNvSpPr>
      </xdr:nvSpPr>
      <xdr:spPr bwMode="auto">
        <a:xfrm>
          <a:off x="12966700" y="8763000"/>
          <a:ext cx="1390650"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56</xdr:row>
      <xdr:rowOff>171450</xdr:rowOff>
    </xdr:from>
    <xdr:to>
      <xdr:col>21</xdr:col>
      <xdr:colOff>209550</xdr:colOff>
      <xdr:row>60</xdr:row>
      <xdr:rowOff>152400</xdr:rowOff>
    </xdr:to>
    <xdr:sp macro="" textlink="">
      <xdr:nvSpPr>
        <xdr:cNvPr id="254013" name="Text Box 61" hidden="1">
          <a:extLst>
            <a:ext uri="{FF2B5EF4-FFF2-40B4-BE49-F238E27FC236}">
              <a16:creationId xmlns:a16="http://schemas.microsoft.com/office/drawing/2014/main" id="{7703C89E-4F0D-4A9B-BFA0-B7FFA5B4AEE8}"/>
            </a:ext>
          </a:extLst>
        </xdr:cNvPr>
        <xdr:cNvSpPr txBox="1">
          <a:spLocks noChangeArrowheads="1"/>
        </xdr:cNvSpPr>
      </xdr:nvSpPr>
      <xdr:spPr bwMode="auto">
        <a:xfrm>
          <a:off x="12515850" y="11112500"/>
          <a:ext cx="14097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59</xdr:row>
      <xdr:rowOff>171450</xdr:rowOff>
    </xdr:from>
    <xdr:to>
      <xdr:col>21</xdr:col>
      <xdr:colOff>209550</xdr:colOff>
      <xdr:row>63</xdr:row>
      <xdr:rowOff>152400</xdr:rowOff>
    </xdr:to>
    <xdr:sp macro="" textlink="">
      <xdr:nvSpPr>
        <xdr:cNvPr id="254012" name="Text Box 60" hidden="1">
          <a:extLst>
            <a:ext uri="{FF2B5EF4-FFF2-40B4-BE49-F238E27FC236}">
              <a16:creationId xmlns:a16="http://schemas.microsoft.com/office/drawing/2014/main" id="{B870ECDD-93A3-4936-96F3-6A04F6E487CC}"/>
            </a:ext>
          </a:extLst>
        </xdr:cNvPr>
        <xdr:cNvSpPr txBox="1">
          <a:spLocks noChangeArrowheads="1"/>
        </xdr:cNvSpPr>
      </xdr:nvSpPr>
      <xdr:spPr bwMode="auto">
        <a:xfrm>
          <a:off x="12515850" y="11664950"/>
          <a:ext cx="14097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152400</xdr:colOff>
      <xdr:row>62</xdr:row>
      <xdr:rowOff>171450</xdr:rowOff>
    </xdr:from>
    <xdr:to>
      <xdr:col>19</xdr:col>
      <xdr:colOff>209550</xdr:colOff>
      <xdr:row>66</xdr:row>
      <xdr:rowOff>133350</xdr:rowOff>
    </xdr:to>
    <xdr:sp macro="" textlink="">
      <xdr:nvSpPr>
        <xdr:cNvPr id="254011" name="Text Box 59" hidden="1">
          <a:extLst>
            <a:ext uri="{FF2B5EF4-FFF2-40B4-BE49-F238E27FC236}">
              <a16:creationId xmlns:a16="http://schemas.microsoft.com/office/drawing/2014/main" id="{585E90A2-2219-4733-83F7-E5F886707A9A}"/>
            </a:ext>
          </a:extLst>
        </xdr:cNvPr>
        <xdr:cNvSpPr txBox="1">
          <a:spLocks noChangeArrowheads="1"/>
        </xdr:cNvSpPr>
      </xdr:nvSpPr>
      <xdr:spPr bwMode="auto">
        <a:xfrm>
          <a:off x="11614150" y="12217400"/>
          <a:ext cx="140970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87</xdr:row>
      <xdr:rowOff>134257</xdr:rowOff>
    </xdr:from>
    <xdr:to>
      <xdr:col>22</xdr:col>
      <xdr:colOff>209550</xdr:colOff>
      <xdr:row>91</xdr:row>
      <xdr:rowOff>115207</xdr:rowOff>
    </xdr:to>
    <xdr:sp macro="" textlink="">
      <xdr:nvSpPr>
        <xdr:cNvPr id="254010" name="Text Box 58" hidden="1">
          <a:extLst>
            <a:ext uri="{FF2B5EF4-FFF2-40B4-BE49-F238E27FC236}">
              <a16:creationId xmlns:a16="http://schemas.microsoft.com/office/drawing/2014/main" id="{FFA21A02-D913-4F13-8D2C-1C7609A7766A}"/>
            </a:ext>
          </a:extLst>
        </xdr:cNvPr>
        <xdr:cNvSpPr txBox="1">
          <a:spLocks noChangeArrowheads="1"/>
        </xdr:cNvSpPr>
      </xdr:nvSpPr>
      <xdr:spPr bwMode="auto">
        <a:xfrm>
          <a:off x="12966700" y="16751300"/>
          <a:ext cx="14097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25" name="Text Box 73" hidden="1">
          <a:extLst>
            <a:ext uri="{FF2B5EF4-FFF2-40B4-BE49-F238E27FC236}">
              <a16:creationId xmlns:a16="http://schemas.microsoft.com/office/drawing/2014/main" id="{C8A7D88D-FE03-46BC-A8E2-FCDC5E2128CA}"/>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24" name="Text Box 72" hidden="1">
          <a:extLst>
            <a:ext uri="{FF2B5EF4-FFF2-40B4-BE49-F238E27FC236}">
              <a16:creationId xmlns:a16="http://schemas.microsoft.com/office/drawing/2014/main" id="{9EF12882-9B93-4402-8A86-00888991D0C8}"/>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23" name="Text Box 71" hidden="1">
          <a:extLst>
            <a:ext uri="{FF2B5EF4-FFF2-40B4-BE49-F238E27FC236}">
              <a16:creationId xmlns:a16="http://schemas.microsoft.com/office/drawing/2014/main" id="{9753F596-6DB3-432D-B2B8-2FA98128074A}"/>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133350</xdr:rowOff>
    </xdr:to>
    <xdr:sp macro="" textlink="">
      <xdr:nvSpPr>
        <xdr:cNvPr id="254022" name="Text Box 70" hidden="1">
          <a:extLst>
            <a:ext uri="{FF2B5EF4-FFF2-40B4-BE49-F238E27FC236}">
              <a16:creationId xmlns:a16="http://schemas.microsoft.com/office/drawing/2014/main" id="{22E90EE4-4A60-4062-8A0C-5469C1C37A2A}"/>
            </a:ext>
          </a:extLst>
        </xdr:cNvPr>
        <xdr:cNvSpPr txBox="1">
          <a:spLocks noChangeArrowheads="1"/>
        </xdr:cNvSpPr>
      </xdr:nvSpPr>
      <xdr:spPr bwMode="auto">
        <a:xfrm>
          <a:off x="12966700" y="8763000"/>
          <a:ext cx="1390650"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29" name="Text Box 77" hidden="1">
          <a:extLst>
            <a:ext uri="{FF2B5EF4-FFF2-40B4-BE49-F238E27FC236}">
              <a16:creationId xmlns:a16="http://schemas.microsoft.com/office/drawing/2014/main" id="{D85FDE1E-1C25-4A0A-81A1-EC1BC2E93F43}"/>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28" name="Text Box 76" hidden="1">
          <a:extLst>
            <a:ext uri="{FF2B5EF4-FFF2-40B4-BE49-F238E27FC236}">
              <a16:creationId xmlns:a16="http://schemas.microsoft.com/office/drawing/2014/main" id="{906BAB07-7F9F-43A5-8A92-7CA30912FDA1}"/>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27" name="Text Box 75" hidden="1">
          <a:extLst>
            <a:ext uri="{FF2B5EF4-FFF2-40B4-BE49-F238E27FC236}">
              <a16:creationId xmlns:a16="http://schemas.microsoft.com/office/drawing/2014/main" id="{2CA08551-0682-463E-8424-06CE5D577AA1}"/>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26" name="Text Box 74" hidden="1">
          <a:extLst>
            <a:ext uri="{FF2B5EF4-FFF2-40B4-BE49-F238E27FC236}">
              <a16:creationId xmlns:a16="http://schemas.microsoft.com/office/drawing/2014/main" id="{E370550D-7F66-494F-A9E7-2C700AC8E510}"/>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30" name="Text Box 78" hidden="1">
          <a:extLst>
            <a:ext uri="{FF2B5EF4-FFF2-40B4-BE49-F238E27FC236}">
              <a16:creationId xmlns:a16="http://schemas.microsoft.com/office/drawing/2014/main" id="{F1517D70-8BF9-4912-B802-91018CEB4F27}"/>
            </a:ext>
          </a:extLst>
        </xdr:cNvPr>
        <xdr:cNvSpPr txBox="1">
          <a:spLocks noChangeArrowheads="1"/>
        </xdr:cNvSpPr>
      </xdr:nvSpPr>
      <xdr:spPr bwMode="auto">
        <a:xfrm>
          <a:off x="12382500" y="8328660"/>
          <a:ext cx="128778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35" name="Text Box 83" hidden="1">
          <a:extLst>
            <a:ext uri="{FF2B5EF4-FFF2-40B4-BE49-F238E27FC236}">
              <a16:creationId xmlns:a16="http://schemas.microsoft.com/office/drawing/2014/main" id="{C4136574-684F-42B7-99D4-06E55152E6CF}"/>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34" name="Text Box 82" hidden="1">
          <a:extLst>
            <a:ext uri="{FF2B5EF4-FFF2-40B4-BE49-F238E27FC236}">
              <a16:creationId xmlns:a16="http://schemas.microsoft.com/office/drawing/2014/main" id="{8A991C61-32F0-4BFA-9681-C62041A591C1}"/>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33" name="Text Box 81" hidden="1">
          <a:extLst>
            <a:ext uri="{FF2B5EF4-FFF2-40B4-BE49-F238E27FC236}">
              <a16:creationId xmlns:a16="http://schemas.microsoft.com/office/drawing/2014/main" id="{54014848-C903-458D-ABA4-AF4C0E6FA266}"/>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32" name="Text Box 80" hidden="1">
          <a:extLst>
            <a:ext uri="{FF2B5EF4-FFF2-40B4-BE49-F238E27FC236}">
              <a16:creationId xmlns:a16="http://schemas.microsoft.com/office/drawing/2014/main" id="{1CB89CF4-F425-4DDF-9538-5EB501814F42}"/>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31" name="Text Box 79" hidden="1">
          <a:extLst>
            <a:ext uri="{FF2B5EF4-FFF2-40B4-BE49-F238E27FC236}">
              <a16:creationId xmlns:a16="http://schemas.microsoft.com/office/drawing/2014/main" id="{93ED7369-3C48-45C5-A991-E75B107C91BE}"/>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40" name="Text Box 88" hidden="1">
          <a:extLst>
            <a:ext uri="{FF2B5EF4-FFF2-40B4-BE49-F238E27FC236}">
              <a16:creationId xmlns:a16="http://schemas.microsoft.com/office/drawing/2014/main" id="{025BD699-889F-4416-927A-503D26BBB3AC}"/>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39" name="Text Box 87" hidden="1">
          <a:extLst>
            <a:ext uri="{FF2B5EF4-FFF2-40B4-BE49-F238E27FC236}">
              <a16:creationId xmlns:a16="http://schemas.microsoft.com/office/drawing/2014/main" id="{32B0AB3B-BC50-4FDB-B35E-4D88DAE2BA9D}"/>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38" name="Text Box 86" hidden="1">
          <a:extLst>
            <a:ext uri="{FF2B5EF4-FFF2-40B4-BE49-F238E27FC236}">
              <a16:creationId xmlns:a16="http://schemas.microsoft.com/office/drawing/2014/main" id="{0CE837B7-155D-4B46-9D87-BE2CD1EE0C49}"/>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37" name="Text Box 85" hidden="1">
          <a:extLst>
            <a:ext uri="{FF2B5EF4-FFF2-40B4-BE49-F238E27FC236}">
              <a16:creationId xmlns:a16="http://schemas.microsoft.com/office/drawing/2014/main" id="{79822F0F-96E0-4130-94EA-15C8A1C301F2}"/>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36" name="Text Box 84" hidden="1">
          <a:extLst>
            <a:ext uri="{FF2B5EF4-FFF2-40B4-BE49-F238E27FC236}">
              <a16:creationId xmlns:a16="http://schemas.microsoft.com/office/drawing/2014/main" id="{CA4EB366-50D3-41DD-A03D-5A960A59A394}"/>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55" name="Text Box 103" hidden="1">
          <a:extLst>
            <a:ext uri="{FF2B5EF4-FFF2-40B4-BE49-F238E27FC236}">
              <a16:creationId xmlns:a16="http://schemas.microsoft.com/office/drawing/2014/main" id="{681DF065-9C50-4A99-88E4-D5F62F5AD15E}"/>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54" name="Text Box 102" hidden="1">
          <a:extLst>
            <a:ext uri="{FF2B5EF4-FFF2-40B4-BE49-F238E27FC236}">
              <a16:creationId xmlns:a16="http://schemas.microsoft.com/office/drawing/2014/main" id="{5573B8E2-85A4-4F11-89AC-9F5EE61D346B}"/>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53" name="Text Box 101" hidden="1">
          <a:extLst>
            <a:ext uri="{FF2B5EF4-FFF2-40B4-BE49-F238E27FC236}">
              <a16:creationId xmlns:a16="http://schemas.microsoft.com/office/drawing/2014/main" id="{BA11F50A-837D-4F2B-B94A-BCFC546F16E2}"/>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52" name="Text Box 100" hidden="1">
          <a:extLst>
            <a:ext uri="{FF2B5EF4-FFF2-40B4-BE49-F238E27FC236}">
              <a16:creationId xmlns:a16="http://schemas.microsoft.com/office/drawing/2014/main" id="{FF2FA778-E997-4BAA-AF50-2B55FD8AC10B}"/>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51" name="Text Box 99" hidden="1">
          <a:extLst>
            <a:ext uri="{FF2B5EF4-FFF2-40B4-BE49-F238E27FC236}">
              <a16:creationId xmlns:a16="http://schemas.microsoft.com/office/drawing/2014/main" id="{BA44C3CE-ACC1-4203-B460-515393C4F8EA}"/>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50" name="Text Box 98" hidden="1">
          <a:extLst>
            <a:ext uri="{FF2B5EF4-FFF2-40B4-BE49-F238E27FC236}">
              <a16:creationId xmlns:a16="http://schemas.microsoft.com/office/drawing/2014/main" id="{944DE99E-6A00-4213-9C3C-4373D5F06B10}"/>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49" name="Text Box 97" hidden="1">
          <a:extLst>
            <a:ext uri="{FF2B5EF4-FFF2-40B4-BE49-F238E27FC236}">
              <a16:creationId xmlns:a16="http://schemas.microsoft.com/office/drawing/2014/main" id="{EA4CFC32-6389-4E95-949D-00F3B19975F5}"/>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48" name="Text Box 96" hidden="1">
          <a:extLst>
            <a:ext uri="{FF2B5EF4-FFF2-40B4-BE49-F238E27FC236}">
              <a16:creationId xmlns:a16="http://schemas.microsoft.com/office/drawing/2014/main" id="{DE669E0A-6EBB-4470-8528-B85DC0DA374F}"/>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47" name="Text Box 95" hidden="1">
          <a:extLst>
            <a:ext uri="{FF2B5EF4-FFF2-40B4-BE49-F238E27FC236}">
              <a16:creationId xmlns:a16="http://schemas.microsoft.com/office/drawing/2014/main" id="{DCDBAE3F-DD40-447A-9566-3256D2DA1D1B}"/>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46" name="Text Box 94" hidden="1">
          <a:extLst>
            <a:ext uri="{FF2B5EF4-FFF2-40B4-BE49-F238E27FC236}">
              <a16:creationId xmlns:a16="http://schemas.microsoft.com/office/drawing/2014/main" id="{DDC26B90-D232-487D-896C-97A070D23049}"/>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45" name="Text Box 93" hidden="1">
          <a:extLst>
            <a:ext uri="{FF2B5EF4-FFF2-40B4-BE49-F238E27FC236}">
              <a16:creationId xmlns:a16="http://schemas.microsoft.com/office/drawing/2014/main" id="{B993323B-5B29-4F5A-8F7D-13FF50ACE4AC}"/>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44" name="Text Box 92" hidden="1">
          <a:extLst>
            <a:ext uri="{FF2B5EF4-FFF2-40B4-BE49-F238E27FC236}">
              <a16:creationId xmlns:a16="http://schemas.microsoft.com/office/drawing/2014/main" id="{DECB84D9-3F57-47A0-A7C3-433B56D7D03A}"/>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43" name="Text Box 91" hidden="1">
          <a:extLst>
            <a:ext uri="{FF2B5EF4-FFF2-40B4-BE49-F238E27FC236}">
              <a16:creationId xmlns:a16="http://schemas.microsoft.com/office/drawing/2014/main" id="{942DCB35-01AF-4D28-B60A-9DD62A0EEB42}"/>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42" name="Text Box 90" hidden="1">
          <a:extLst>
            <a:ext uri="{FF2B5EF4-FFF2-40B4-BE49-F238E27FC236}">
              <a16:creationId xmlns:a16="http://schemas.microsoft.com/office/drawing/2014/main" id="{233B47BA-D925-42B5-874F-C90DBAE0874D}"/>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41" name="Text Box 89" hidden="1">
          <a:extLst>
            <a:ext uri="{FF2B5EF4-FFF2-40B4-BE49-F238E27FC236}">
              <a16:creationId xmlns:a16="http://schemas.microsoft.com/office/drawing/2014/main" id="{77CDF082-8482-458E-B3B1-DF7A791CDDC2}"/>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70" name="Text Box 118" hidden="1">
          <a:extLst>
            <a:ext uri="{FF2B5EF4-FFF2-40B4-BE49-F238E27FC236}">
              <a16:creationId xmlns:a16="http://schemas.microsoft.com/office/drawing/2014/main" id="{E81640F2-D90D-4280-A6EB-D58B4DC5FE01}"/>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69" name="Text Box 117" hidden="1">
          <a:extLst>
            <a:ext uri="{FF2B5EF4-FFF2-40B4-BE49-F238E27FC236}">
              <a16:creationId xmlns:a16="http://schemas.microsoft.com/office/drawing/2014/main" id="{22C1B8B3-655B-4ADB-85E8-AF5B065E3B15}"/>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68" name="Text Box 116" hidden="1">
          <a:extLst>
            <a:ext uri="{FF2B5EF4-FFF2-40B4-BE49-F238E27FC236}">
              <a16:creationId xmlns:a16="http://schemas.microsoft.com/office/drawing/2014/main" id="{174BCA59-3586-4154-8F8B-A53D4FE692A0}"/>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67" name="Text Box 115" hidden="1">
          <a:extLst>
            <a:ext uri="{FF2B5EF4-FFF2-40B4-BE49-F238E27FC236}">
              <a16:creationId xmlns:a16="http://schemas.microsoft.com/office/drawing/2014/main" id="{2EFC9331-D048-4EAE-8AA6-2B681469C536}"/>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66" name="Text Box 114" hidden="1">
          <a:extLst>
            <a:ext uri="{FF2B5EF4-FFF2-40B4-BE49-F238E27FC236}">
              <a16:creationId xmlns:a16="http://schemas.microsoft.com/office/drawing/2014/main" id="{E036E5E5-7EB6-4B33-94B0-F81482811408}"/>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65" name="Text Box 113" hidden="1">
          <a:extLst>
            <a:ext uri="{FF2B5EF4-FFF2-40B4-BE49-F238E27FC236}">
              <a16:creationId xmlns:a16="http://schemas.microsoft.com/office/drawing/2014/main" id="{3EA51F31-0799-4E3A-907A-6C5F41B964C2}"/>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64" name="Text Box 112" hidden="1">
          <a:extLst>
            <a:ext uri="{FF2B5EF4-FFF2-40B4-BE49-F238E27FC236}">
              <a16:creationId xmlns:a16="http://schemas.microsoft.com/office/drawing/2014/main" id="{4CE81FF0-445C-4DCB-AB55-0C22A4225E71}"/>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63" name="Text Box 111" hidden="1">
          <a:extLst>
            <a:ext uri="{FF2B5EF4-FFF2-40B4-BE49-F238E27FC236}">
              <a16:creationId xmlns:a16="http://schemas.microsoft.com/office/drawing/2014/main" id="{7AFE4C70-DDF9-4C94-A776-72FC7AE471EC}"/>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62" name="Text Box 110" hidden="1">
          <a:extLst>
            <a:ext uri="{FF2B5EF4-FFF2-40B4-BE49-F238E27FC236}">
              <a16:creationId xmlns:a16="http://schemas.microsoft.com/office/drawing/2014/main" id="{B5E70241-3D54-4DDC-B44D-04377AEE206A}"/>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61" name="Text Box 109" hidden="1">
          <a:extLst>
            <a:ext uri="{FF2B5EF4-FFF2-40B4-BE49-F238E27FC236}">
              <a16:creationId xmlns:a16="http://schemas.microsoft.com/office/drawing/2014/main" id="{11CBA8FD-75CE-47A8-BF7D-2A168FB06945}"/>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60" name="Text Box 108" hidden="1">
          <a:extLst>
            <a:ext uri="{FF2B5EF4-FFF2-40B4-BE49-F238E27FC236}">
              <a16:creationId xmlns:a16="http://schemas.microsoft.com/office/drawing/2014/main" id="{B1302F8D-1671-443F-AD32-09EB5DDCE7A7}"/>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59" name="Text Box 107" hidden="1">
          <a:extLst>
            <a:ext uri="{FF2B5EF4-FFF2-40B4-BE49-F238E27FC236}">
              <a16:creationId xmlns:a16="http://schemas.microsoft.com/office/drawing/2014/main" id="{0FE96101-D7B4-4D5B-AD6D-9570F9C22486}"/>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58" name="Text Box 106" hidden="1">
          <a:extLst>
            <a:ext uri="{FF2B5EF4-FFF2-40B4-BE49-F238E27FC236}">
              <a16:creationId xmlns:a16="http://schemas.microsoft.com/office/drawing/2014/main" id="{E51CF832-5DDF-418E-915E-D37DB4138404}"/>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57" name="Text Box 105" hidden="1">
          <a:extLst>
            <a:ext uri="{FF2B5EF4-FFF2-40B4-BE49-F238E27FC236}">
              <a16:creationId xmlns:a16="http://schemas.microsoft.com/office/drawing/2014/main" id="{6450B6AF-1E8F-4140-A9D4-29774359D227}"/>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56" name="Text Box 104" hidden="1">
          <a:extLst>
            <a:ext uri="{FF2B5EF4-FFF2-40B4-BE49-F238E27FC236}">
              <a16:creationId xmlns:a16="http://schemas.microsoft.com/office/drawing/2014/main" id="{3576DC55-FF71-49D9-96FE-27D6465B2574}"/>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75" name="Text Box 123" hidden="1">
          <a:extLst>
            <a:ext uri="{FF2B5EF4-FFF2-40B4-BE49-F238E27FC236}">
              <a16:creationId xmlns:a16="http://schemas.microsoft.com/office/drawing/2014/main" id="{978210E6-6415-472A-AFA5-7D158710C3C1}"/>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74" name="Text Box 122" hidden="1">
          <a:extLst>
            <a:ext uri="{FF2B5EF4-FFF2-40B4-BE49-F238E27FC236}">
              <a16:creationId xmlns:a16="http://schemas.microsoft.com/office/drawing/2014/main" id="{F316D644-B619-4083-8F85-FFF1D3BD602A}"/>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73" name="Text Box 121" hidden="1">
          <a:extLst>
            <a:ext uri="{FF2B5EF4-FFF2-40B4-BE49-F238E27FC236}">
              <a16:creationId xmlns:a16="http://schemas.microsoft.com/office/drawing/2014/main" id="{BAC13CE5-9F00-4996-BE29-2C1635F35F3D}"/>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72" name="Text Box 120" hidden="1">
          <a:extLst>
            <a:ext uri="{FF2B5EF4-FFF2-40B4-BE49-F238E27FC236}">
              <a16:creationId xmlns:a16="http://schemas.microsoft.com/office/drawing/2014/main" id="{96CE7FFB-E904-413F-8AF3-6E1203AEA548}"/>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71" name="Text Box 119" hidden="1">
          <a:extLst>
            <a:ext uri="{FF2B5EF4-FFF2-40B4-BE49-F238E27FC236}">
              <a16:creationId xmlns:a16="http://schemas.microsoft.com/office/drawing/2014/main" id="{D1E738CA-FA06-446A-9236-978C454DF3C7}"/>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80" name="Text Box 128" hidden="1">
          <a:extLst>
            <a:ext uri="{FF2B5EF4-FFF2-40B4-BE49-F238E27FC236}">
              <a16:creationId xmlns:a16="http://schemas.microsoft.com/office/drawing/2014/main" id="{CB8707CC-F302-4ADC-BFC9-E2CBEAFEBCE8}"/>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79" name="Text Box 127" hidden="1">
          <a:extLst>
            <a:ext uri="{FF2B5EF4-FFF2-40B4-BE49-F238E27FC236}">
              <a16:creationId xmlns:a16="http://schemas.microsoft.com/office/drawing/2014/main" id="{43CE300B-E277-4734-AC5E-9445C550063C}"/>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78" name="Text Box 126" hidden="1">
          <a:extLst>
            <a:ext uri="{FF2B5EF4-FFF2-40B4-BE49-F238E27FC236}">
              <a16:creationId xmlns:a16="http://schemas.microsoft.com/office/drawing/2014/main" id="{CCC5E8DD-2118-479E-9924-E599A87A20D6}"/>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77" name="Text Box 125" hidden="1">
          <a:extLst>
            <a:ext uri="{FF2B5EF4-FFF2-40B4-BE49-F238E27FC236}">
              <a16:creationId xmlns:a16="http://schemas.microsoft.com/office/drawing/2014/main" id="{995F86FB-2141-4C15-828A-985BBA482739}"/>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76" name="Text Box 124" hidden="1">
          <a:extLst>
            <a:ext uri="{FF2B5EF4-FFF2-40B4-BE49-F238E27FC236}">
              <a16:creationId xmlns:a16="http://schemas.microsoft.com/office/drawing/2014/main" id="{CE765FF3-ACA8-453F-B3C7-0515E22D7476}"/>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85" name="Text Box 133" hidden="1">
          <a:extLst>
            <a:ext uri="{FF2B5EF4-FFF2-40B4-BE49-F238E27FC236}">
              <a16:creationId xmlns:a16="http://schemas.microsoft.com/office/drawing/2014/main" id="{ED488D3E-5087-4452-BDAD-0C0238DD571A}"/>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84" name="Text Box 132" hidden="1">
          <a:extLst>
            <a:ext uri="{FF2B5EF4-FFF2-40B4-BE49-F238E27FC236}">
              <a16:creationId xmlns:a16="http://schemas.microsoft.com/office/drawing/2014/main" id="{6B527C80-FFF1-402D-B2AA-37349EF447B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83" name="Text Box 131" hidden="1">
          <a:extLst>
            <a:ext uri="{FF2B5EF4-FFF2-40B4-BE49-F238E27FC236}">
              <a16:creationId xmlns:a16="http://schemas.microsoft.com/office/drawing/2014/main" id="{38901A94-9B10-4E21-A6F3-96D8B5C6CC31}"/>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82" name="Text Box 130" hidden="1">
          <a:extLst>
            <a:ext uri="{FF2B5EF4-FFF2-40B4-BE49-F238E27FC236}">
              <a16:creationId xmlns:a16="http://schemas.microsoft.com/office/drawing/2014/main" id="{C40618D6-F382-414E-AF20-B2D1AF40519A}"/>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81" name="Text Box 129" hidden="1">
          <a:extLst>
            <a:ext uri="{FF2B5EF4-FFF2-40B4-BE49-F238E27FC236}">
              <a16:creationId xmlns:a16="http://schemas.microsoft.com/office/drawing/2014/main" id="{6DB0AD2F-4888-4601-82C2-C6D81201052A}"/>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90" name="Text Box 138" hidden="1">
          <a:extLst>
            <a:ext uri="{FF2B5EF4-FFF2-40B4-BE49-F238E27FC236}">
              <a16:creationId xmlns:a16="http://schemas.microsoft.com/office/drawing/2014/main" id="{75F318AB-7D7B-46AE-BDB8-5F09848A012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89" name="Text Box 137" hidden="1">
          <a:extLst>
            <a:ext uri="{FF2B5EF4-FFF2-40B4-BE49-F238E27FC236}">
              <a16:creationId xmlns:a16="http://schemas.microsoft.com/office/drawing/2014/main" id="{EEE6D05D-4C5B-4D29-9A64-96C4AC88B0E3}"/>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88" name="Text Box 136" hidden="1">
          <a:extLst>
            <a:ext uri="{FF2B5EF4-FFF2-40B4-BE49-F238E27FC236}">
              <a16:creationId xmlns:a16="http://schemas.microsoft.com/office/drawing/2014/main" id="{989A3EF5-F702-421D-BBC9-EBB52CFEC60E}"/>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87" name="Text Box 135" hidden="1">
          <a:extLst>
            <a:ext uri="{FF2B5EF4-FFF2-40B4-BE49-F238E27FC236}">
              <a16:creationId xmlns:a16="http://schemas.microsoft.com/office/drawing/2014/main" id="{5AA09665-97C3-4C1E-9111-26395BDA398A}"/>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86" name="Text Box 134" hidden="1">
          <a:extLst>
            <a:ext uri="{FF2B5EF4-FFF2-40B4-BE49-F238E27FC236}">
              <a16:creationId xmlns:a16="http://schemas.microsoft.com/office/drawing/2014/main" id="{EB9B4EE2-0B4D-40BE-9C93-0B859CB8C8B9}"/>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95" name="Text Box 143" hidden="1">
          <a:extLst>
            <a:ext uri="{FF2B5EF4-FFF2-40B4-BE49-F238E27FC236}">
              <a16:creationId xmlns:a16="http://schemas.microsoft.com/office/drawing/2014/main" id="{BAA496B7-8D8A-414D-925F-287E25684C10}"/>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94" name="Text Box 142" hidden="1">
          <a:extLst>
            <a:ext uri="{FF2B5EF4-FFF2-40B4-BE49-F238E27FC236}">
              <a16:creationId xmlns:a16="http://schemas.microsoft.com/office/drawing/2014/main" id="{9F93893B-AB59-420D-A009-53CC9A1DCA39}"/>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93" name="Text Box 141" hidden="1">
          <a:extLst>
            <a:ext uri="{FF2B5EF4-FFF2-40B4-BE49-F238E27FC236}">
              <a16:creationId xmlns:a16="http://schemas.microsoft.com/office/drawing/2014/main" id="{8911D1FD-756F-4E5C-A5D1-7DA204822647}"/>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92" name="Text Box 140" hidden="1">
          <a:extLst>
            <a:ext uri="{FF2B5EF4-FFF2-40B4-BE49-F238E27FC236}">
              <a16:creationId xmlns:a16="http://schemas.microsoft.com/office/drawing/2014/main" id="{8E77DAE0-3895-4ADD-94A8-F888E310A287}"/>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91" name="Text Box 139" hidden="1">
          <a:extLst>
            <a:ext uri="{FF2B5EF4-FFF2-40B4-BE49-F238E27FC236}">
              <a16:creationId xmlns:a16="http://schemas.microsoft.com/office/drawing/2014/main" id="{988195A7-15CD-42C5-8CDD-2243F73BFBA8}"/>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100" name="Text Box 148" hidden="1">
          <a:extLst>
            <a:ext uri="{FF2B5EF4-FFF2-40B4-BE49-F238E27FC236}">
              <a16:creationId xmlns:a16="http://schemas.microsoft.com/office/drawing/2014/main" id="{267AD045-E19C-460B-8DB7-EDA208E9E283}"/>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99" name="Text Box 147" hidden="1">
          <a:extLst>
            <a:ext uri="{FF2B5EF4-FFF2-40B4-BE49-F238E27FC236}">
              <a16:creationId xmlns:a16="http://schemas.microsoft.com/office/drawing/2014/main" id="{A5F51187-2A6D-4057-B784-93C3724BBFEE}"/>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98" name="Text Box 146" hidden="1">
          <a:extLst>
            <a:ext uri="{FF2B5EF4-FFF2-40B4-BE49-F238E27FC236}">
              <a16:creationId xmlns:a16="http://schemas.microsoft.com/office/drawing/2014/main" id="{45574422-0D0A-4DDF-A841-D652B1B1F0E9}"/>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97" name="Text Box 145" hidden="1">
          <a:extLst>
            <a:ext uri="{FF2B5EF4-FFF2-40B4-BE49-F238E27FC236}">
              <a16:creationId xmlns:a16="http://schemas.microsoft.com/office/drawing/2014/main" id="{580F0238-350A-48EB-8396-7F2C8F9A944D}"/>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96" name="Text Box 144" hidden="1">
          <a:extLst>
            <a:ext uri="{FF2B5EF4-FFF2-40B4-BE49-F238E27FC236}">
              <a16:creationId xmlns:a16="http://schemas.microsoft.com/office/drawing/2014/main" id="{2FE11712-1A25-43D8-B7D7-666E1AD542C4}"/>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54101" name="Text Box 149" hidden="1">
          <a:extLst>
            <a:ext uri="{FF2B5EF4-FFF2-40B4-BE49-F238E27FC236}">
              <a16:creationId xmlns:a16="http://schemas.microsoft.com/office/drawing/2014/main" id="{B845E3A9-5C60-4BEC-93B5-67F90BD197ED}"/>
            </a:ext>
          </a:extLst>
        </xdr:cNvPr>
        <xdr:cNvSpPr txBox="1">
          <a:spLocks noChangeArrowheads="1"/>
        </xdr:cNvSpPr>
      </xdr:nvSpPr>
      <xdr:spPr bwMode="auto">
        <a:xfrm>
          <a:off x="13277850" y="3467100"/>
          <a:ext cx="1285875"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24</xdr:row>
      <xdr:rowOff>114300</xdr:rowOff>
    </xdr:from>
    <xdr:to>
      <xdr:col>3</xdr:col>
      <xdr:colOff>609600</xdr:colOff>
      <xdr:row>28</xdr:row>
      <xdr:rowOff>152400</xdr:rowOff>
    </xdr:to>
    <xdr:sp macro="" textlink="">
      <xdr:nvSpPr>
        <xdr:cNvPr id="254102" name="Text Box 150" hidden="1">
          <a:extLst>
            <a:ext uri="{FF2B5EF4-FFF2-40B4-BE49-F238E27FC236}">
              <a16:creationId xmlns:a16="http://schemas.microsoft.com/office/drawing/2014/main" id="{9C36E2F1-F551-41AB-9986-3FCDBFAA6FC0}"/>
            </a:ext>
          </a:extLst>
        </xdr:cNvPr>
        <xdr:cNvSpPr txBox="1">
          <a:spLocks noChangeArrowheads="1"/>
        </xdr:cNvSpPr>
      </xdr:nvSpPr>
      <xdr:spPr bwMode="auto">
        <a:xfrm>
          <a:off x="4152900" y="4610100"/>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95943" name="Text Box 7" hidden="1">
          <a:extLst>
            <a:ext uri="{FF2B5EF4-FFF2-40B4-BE49-F238E27FC236}">
              <a16:creationId xmlns:a16="http://schemas.microsoft.com/office/drawing/2014/main" id="{EBBB303D-AC5F-485A-A6E2-82711D12A59E}"/>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95942" name="Text Box 6" hidden="1">
          <a:extLst>
            <a:ext uri="{FF2B5EF4-FFF2-40B4-BE49-F238E27FC236}">
              <a16:creationId xmlns:a16="http://schemas.microsoft.com/office/drawing/2014/main" id="{5C0D1B10-EAFE-4D39-8E28-6DEB60D2A96B}"/>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95941" name="Text Box 5" hidden="1">
          <a:extLst>
            <a:ext uri="{FF2B5EF4-FFF2-40B4-BE49-F238E27FC236}">
              <a16:creationId xmlns:a16="http://schemas.microsoft.com/office/drawing/2014/main" id="{69F13E04-3342-40C1-9D7E-8E1079D86B78}"/>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95940" name="Text Box 4" hidden="1">
          <a:extLst>
            <a:ext uri="{FF2B5EF4-FFF2-40B4-BE49-F238E27FC236}">
              <a16:creationId xmlns:a16="http://schemas.microsoft.com/office/drawing/2014/main" id="{07A935C9-BE0D-458D-A600-9B583407B858}"/>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95939" name="Text Box 3" hidden="1">
          <a:extLst>
            <a:ext uri="{FF2B5EF4-FFF2-40B4-BE49-F238E27FC236}">
              <a16:creationId xmlns:a16="http://schemas.microsoft.com/office/drawing/2014/main" id="{3AAE20C7-A6B6-459B-BE53-9F93A3BA4094}"/>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95938" name="Text Box 2" hidden="1">
          <a:extLst>
            <a:ext uri="{FF2B5EF4-FFF2-40B4-BE49-F238E27FC236}">
              <a16:creationId xmlns:a16="http://schemas.microsoft.com/office/drawing/2014/main" id="{D8334C36-D5AA-4B76-97A1-99383F1B8DDC}"/>
            </a:ext>
          </a:extLst>
        </xdr:cNvPr>
        <xdr:cNvSpPr txBox="1">
          <a:spLocks noChangeArrowheads="1"/>
        </xdr:cNvSpPr>
      </xdr:nvSpPr>
      <xdr:spPr bwMode="auto">
        <a:xfrm>
          <a:off x="13277850" y="3467100"/>
          <a:ext cx="12858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24</xdr:row>
      <xdr:rowOff>114300</xdr:rowOff>
    </xdr:from>
    <xdr:to>
      <xdr:col>3</xdr:col>
      <xdr:colOff>609600</xdr:colOff>
      <xdr:row>28</xdr:row>
      <xdr:rowOff>152400</xdr:rowOff>
    </xdr:to>
    <xdr:sp macro="" textlink="">
      <xdr:nvSpPr>
        <xdr:cNvPr id="295937" name="Text Box 1" hidden="1">
          <a:extLst>
            <a:ext uri="{FF2B5EF4-FFF2-40B4-BE49-F238E27FC236}">
              <a16:creationId xmlns:a16="http://schemas.microsoft.com/office/drawing/2014/main" id="{AB841CCE-BBC4-4B41-ADB5-C95C4D907038}"/>
            </a:ext>
          </a:extLst>
        </xdr:cNvPr>
        <xdr:cNvSpPr txBox="1">
          <a:spLocks noChangeArrowheads="1"/>
        </xdr:cNvSpPr>
      </xdr:nvSpPr>
      <xdr:spPr bwMode="auto">
        <a:xfrm>
          <a:off x="4152900" y="4610100"/>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95950" name="Text Box 14" hidden="1">
          <a:extLst>
            <a:ext uri="{FF2B5EF4-FFF2-40B4-BE49-F238E27FC236}">
              <a16:creationId xmlns:a16="http://schemas.microsoft.com/office/drawing/2014/main" id="{52A09CB4-EFFF-41F5-9139-056B5107BDD8}"/>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95949" name="Text Box 13" hidden="1">
          <a:extLst>
            <a:ext uri="{FF2B5EF4-FFF2-40B4-BE49-F238E27FC236}">
              <a16:creationId xmlns:a16="http://schemas.microsoft.com/office/drawing/2014/main" id="{1EFE681B-9B3B-4A02-A50E-67746760D82B}"/>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95948" name="Text Box 12" hidden="1">
          <a:extLst>
            <a:ext uri="{FF2B5EF4-FFF2-40B4-BE49-F238E27FC236}">
              <a16:creationId xmlns:a16="http://schemas.microsoft.com/office/drawing/2014/main" id="{D6D698DA-53C1-4D9B-9392-A195199BD6B6}"/>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95947" name="Text Box 11" hidden="1">
          <a:extLst>
            <a:ext uri="{FF2B5EF4-FFF2-40B4-BE49-F238E27FC236}">
              <a16:creationId xmlns:a16="http://schemas.microsoft.com/office/drawing/2014/main" id="{0D66910D-A92D-48C8-A871-89DED9F9A486}"/>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95946" name="Text Box 10" hidden="1">
          <a:extLst>
            <a:ext uri="{FF2B5EF4-FFF2-40B4-BE49-F238E27FC236}">
              <a16:creationId xmlns:a16="http://schemas.microsoft.com/office/drawing/2014/main" id="{B8738D37-CD51-471D-9512-C93AA9104166}"/>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95945" name="Text Box 9" hidden="1">
          <a:extLst>
            <a:ext uri="{FF2B5EF4-FFF2-40B4-BE49-F238E27FC236}">
              <a16:creationId xmlns:a16="http://schemas.microsoft.com/office/drawing/2014/main" id="{4E92A4C5-B999-45A5-877E-EE02EC339154}"/>
            </a:ext>
          </a:extLst>
        </xdr:cNvPr>
        <xdr:cNvSpPr txBox="1">
          <a:spLocks noChangeArrowheads="1"/>
        </xdr:cNvSpPr>
      </xdr:nvSpPr>
      <xdr:spPr bwMode="auto">
        <a:xfrm>
          <a:off x="13277850" y="3467100"/>
          <a:ext cx="12858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24</xdr:row>
      <xdr:rowOff>114300</xdr:rowOff>
    </xdr:from>
    <xdr:to>
      <xdr:col>3</xdr:col>
      <xdr:colOff>609600</xdr:colOff>
      <xdr:row>28</xdr:row>
      <xdr:rowOff>152400</xdr:rowOff>
    </xdr:to>
    <xdr:sp macro="" textlink="">
      <xdr:nvSpPr>
        <xdr:cNvPr id="295944" name="Text Box 8" hidden="1">
          <a:extLst>
            <a:ext uri="{FF2B5EF4-FFF2-40B4-BE49-F238E27FC236}">
              <a16:creationId xmlns:a16="http://schemas.microsoft.com/office/drawing/2014/main" id="{7AD08E4D-CC64-4872-AFB5-074BB8940FFB}"/>
            </a:ext>
          </a:extLst>
        </xdr:cNvPr>
        <xdr:cNvSpPr txBox="1">
          <a:spLocks noChangeArrowheads="1"/>
        </xdr:cNvSpPr>
      </xdr:nvSpPr>
      <xdr:spPr bwMode="auto">
        <a:xfrm>
          <a:off x="4152900" y="4610100"/>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95957" name="Text Box 21" hidden="1">
          <a:extLst>
            <a:ext uri="{FF2B5EF4-FFF2-40B4-BE49-F238E27FC236}">
              <a16:creationId xmlns:a16="http://schemas.microsoft.com/office/drawing/2014/main" id="{BD52148A-2AEA-4F95-8C9D-AD4EE931EC6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95956" name="Text Box 20" hidden="1">
          <a:extLst>
            <a:ext uri="{FF2B5EF4-FFF2-40B4-BE49-F238E27FC236}">
              <a16:creationId xmlns:a16="http://schemas.microsoft.com/office/drawing/2014/main" id="{CEDCEA6F-B433-455B-98AE-D7D0D2DD26C7}"/>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95955" name="Text Box 19" hidden="1">
          <a:extLst>
            <a:ext uri="{FF2B5EF4-FFF2-40B4-BE49-F238E27FC236}">
              <a16:creationId xmlns:a16="http://schemas.microsoft.com/office/drawing/2014/main" id="{8E543D30-2C23-453B-B07F-6166C6505D3B}"/>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95954" name="Text Box 18" hidden="1">
          <a:extLst>
            <a:ext uri="{FF2B5EF4-FFF2-40B4-BE49-F238E27FC236}">
              <a16:creationId xmlns:a16="http://schemas.microsoft.com/office/drawing/2014/main" id="{937A281D-879E-4DBE-98DC-FCC2A0308CC1}"/>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95953" name="Text Box 17" hidden="1">
          <a:extLst>
            <a:ext uri="{FF2B5EF4-FFF2-40B4-BE49-F238E27FC236}">
              <a16:creationId xmlns:a16="http://schemas.microsoft.com/office/drawing/2014/main" id="{4AFAC872-FE66-45CC-AE1B-9FA29EA3FA76}"/>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95952" name="Text Box 16" hidden="1">
          <a:extLst>
            <a:ext uri="{FF2B5EF4-FFF2-40B4-BE49-F238E27FC236}">
              <a16:creationId xmlns:a16="http://schemas.microsoft.com/office/drawing/2014/main" id="{FC2FF6BA-F342-423F-91DC-659BAD8F1716}"/>
            </a:ext>
          </a:extLst>
        </xdr:cNvPr>
        <xdr:cNvSpPr txBox="1">
          <a:spLocks noChangeArrowheads="1"/>
        </xdr:cNvSpPr>
      </xdr:nvSpPr>
      <xdr:spPr bwMode="auto">
        <a:xfrm>
          <a:off x="13792200" y="3416300"/>
          <a:ext cx="13525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24</xdr:row>
      <xdr:rowOff>114300</xdr:rowOff>
    </xdr:from>
    <xdr:to>
      <xdr:col>3</xdr:col>
      <xdr:colOff>609600</xdr:colOff>
      <xdr:row>28</xdr:row>
      <xdr:rowOff>152400</xdr:rowOff>
    </xdr:to>
    <xdr:sp macro="" textlink="">
      <xdr:nvSpPr>
        <xdr:cNvPr id="295951" name="Text Box 15" hidden="1">
          <a:extLst>
            <a:ext uri="{FF2B5EF4-FFF2-40B4-BE49-F238E27FC236}">
              <a16:creationId xmlns:a16="http://schemas.microsoft.com/office/drawing/2014/main" id="{DA422A58-A8CF-4D40-8123-40188321A1B8}"/>
            </a:ext>
          </a:extLst>
        </xdr:cNvPr>
        <xdr:cNvSpPr txBox="1">
          <a:spLocks noChangeArrowheads="1"/>
        </xdr:cNvSpPr>
      </xdr:nvSpPr>
      <xdr:spPr bwMode="auto">
        <a:xfrm>
          <a:off x="4311650" y="45212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95964" name="Text Box 28" hidden="1">
          <a:extLst>
            <a:ext uri="{FF2B5EF4-FFF2-40B4-BE49-F238E27FC236}">
              <a16:creationId xmlns:a16="http://schemas.microsoft.com/office/drawing/2014/main" id="{07790349-9075-4DAF-A43F-89D366BE94A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95963" name="Text Box 27" hidden="1">
          <a:extLst>
            <a:ext uri="{FF2B5EF4-FFF2-40B4-BE49-F238E27FC236}">
              <a16:creationId xmlns:a16="http://schemas.microsoft.com/office/drawing/2014/main" id="{E786916D-8441-47BC-9F3B-766F77CB6AF8}"/>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95962" name="Text Box 26" hidden="1">
          <a:extLst>
            <a:ext uri="{FF2B5EF4-FFF2-40B4-BE49-F238E27FC236}">
              <a16:creationId xmlns:a16="http://schemas.microsoft.com/office/drawing/2014/main" id="{C5B50B6D-F040-4F29-82E6-0A31907B6946}"/>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95961" name="Text Box 25" hidden="1">
          <a:extLst>
            <a:ext uri="{FF2B5EF4-FFF2-40B4-BE49-F238E27FC236}">
              <a16:creationId xmlns:a16="http://schemas.microsoft.com/office/drawing/2014/main" id="{F51E5377-DDDE-4F51-92E8-21C0DA8E3A8D}"/>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95960" name="Text Box 24" hidden="1">
          <a:extLst>
            <a:ext uri="{FF2B5EF4-FFF2-40B4-BE49-F238E27FC236}">
              <a16:creationId xmlns:a16="http://schemas.microsoft.com/office/drawing/2014/main" id="{C703E4A6-9E25-4D04-972D-57FA69433225}"/>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95959" name="Text Box 23" hidden="1">
          <a:extLst>
            <a:ext uri="{FF2B5EF4-FFF2-40B4-BE49-F238E27FC236}">
              <a16:creationId xmlns:a16="http://schemas.microsoft.com/office/drawing/2014/main" id="{12CD0997-6DD6-4FAB-ADDB-83A7678A0821}"/>
            </a:ext>
          </a:extLst>
        </xdr:cNvPr>
        <xdr:cNvSpPr txBox="1">
          <a:spLocks noChangeArrowheads="1"/>
        </xdr:cNvSpPr>
      </xdr:nvSpPr>
      <xdr:spPr bwMode="auto">
        <a:xfrm>
          <a:off x="13792200" y="3416300"/>
          <a:ext cx="13525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295958" name="Text Box 22" hidden="1">
          <a:extLst>
            <a:ext uri="{FF2B5EF4-FFF2-40B4-BE49-F238E27FC236}">
              <a16:creationId xmlns:a16="http://schemas.microsoft.com/office/drawing/2014/main" id="{323A8572-BA11-41EB-AEA5-0ED70BF735C6}"/>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95971" name="Text Box 35" hidden="1">
          <a:extLst>
            <a:ext uri="{FF2B5EF4-FFF2-40B4-BE49-F238E27FC236}">
              <a16:creationId xmlns:a16="http://schemas.microsoft.com/office/drawing/2014/main" id="{EDC7B370-07FA-4217-8E9A-F68039133C32}"/>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95970" name="Text Box 34" hidden="1">
          <a:extLst>
            <a:ext uri="{FF2B5EF4-FFF2-40B4-BE49-F238E27FC236}">
              <a16:creationId xmlns:a16="http://schemas.microsoft.com/office/drawing/2014/main" id="{C5E75BA1-63C9-496F-ABE3-6D8FF467D03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95969" name="Text Box 33" hidden="1">
          <a:extLst>
            <a:ext uri="{FF2B5EF4-FFF2-40B4-BE49-F238E27FC236}">
              <a16:creationId xmlns:a16="http://schemas.microsoft.com/office/drawing/2014/main" id="{DC7CBC6F-598C-4FA0-B12B-F4BFF43F8337}"/>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95968" name="Text Box 32" hidden="1">
          <a:extLst>
            <a:ext uri="{FF2B5EF4-FFF2-40B4-BE49-F238E27FC236}">
              <a16:creationId xmlns:a16="http://schemas.microsoft.com/office/drawing/2014/main" id="{9FEC78B4-40E2-41B9-B74C-CA0E75B2BF6A}"/>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95967" name="Text Box 31" hidden="1">
          <a:extLst>
            <a:ext uri="{FF2B5EF4-FFF2-40B4-BE49-F238E27FC236}">
              <a16:creationId xmlns:a16="http://schemas.microsoft.com/office/drawing/2014/main" id="{7A2608E9-F2CE-4175-8C8D-FA164EFF04B3}"/>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95966" name="Text Box 30" hidden="1">
          <a:extLst>
            <a:ext uri="{FF2B5EF4-FFF2-40B4-BE49-F238E27FC236}">
              <a16:creationId xmlns:a16="http://schemas.microsoft.com/office/drawing/2014/main" id="{D77672D6-8958-4953-A3C4-4F14FAF149BD}"/>
            </a:ext>
          </a:extLst>
        </xdr:cNvPr>
        <xdr:cNvSpPr txBox="1">
          <a:spLocks noChangeArrowheads="1"/>
        </xdr:cNvSpPr>
      </xdr:nvSpPr>
      <xdr:spPr bwMode="auto">
        <a:xfrm>
          <a:off x="13277850" y="3467100"/>
          <a:ext cx="12858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295965" name="Text Box 29" hidden="1">
          <a:extLst>
            <a:ext uri="{FF2B5EF4-FFF2-40B4-BE49-F238E27FC236}">
              <a16:creationId xmlns:a16="http://schemas.microsoft.com/office/drawing/2014/main" id="{D2A5A4BA-7758-47CC-BE4D-2E642E6AC431}"/>
            </a:ext>
          </a:extLst>
        </xdr:cNvPr>
        <xdr:cNvSpPr txBox="1">
          <a:spLocks noChangeArrowheads="1"/>
        </xdr:cNvSpPr>
      </xdr:nvSpPr>
      <xdr:spPr bwMode="auto">
        <a:xfrm>
          <a:off x="4133850" y="46101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7.xml><?xml version="1.0" encoding="utf-8"?>
<xdr:wsDr xmlns:xdr="http://schemas.openxmlformats.org/drawingml/2006/spreadsheetDrawing" xmlns:a="http://schemas.openxmlformats.org/drawingml/2006/main">
  <xdr:twoCellAnchor editAs="absolute">
    <xdr:from>
      <xdr:col>1</xdr:col>
      <xdr:colOff>1742984</xdr:colOff>
      <xdr:row>12</xdr:row>
      <xdr:rowOff>263737</xdr:rowOff>
    </xdr:from>
    <xdr:to>
      <xdr:col>3</xdr:col>
      <xdr:colOff>485412</xdr:colOff>
      <xdr:row>15</xdr:row>
      <xdr:rowOff>187537</xdr:rowOff>
    </xdr:to>
    <xdr:sp macro="" textlink="">
      <xdr:nvSpPr>
        <xdr:cNvPr id="159745" name="Text Box 1" hidden="1">
          <a:extLst>
            <a:ext uri="{FF2B5EF4-FFF2-40B4-BE49-F238E27FC236}">
              <a16:creationId xmlns:a16="http://schemas.microsoft.com/office/drawing/2014/main" id="{BC54E1BE-977C-4357-BE8C-6D1DB59C9060}"/>
            </a:ext>
          </a:extLst>
        </xdr:cNvPr>
        <xdr:cNvSpPr txBox="1">
          <a:spLocks noChangeArrowheads="1"/>
        </xdr:cNvSpPr>
      </xdr:nvSpPr>
      <xdr:spPr bwMode="auto">
        <a:xfrm>
          <a:off x="2583180" y="4328160"/>
          <a:ext cx="1661160" cy="6324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1742984</xdr:colOff>
      <xdr:row>12</xdr:row>
      <xdr:rowOff>263737</xdr:rowOff>
    </xdr:from>
    <xdr:to>
      <xdr:col>3</xdr:col>
      <xdr:colOff>485412</xdr:colOff>
      <xdr:row>15</xdr:row>
      <xdr:rowOff>187537</xdr:rowOff>
    </xdr:to>
    <xdr:sp macro="" textlink="">
      <xdr:nvSpPr>
        <xdr:cNvPr id="254977" name="Text Box 1" hidden="1">
          <a:extLst>
            <a:ext uri="{FF2B5EF4-FFF2-40B4-BE49-F238E27FC236}">
              <a16:creationId xmlns:a16="http://schemas.microsoft.com/office/drawing/2014/main" id="{6E659D6B-F68E-4A42-AB35-1798F1D83432}"/>
            </a:ext>
          </a:extLst>
        </xdr:cNvPr>
        <xdr:cNvSpPr txBox="1">
          <a:spLocks noChangeArrowheads="1"/>
        </xdr:cNvSpPr>
      </xdr:nvSpPr>
      <xdr:spPr bwMode="auto">
        <a:xfrm>
          <a:off x="2505075" y="4400550"/>
          <a:ext cx="1600200" cy="638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218864</xdr:rowOff>
    </xdr:from>
    <xdr:to>
      <xdr:col>4</xdr:col>
      <xdr:colOff>0</xdr:colOff>
      <xdr:row>15</xdr:row>
      <xdr:rowOff>145838</xdr:rowOff>
    </xdr:to>
    <xdr:sp macro="" textlink="">
      <xdr:nvSpPr>
        <xdr:cNvPr id="254983" name="Text Box 7" hidden="1">
          <a:extLst>
            <a:ext uri="{FF2B5EF4-FFF2-40B4-BE49-F238E27FC236}">
              <a16:creationId xmlns:a16="http://schemas.microsoft.com/office/drawing/2014/main" id="{12B79786-25D3-41B0-B836-4BE41BE32A66}"/>
            </a:ext>
          </a:extLst>
        </xdr:cNvPr>
        <xdr:cNvSpPr txBox="1">
          <a:spLocks noChangeArrowheads="1"/>
        </xdr:cNvSpPr>
      </xdr:nvSpPr>
      <xdr:spPr bwMode="auto">
        <a:xfrm>
          <a:off x="3028950" y="4352925"/>
          <a:ext cx="1371600" cy="6572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218864</xdr:rowOff>
    </xdr:from>
    <xdr:to>
      <xdr:col>4</xdr:col>
      <xdr:colOff>0</xdr:colOff>
      <xdr:row>15</xdr:row>
      <xdr:rowOff>145838</xdr:rowOff>
    </xdr:to>
    <xdr:sp macro="" textlink="">
      <xdr:nvSpPr>
        <xdr:cNvPr id="254984" name="Text Box 8" hidden="1">
          <a:extLst>
            <a:ext uri="{FF2B5EF4-FFF2-40B4-BE49-F238E27FC236}">
              <a16:creationId xmlns:a16="http://schemas.microsoft.com/office/drawing/2014/main" id="{2EFA3C81-D9E8-43CC-BC32-A8A5BD689757}"/>
            </a:ext>
          </a:extLst>
        </xdr:cNvPr>
        <xdr:cNvSpPr txBox="1">
          <a:spLocks noChangeArrowheads="1"/>
        </xdr:cNvSpPr>
      </xdr:nvSpPr>
      <xdr:spPr bwMode="auto">
        <a:xfrm>
          <a:off x="3028950" y="4352925"/>
          <a:ext cx="1371600"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218864</xdr:rowOff>
    </xdr:from>
    <xdr:to>
      <xdr:col>4</xdr:col>
      <xdr:colOff>0</xdr:colOff>
      <xdr:row>15</xdr:row>
      <xdr:rowOff>145838</xdr:rowOff>
    </xdr:to>
    <xdr:sp macro="" textlink="">
      <xdr:nvSpPr>
        <xdr:cNvPr id="254985" name="Text Box 9" hidden="1">
          <a:extLst>
            <a:ext uri="{FF2B5EF4-FFF2-40B4-BE49-F238E27FC236}">
              <a16:creationId xmlns:a16="http://schemas.microsoft.com/office/drawing/2014/main" id="{4C0B898D-7FD7-4662-B8AB-AA379418E244}"/>
            </a:ext>
          </a:extLst>
        </xdr:cNvPr>
        <xdr:cNvSpPr txBox="1">
          <a:spLocks noChangeArrowheads="1"/>
        </xdr:cNvSpPr>
      </xdr:nvSpPr>
      <xdr:spPr bwMode="auto">
        <a:xfrm>
          <a:off x="3116580" y="4290060"/>
          <a:ext cx="1432560" cy="6629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190924</xdr:rowOff>
    </xdr:from>
    <xdr:to>
      <xdr:col>4</xdr:col>
      <xdr:colOff>0</xdr:colOff>
      <xdr:row>15</xdr:row>
      <xdr:rowOff>145838</xdr:rowOff>
    </xdr:to>
    <xdr:sp macro="" textlink="">
      <xdr:nvSpPr>
        <xdr:cNvPr id="254986" name="Text Box 10" hidden="1">
          <a:extLst>
            <a:ext uri="{FF2B5EF4-FFF2-40B4-BE49-F238E27FC236}">
              <a16:creationId xmlns:a16="http://schemas.microsoft.com/office/drawing/2014/main" id="{9AE26B22-D588-4457-95D8-D09286F22483}"/>
            </a:ext>
          </a:extLst>
        </xdr:cNvPr>
        <xdr:cNvSpPr txBox="1">
          <a:spLocks noChangeArrowheads="1"/>
        </xdr:cNvSpPr>
      </xdr:nvSpPr>
      <xdr:spPr bwMode="auto">
        <a:xfrm>
          <a:off x="3116580" y="4282440"/>
          <a:ext cx="1432560" cy="6629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180764</xdr:rowOff>
    </xdr:from>
    <xdr:to>
      <xdr:col>4</xdr:col>
      <xdr:colOff>0</xdr:colOff>
      <xdr:row>15</xdr:row>
      <xdr:rowOff>145838</xdr:rowOff>
    </xdr:to>
    <xdr:sp macro="" textlink="">
      <xdr:nvSpPr>
        <xdr:cNvPr id="254987" name="Text Box 11" hidden="1">
          <a:extLst>
            <a:ext uri="{FF2B5EF4-FFF2-40B4-BE49-F238E27FC236}">
              <a16:creationId xmlns:a16="http://schemas.microsoft.com/office/drawing/2014/main" id="{D06A8E9F-DD2B-4A89-8116-0F75F9FBCAB7}"/>
            </a:ext>
          </a:extLst>
        </xdr:cNvPr>
        <xdr:cNvSpPr txBox="1">
          <a:spLocks noChangeArrowheads="1"/>
        </xdr:cNvSpPr>
      </xdr:nvSpPr>
      <xdr:spPr bwMode="auto">
        <a:xfrm>
          <a:off x="3028950" y="4333875"/>
          <a:ext cx="1371600" cy="666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88" name="Text Box 12" hidden="1">
          <a:extLst>
            <a:ext uri="{FF2B5EF4-FFF2-40B4-BE49-F238E27FC236}">
              <a16:creationId xmlns:a16="http://schemas.microsoft.com/office/drawing/2014/main" id="{1D62F115-3133-44C6-AF58-5F0199EA47B2}"/>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89" name="Text Box 13" hidden="1">
          <a:extLst>
            <a:ext uri="{FF2B5EF4-FFF2-40B4-BE49-F238E27FC236}">
              <a16:creationId xmlns:a16="http://schemas.microsoft.com/office/drawing/2014/main" id="{64F53FB9-29E6-4F60-B163-17AA0D932941}"/>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90" name="Text Box 14" hidden="1">
          <a:extLst>
            <a:ext uri="{FF2B5EF4-FFF2-40B4-BE49-F238E27FC236}">
              <a16:creationId xmlns:a16="http://schemas.microsoft.com/office/drawing/2014/main" id="{77EF7484-A443-4978-B67F-7FD01FE1B7FE}"/>
            </a:ext>
          </a:extLst>
        </xdr:cNvPr>
        <xdr:cNvSpPr txBox="1">
          <a:spLocks noChangeArrowheads="1"/>
        </xdr:cNvSpPr>
      </xdr:nvSpPr>
      <xdr:spPr bwMode="auto">
        <a:xfrm>
          <a:off x="3116580" y="4602480"/>
          <a:ext cx="1432560" cy="792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91" name="Text Box 15" hidden="1">
          <a:extLst>
            <a:ext uri="{FF2B5EF4-FFF2-40B4-BE49-F238E27FC236}">
              <a16:creationId xmlns:a16="http://schemas.microsoft.com/office/drawing/2014/main" id="{37396FA4-03EC-48AB-9E6E-5CE4048A7BC0}"/>
            </a:ext>
          </a:extLst>
        </xdr:cNvPr>
        <xdr:cNvSpPr txBox="1">
          <a:spLocks noChangeArrowheads="1"/>
        </xdr:cNvSpPr>
      </xdr:nvSpPr>
      <xdr:spPr bwMode="auto">
        <a:xfrm>
          <a:off x="3116580" y="4602480"/>
          <a:ext cx="1432560" cy="792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92" name="Text Box 16" hidden="1">
          <a:extLst>
            <a:ext uri="{FF2B5EF4-FFF2-40B4-BE49-F238E27FC236}">
              <a16:creationId xmlns:a16="http://schemas.microsoft.com/office/drawing/2014/main" id="{0116FCBA-0697-45F4-9858-99156A110324}"/>
            </a:ext>
          </a:extLst>
        </xdr:cNvPr>
        <xdr:cNvSpPr txBox="1">
          <a:spLocks noChangeArrowheads="1"/>
        </xdr:cNvSpPr>
      </xdr:nvSpPr>
      <xdr:spPr bwMode="auto">
        <a:xfrm>
          <a:off x="3116580" y="4602480"/>
          <a:ext cx="1432560" cy="792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93" name="Text Box 17" hidden="1">
          <a:extLst>
            <a:ext uri="{FF2B5EF4-FFF2-40B4-BE49-F238E27FC236}">
              <a16:creationId xmlns:a16="http://schemas.microsoft.com/office/drawing/2014/main" id="{FB801DF9-907F-4280-ACC3-28BBE3B78A24}"/>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94" name="Text Box 18" hidden="1">
          <a:extLst>
            <a:ext uri="{FF2B5EF4-FFF2-40B4-BE49-F238E27FC236}">
              <a16:creationId xmlns:a16="http://schemas.microsoft.com/office/drawing/2014/main" id="{959FF662-5399-45FE-9CF6-C62B329FB196}"/>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23</xdr:row>
      <xdr:rowOff>159808</xdr:rowOff>
    </xdr:from>
    <xdr:to>
      <xdr:col>4</xdr:col>
      <xdr:colOff>0</xdr:colOff>
      <xdr:row>30</xdr:row>
      <xdr:rowOff>10230</xdr:rowOff>
    </xdr:to>
    <xdr:sp macro="" textlink="">
      <xdr:nvSpPr>
        <xdr:cNvPr id="254995" name="Text Box 19" hidden="1">
          <a:extLst>
            <a:ext uri="{FF2B5EF4-FFF2-40B4-BE49-F238E27FC236}">
              <a16:creationId xmlns:a16="http://schemas.microsoft.com/office/drawing/2014/main" id="{3576AA5F-EA4E-4643-97E0-779CC4C397AD}"/>
            </a:ext>
          </a:extLst>
        </xdr:cNvPr>
        <xdr:cNvSpPr txBox="1">
          <a:spLocks noChangeArrowheads="1"/>
        </xdr:cNvSpPr>
      </xdr:nvSpPr>
      <xdr:spPr bwMode="auto">
        <a:xfrm>
          <a:off x="3028950" y="7077075"/>
          <a:ext cx="1371600" cy="1438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23</xdr:row>
      <xdr:rowOff>159808</xdr:rowOff>
    </xdr:from>
    <xdr:to>
      <xdr:col>4</xdr:col>
      <xdr:colOff>0</xdr:colOff>
      <xdr:row>30</xdr:row>
      <xdr:rowOff>10230</xdr:rowOff>
    </xdr:to>
    <xdr:sp macro="" textlink="">
      <xdr:nvSpPr>
        <xdr:cNvPr id="254996" name="Text Box 20" hidden="1">
          <a:extLst>
            <a:ext uri="{FF2B5EF4-FFF2-40B4-BE49-F238E27FC236}">
              <a16:creationId xmlns:a16="http://schemas.microsoft.com/office/drawing/2014/main" id="{5E0C705F-1F71-409E-8333-D9539325E5E4}"/>
            </a:ext>
          </a:extLst>
        </xdr:cNvPr>
        <xdr:cNvSpPr txBox="1">
          <a:spLocks noChangeArrowheads="1"/>
        </xdr:cNvSpPr>
      </xdr:nvSpPr>
      <xdr:spPr bwMode="auto">
        <a:xfrm>
          <a:off x="3130550" y="7099300"/>
          <a:ext cx="1371600" cy="1428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102659</xdr:rowOff>
    </xdr:to>
    <xdr:sp macro="" textlink="">
      <xdr:nvSpPr>
        <xdr:cNvPr id="254997" name="Text Box 21" hidden="1">
          <a:extLst>
            <a:ext uri="{FF2B5EF4-FFF2-40B4-BE49-F238E27FC236}">
              <a16:creationId xmlns:a16="http://schemas.microsoft.com/office/drawing/2014/main" id="{8EEA13B3-0E0F-4912-A2A1-A987DFDFD63D}"/>
            </a:ext>
          </a:extLst>
        </xdr:cNvPr>
        <xdr:cNvSpPr txBox="1">
          <a:spLocks noChangeArrowheads="1"/>
        </xdr:cNvSpPr>
      </xdr:nvSpPr>
      <xdr:spPr bwMode="auto">
        <a:xfrm>
          <a:off x="3130550" y="6229350"/>
          <a:ext cx="1371600" cy="1435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4998" name="Text Box 22" hidden="1">
          <a:extLst>
            <a:ext uri="{FF2B5EF4-FFF2-40B4-BE49-F238E27FC236}">
              <a16:creationId xmlns:a16="http://schemas.microsoft.com/office/drawing/2014/main" id="{BD3B9FD5-B9A1-49B0-A619-308F092A3E55}"/>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4999" name="Text Box 23" hidden="1">
          <a:extLst>
            <a:ext uri="{FF2B5EF4-FFF2-40B4-BE49-F238E27FC236}">
              <a16:creationId xmlns:a16="http://schemas.microsoft.com/office/drawing/2014/main" id="{C638D3B4-3F3D-4C40-A1CB-9F43E24A0B6A}"/>
            </a:ext>
          </a:extLst>
        </xdr:cNvPr>
        <xdr:cNvSpPr txBox="1">
          <a:spLocks noChangeArrowheads="1"/>
        </xdr:cNvSpPr>
      </xdr:nvSpPr>
      <xdr:spPr bwMode="auto">
        <a:xfrm>
          <a:off x="3136900" y="6229350"/>
          <a:ext cx="1371600" cy="1416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0" name="Text Box 24" hidden="1">
          <a:extLst>
            <a:ext uri="{FF2B5EF4-FFF2-40B4-BE49-F238E27FC236}">
              <a16:creationId xmlns:a16="http://schemas.microsoft.com/office/drawing/2014/main" id="{A7AA7EB7-DA35-475E-AC06-E9BBDE52E202}"/>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3" name="Text Box 27" hidden="1">
          <a:extLst>
            <a:ext uri="{FF2B5EF4-FFF2-40B4-BE49-F238E27FC236}">
              <a16:creationId xmlns:a16="http://schemas.microsoft.com/office/drawing/2014/main" id="{D6DE205F-8B29-41B0-B341-096D1181ED5D}"/>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2" name="Text Box 26" hidden="1">
          <a:extLst>
            <a:ext uri="{FF2B5EF4-FFF2-40B4-BE49-F238E27FC236}">
              <a16:creationId xmlns:a16="http://schemas.microsoft.com/office/drawing/2014/main" id="{CDE98A1E-ACF1-4638-A8B9-072AD64442F6}"/>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1" name="Text Box 25" hidden="1">
          <a:extLst>
            <a:ext uri="{FF2B5EF4-FFF2-40B4-BE49-F238E27FC236}">
              <a16:creationId xmlns:a16="http://schemas.microsoft.com/office/drawing/2014/main" id="{836FFB0E-5233-4646-BBA0-4598AC4C6AD5}"/>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6" name="Text Box 30" hidden="1">
          <a:extLst>
            <a:ext uri="{FF2B5EF4-FFF2-40B4-BE49-F238E27FC236}">
              <a16:creationId xmlns:a16="http://schemas.microsoft.com/office/drawing/2014/main" id="{F736C49D-52AE-4347-B120-79B2A5A17E56}"/>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5" name="Text Box 29" hidden="1">
          <a:extLst>
            <a:ext uri="{FF2B5EF4-FFF2-40B4-BE49-F238E27FC236}">
              <a16:creationId xmlns:a16="http://schemas.microsoft.com/office/drawing/2014/main" id="{7E25F268-8D34-4975-8DF5-C1714606D176}"/>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4" name="Text Box 28" hidden="1">
          <a:extLst>
            <a:ext uri="{FF2B5EF4-FFF2-40B4-BE49-F238E27FC236}">
              <a16:creationId xmlns:a16="http://schemas.microsoft.com/office/drawing/2014/main" id="{15FF75B6-1A5A-4ED4-9DF8-7C05A3CE9701}"/>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7" name="Text Box 31" hidden="1">
          <a:extLst>
            <a:ext uri="{FF2B5EF4-FFF2-40B4-BE49-F238E27FC236}">
              <a16:creationId xmlns:a16="http://schemas.microsoft.com/office/drawing/2014/main" id="{4BC83042-89D7-4585-A8F1-BF72E1DB0326}"/>
            </a:ext>
          </a:extLst>
        </xdr:cNvPr>
        <xdr:cNvSpPr txBox="1">
          <a:spLocks noChangeArrowheads="1"/>
        </xdr:cNvSpPr>
      </xdr:nvSpPr>
      <xdr:spPr bwMode="auto">
        <a:xfrm>
          <a:off x="3028950" y="62388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8" name="Text Box 32" hidden="1">
          <a:extLst>
            <a:ext uri="{FF2B5EF4-FFF2-40B4-BE49-F238E27FC236}">
              <a16:creationId xmlns:a16="http://schemas.microsoft.com/office/drawing/2014/main" id="{6157CAE3-C247-46D4-BC7A-FF01A72C9EAD}"/>
            </a:ext>
          </a:extLst>
        </xdr:cNvPr>
        <xdr:cNvSpPr txBox="1">
          <a:spLocks noChangeArrowheads="1"/>
        </xdr:cNvSpPr>
      </xdr:nvSpPr>
      <xdr:spPr bwMode="auto">
        <a:xfrm>
          <a:off x="311658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9" name="Text Box 33" hidden="1">
          <a:extLst>
            <a:ext uri="{FF2B5EF4-FFF2-40B4-BE49-F238E27FC236}">
              <a16:creationId xmlns:a16="http://schemas.microsoft.com/office/drawing/2014/main" id="{81D44EF4-4AE9-4976-891A-8530E38A9FAA}"/>
            </a:ext>
          </a:extLst>
        </xdr:cNvPr>
        <xdr:cNvSpPr txBox="1">
          <a:spLocks noChangeArrowheads="1"/>
        </xdr:cNvSpPr>
      </xdr:nvSpPr>
      <xdr:spPr bwMode="auto">
        <a:xfrm>
          <a:off x="3028950" y="62388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10" name="Text Box 34" hidden="1">
          <a:extLst>
            <a:ext uri="{FF2B5EF4-FFF2-40B4-BE49-F238E27FC236}">
              <a16:creationId xmlns:a16="http://schemas.microsoft.com/office/drawing/2014/main" id="{16912E82-7D9F-4F03-894F-2D060BEB030C}"/>
            </a:ext>
          </a:extLst>
        </xdr:cNvPr>
        <xdr:cNvSpPr txBox="1">
          <a:spLocks noChangeArrowheads="1"/>
        </xdr:cNvSpPr>
      </xdr:nvSpPr>
      <xdr:spPr bwMode="auto">
        <a:xfrm>
          <a:off x="3136900" y="6229350"/>
          <a:ext cx="1371600" cy="1416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11" name="Text Box 35" hidden="1">
          <a:extLst>
            <a:ext uri="{FF2B5EF4-FFF2-40B4-BE49-F238E27FC236}">
              <a16:creationId xmlns:a16="http://schemas.microsoft.com/office/drawing/2014/main" id="{73B3882F-B4AC-4184-A1CA-789FE50C7A7B}"/>
            </a:ext>
          </a:extLst>
        </xdr:cNvPr>
        <xdr:cNvSpPr txBox="1">
          <a:spLocks noChangeArrowheads="1"/>
        </xdr:cNvSpPr>
      </xdr:nvSpPr>
      <xdr:spPr bwMode="auto">
        <a:xfrm>
          <a:off x="3038475" y="62388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0</xdr:rowOff>
    </xdr:from>
    <xdr:to>
      <xdr:col>4</xdr:col>
      <xdr:colOff>0</xdr:colOff>
      <xdr:row>19</xdr:row>
      <xdr:rowOff>135466</xdr:rowOff>
    </xdr:to>
    <xdr:sp macro="" textlink="">
      <xdr:nvSpPr>
        <xdr:cNvPr id="255012" name="Text Box 36" hidden="1">
          <a:extLst>
            <a:ext uri="{FF2B5EF4-FFF2-40B4-BE49-F238E27FC236}">
              <a16:creationId xmlns:a16="http://schemas.microsoft.com/office/drawing/2014/main" id="{EE97BB65-50BB-493B-AD63-DED731F83399}"/>
            </a:ext>
          </a:extLst>
        </xdr:cNvPr>
        <xdr:cNvSpPr txBox="1">
          <a:spLocks noChangeArrowheads="1"/>
        </xdr:cNvSpPr>
      </xdr:nvSpPr>
      <xdr:spPr bwMode="auto">
        <a:xfrm>
          <a:off x="3038475" y="46767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55013" name="Text Box 37" hidden="1">
          <a:extLst>
            <a:ext uri="{FF2B5EF4-FFF2-40B4-BE49-F238E27FC236}">
              <a16:creationId xmlns:a16="http://schemas.microsoft.com/office/drawing/2014/main" id="{CE833010-E69E-4B80-B461-4A01B33351E1}"/>
            </a:ext>
          </a:extLst>
        </xdr:cNvPr>
        <xdr:cNvSpPr txBox="1">
          <a:spLocks noChangeArrowheads="1"/>
        </xdr:cNvSpPr>
      </xdr:nvSpPr>
      <xdr:spPr bwMode="auto">
        <a:xfrm>
          <a:off x="15316200" y="3724275"/>
          <a:ext cx="12954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16</xdr:row>
      <xdr:rowOff>323850</xdr:rowOff>
    </xdr:from>
    <xdr:to>
      <xdr:col>3</xdr:col>
      <xdr:colOff>609600</xdr:colOff>
      <xdr:row>19</xdr:row>
      <xdr:rowOff>306916</xdr:rowOff>
    </xdr:to>
    <xdr:sp macro="" textlink="">
      <xdr:nvSpPr>
        <xdr:cNvPr id="255014" name="Text Box 38" hidden="1">
          <a:extLst>
            <a:ext uri="{FF2B5EF4-FFF2-40B4-BE49-F238E27FC236}">
              <a16:creationId xmlns:a16="http://schemas.microsoft.com/office/drawing/2014/main" id="{EF6913EB-1B76-4A39-B8B6-F3106D8CE9D4}"/>
            </a:ext>
          </a:extLst>
        </xdr:cNvPr>
        <xdr:cNvSpPr txBox="1">
          <a:spLocks noChangeArrowheads="1"/>
        </xdr:cNvSpPr>
      </xdr:nvSpPr>
      <xdr:spPr bwMode="auto">
        <a:xfrm>
          <a:off x="2981325" y="550545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1059</xdr:rowOff>
    </xdr:from>
    <xdr:to>
      <xdr:col>4</xdr:col>
      <xdr:colOff>0</xdr:colOff>
      <xdr:row>19</xdr:row>
      <xdr:rowOff>133350</xdr:rowOff>
    </xdr:to>
    <xdr:sp macro="" textlink="">
      <xdr:nvSpPr>
        <xdr:cNvPr id="296963" name="Text Box 3" hidden="1">
          <a:extLst>
            <a:ext uri="{FF2B5EF4-FFF2-40B4-BE49-F238E27FC236}">
              <a16:creationId xmlns:a16="http://schemas.microsoft.com/office/drawing/2014/main" id="{40E621B9-3D9B-46C4-AE53-A62478D34A03}"/>
            </a:ext>
          </a:extLst>
        </xdr:cNvPr>
        <xdr:cNvSpPr txBox="1">
          <a:spLocks noChangeArrowheads="1"/>
        </xdr:cNvSpPr>
      </xdr:nvSpPr>
      <xdr:spPr bwMode="auto">
        <a:xfrm>
          <a:off x="3038475" y="46767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96962" name="Text Box 2" hidden="1">
          <a:extLst>
            <a:ext uri="{FF2B5EF4-FFF2-40B4-BE49-F238E27FC236}">
              <a16:creationId xmlns:a16="http://schemas.microsoft.com/office/drawing/2014/main" id="{0B30606B-8BCD-42C9-8C02-6446EC1E8491}"/>
            </a:ext>
          </a:extLst>
        </xdr:cNvPr>
        <xdr:cNvSpPr txBox="1">
          <a:spLocks noChangeArrowheads="1"/>
        </xdr:cNvSpPr>
      </xdr:nvSpPr>
      <xdr:spPr bwMode="auto">
        <a:xfrm>
          <a:off x="15316200" y="372427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1059</xdr:rowOff>
    </xdr:from>
    <xdr:to>
      <xdr:col>4</xdr:col>
      <xdr:colOff>0</xdr:colOff>
      <xdr:row>19</xdr:row>
      <xdr:rowOff>133350</xdr:rowOff>
    </xdr:to>
    <xdr:sp macro="" textlink="">
      <xdr:nvSpPr>
        <xdr:cNvPr id="296965" name="Text Box 5" hidden="1">
          <a:extLst>
            <a:ext uri="{FF2B5EF4-FFF2-40B4-BE49-F238E27FC236}">
              <a16:creationId xmlns:a16="http://schemas.microsoft.com/office/drawing/2014/main" id="{D47DCC58-9544-47E8-9F14-0D67DC12DD52}"/>
            </a:ext>
          </a:extLst>
        </xdr:cNvPr>
        <xdr:cNvSpPr txBox="1">
          <a:spLocks noChangeArrowheads="1"/>
        </xdr:cNvSpPr>
      </xdr:nvSpPr>
      <xdr:spPr bwMode="auto">
        <a:xfrm>
          <a:off x="3038475" y="46767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96964" name="Text Box 4" hidden="1">
          <a:extLst>
            <a:ext uri="{FF2B5EF4-FFF2-40B4-BE49-F238E27FC236}">
              <a16:creationId xmlns:a16="http://schemas.microsoft.com/office/drawing/2014/main" id="{4780371A-8DDD-4ECB-AEC0-E8D553BCA747}"/>
            </a:ext>
          </a:extLst>
        </xdr:cNvPr>
        <xdr:cNvSpPr txBox="1">
          <a:spLocks noChangeArrowheads="1"/>
        </xdr:cNvSpPr>
      </xdr:nvSpPr>
      <xdr:spPr bwMode="auto">
        <a:xfrm>
          <a:off x="15316200" y="372427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1059</xdr:rowOff>
    </xdr:from>
    <xdr:to>
      <xdr:col>4</xdr:col>
      <xdr:colOff>0</xdr:colOff>
      <xdr:row>19</xdr:row>
      <xdr:rowOff>133350</xdr:rowOff>
    </xdr:to>
    <xdr:sp macro="" textlink="">
      <xdr:nvSpPr>
        <xdr:cNvPr id="296967" name="Text Box 7" hidden="1">
          <a:extLst>
            <a:ext uri="{FF2B5EF4-FFF2-40B4-BE49-F238E27FC236}">
              <a16:creationId xmlns:a16="http://schemas.microsoft.com/office/drawing/2014/main" id="{8E133E73-CEEF-4223-994C-4DB9C8A32C5B}"/>
            </a:ext>
          </a:extLst>
        </xdr:cNvPr>
        <xdr:cNvSpPr txBox="1">
          <a:spLocks noChangeArrowheads="1"/>
        </xdr:cNvSpPr>
      </xdr:nvSpPr>
      <xdr:spPr bwMode="auto">
        <a:xfrm>
          <a:off x="3136900" y="4648200"/>
          <a:ext cx="1371600" cy="140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96966" name="Text Box 6" hidden="1">
          <a:extLst>
            <a:ext uri="{FF2B5EF4-FFF2-40B4-BE49-F238E27FC236}">
              <a16:creationId xmlns:a16="http://schemas.microsoft.com/office/drawing/2014/main" id="{557E48D0-5EB0-4178-8F3E-781C96183867}"/>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705</xdr:rowOff>
    </xdr:from>
    <xdr:to>
      <xdr:col>4</xdr:col>
      <xdr:colOff>0</xdr:colOff>
      <xdr:row>19</xdr:row>
      <xdr:rowOff>114300</xdr:rowOff>
    </xdr:to>
    <xdr:sp macro="" textlink="">
      <xdr:nvSpPr>
        <xdr:cNvPr id="296969" name="Text Box 9" hidden="1">
          <a:extLst>
            <a:ext uri="{FF2B5EF4-FFF2-40B4-BE49-F238E27FC236}">
              <a16:creationId xmlns:a16="http://schemas.microsoft.com/office/drawing/2014/main" id="{9BD90012-4133-4DEE-B49C-97EF88B8380B}"/>
            </a:ext>
          </a:extLst>
        </xdr:cNvPr>
        <xdr:cNvSpPr txBox="1">
          <a:spLocks noChangeArrowheads="1"/>
        </xdr:cNvSpPr>
      </xdr:nvSpPr>
      <xdr:spPr bwMode="auto">
        <a:xfrm>
          <a:off x="3136900" y="4648200"/>
          <a:ext cx="1371600" cy="1384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96968" name="Text Box 8" hidden="1">
          <a:extLst>
            <a:ext uri="{FF2B5EF4-FFF2-40B4-BE49-F238E27FC236}">
              <a16:creationId xmlns:a16="http://schemas.microsoft.com/office/drawing/2014/main" id="{3DD94746-1C8F-40F9-B761-574509264355}"/>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11</xdr:row>
      <xdr:rowOff>266700</xdr:rowOff>
    </xdr:from>
    <xdr:to>
      <xdr:col>24</xdr:col>
      <xdr:colOff>152400</xdr:colOff>
      <xdr:row>15</xdr:row>
      <xdr:rowOff>0</xdr:rowOff>
    </xdr:to>
    <xdr:sp macro="" textlink="">
      <xdr:nvSpPr>
        <xdr:cNvPr id="296973" name="Text Box 13" hidden="1">
          <a:extLst>
            <a:ext uri="{FF2B5EF4-FFF2-40B4-BE49-F238E27FC236}">
              <a16:creationId xmlns:a16="http://schemas.microsoft.com/office/drawing/2014/main" id="{74636BA2-EAE5-4B15-B56E-26D9869C62B9}"/>
            </a:ext>
          </a:extLst>
        </xdr:cNvPr>
        <xdr:cNvSpPr txBox="1">
          <a:spLocks noChangeArrowheads="1"/>
        </xdr:cNvSpPr>
      </xdr:nvSpPr>
      <xdr:spPr bwMode="auto">
        <a:xfrm>
          <a:off x="15894050" y="4032250"/>
          <a:ext cx="13589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182880</xdr:rowOff>
    </xdr:from>
    <xdr:to>
      <xdr:col>4</xdr:col>
      <xdr:colOff>0</xdr:colOff>
      <xdr:row>19</xdr:row>
      <xdr:rowOff>114300</xdr:rowOff>
    </xdr:to>
    <xdr:sp macro="" textlink="">
      <xdr:nvSpPr>
        <xdr:cNvPr id="296976" name="Text Box 16" hidden="1">
          <a:extLst>
            <a:ext uri="{FF2B5EF4-FFF2-40B4-BE49-F238E27FC236}">
              <a16:creationId xmlns:a16="http://schemas.microsoft.com/office/drawing/2014/main" id="{C9194B46-F472-48CF-ADC1-67AC5D58C44E}"/>
            </a:ext>
          </a:extLst>
        </xdr:cNvPr>
        <xdr:cNvSpPr txBox="1">
          <a:spLocks noChangeArrowheads="1"/>
        </xdr:cNvSpPr>
      </xdr:nvSpPr>
      <xdr:spPr bwMode="auto">
        <a:xfrm>
          <a:off x="3038475" y="4676775"/>
          <a:ext cx="1371600" cy="1400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96975" name="Text Box 15" hidden="1">
          <a:extLst>
            <a:ext uri="{FF2B5EF4-FFF2-40B4-BE49-F238E27FC236}">
              <a16:creationId xmlns:a16="http://schemas.microsoft.com/office/drawing/2014/main" id="{5096604A-7A3E-4525-A326-C791B114BB74}"/>
            </a:ext>
          </a:extLst>
        </xdr:cNvPr>
        <xdr:cNvSpPr txBox="1">
          <a:spLocks noChangeArrowheads="1"/>
        </xdr:cNvSpPr>
      </xdr:nvSpPr>
      <xdr:spPr bwMode="auto">
        <a:xfrm>
          <a:off x="15316200" y="372427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11</xdr:row>
      <xdr:rowOff>266700</xdr:rowOff>
    </xdr:from>
    <xdr:to>
      <xdr:col>24</xdr:col>
      <xdr:colOff>152400</xdr:colOff>
      <xdr:row>15</xdr:row>
      <xdr:rowOff>0</xdr:rowOff>
    </xdr:to>
    <xdr:sp macro="" textlink="">
      <xdr:nvSpPr>
        <xdr:cNvPr id="296974" name="Text Box 14" hidden="1">
          <a:extLst>
            <a:ext uri="{FF2B5EF4-FFF2-40B4-BE49-F238E27FC236}">
              <a16:creationId xmlns:a16="http://schemas.microsoft.com/office/drawing/2014/main" id="{E4879193-7B2D-4BAE-9077-6326B1BF4C98}"/>
            </a:ext>
          </a:extLst>
        </xdr:cNvPr>
        <xdr:cNvSpPr txBox="1">
          <a:spLocks noChangeArrowheads="1"/>
        </xdr:cNvSpPr>
      </xdr:nvSpPr>
      <xdr:spPr bwMode="auto">
        <a:xfrm>
          <a:off x="15316200" y="4067175"/>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11</xdr:row>
      <xdr:rowOff>285750</xdr:rowOff>
    </xdr:from>
    <xdr:to>
      <xdr:col>23</xdr:col>
      <xdr:colOff>133350</xdr:colOff>
      <xdr:row>15</xdr:row>
      <xdr:rowOff>0</xdr:rowOff>
    </xdr:to>
    <xdr:sp macro="" textlink="">
      <xdr:nvSpPr>
        <xdr:cNvPr id="296977" name="Text Box 17" hidden="1">
          <a:extLst>
            <a:ext uri="{FF2B5EF4-FFF2-40B4-BE49-F238E27FC236}">
              <a16:creationId xmlns:a16="http://schemas.microsoft.com/office/drawing/2014/main" id="{649AC6CE-314D-4A66-A00B-D02D1F4C115F}"/>
            </a:ext>
          </a:extLst>
        </xdr:cNvPr>
        <xdr:cNvSpPr txBox="1">
          <a:spLocks noChangeArrowheads="1"/>
        </xdr:cNvSpPr>
      </xdr:nvSpPr>
      <xdr:spPr bwMode="auto">
        <a:xfrm>
          <a:off x="14725650" y="40862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28</xdr:row>
      <xdr:rowOff>171450</xdr:rowOff>
    </xdr:from>
    <xdr:to>
      <xdr:col>23</xdr:col>
      <xdr:colOff>133350</xdr:colOff>
      <xdr:row>32</xdr:row>
      <xdr:rowOff>0</xdr:rowOff>
    </xdr:to>
    <xdr:sp macro="" textlink="">
      <xdr:nvSpPr>
        <xdr:cNvPr id="296978" name="Text Box 18" hidden="1">
          <a:extLst>
            <a:ext uri="{FF2B5EF4-FFF2-40B4-BE49-F238E27FC236}">
              <a16:creationId xmlns:a16="http://schemas.microsoft.com/office/drawing/2014/main" id="{8C2F162C-ABEA-4BC6-871B-E6D1CCB5CBA4}"/>
            </a:ext>
          </a:extLst>
        </xdr:cNvPr>
        <xdr:cNvSpPr txBox="1">
          <a:spLocks noChangeArrowheads="1"/>
        </xdr:cNvSpPr>
      </xdr:nvSpPr>
      <xdr:spPr bwMode="auto">
        <a:xfrm>
          <a:off x="14725650" y="8229600"/>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8.xml><?xml version="1.0" encoding="utf-8"?>
<xdr:wsDr xmlns:xdr="http://schemas.openxmlformats.org/drawingml/2006/spreadsheetDrawing" xmlns:a="http://schemas.openxmlformats.org/drawingml/2006/main">
  <xdr:twoCellAnchor editAs="absolute">
    <xdr:from>
      <xdr:col>3</xdr:col>
      <xdr:colOff>533400</xdr:colOff>
      <xdr:row>20</xdr:row>
      <xdr:rowOff>174413</xdr:rowOff>
    </xdr:from>
    <xdr:to>
      <xdr:col>6</xdr:col>
      <xdr:colOff>0</xdr:colOff>
      <xdr:row>24</xdr:row>
      <xdr:rowOff>137935</xdr:rowOff>
    </xdr:to>
    <xdr:sp macro="" textlink="">
      <xdr:nvSpPr>
        <xdr:cNvPr id="108546" name="Text Box 2" hidden="1">
          <a:extLst>
            <a:ext uri="{FF2B5EF4-FFF2-40B4-BE49-F238E27FC236}">
              <a16:creationId xmlns:a16="http://schemas.microsoft.com/office/drawing/2014/main" id="{900E1889-D4EE-4029-9358-E4D26DF5A003}"/>
            </a:ext>
          </a:extLst>
        </xdr:cNvPr>
        <xdr:cNvSpPr txBox="1">
          <a:spLocks noChangeArrowheads="1"/>
        </xdr:cNvSpPr>
      </xdr:nvSpPr>
      <xdr:spPr bwMode="auto">
        <a:xfrm>
          <a:off x="4762500" y="4312920"/>
          <a:ext cx="1272540" cy="7010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26</xdr:row>
      <xdr:rowOff>572</xdr:rowOff>
    </xdr:from>
    <xdr:to>
      <xdr:col>4</xdr:col>
      <xdr:colOff>228600</xdr:colOff>
      <xdr:row>30</xdr:row>
      <xdr:rowOff>91416</xdr:rowOff>
    </xdr:to>
    <xdr:sp macro="" textlink="">
      <xdr:nvSpPr>
        <xdr:cNvPr id="108551" name="Text Box 7" hidden="1">
          <a:extLst>
            <a:ext uri="{FF2B5EF4-FFF2-40B4-BE49-F238E27FC236}">
              <a16:creationId xmlns:a16="http://schemas.microsoft.com/office/drawing/2014/main" id="{6E178364-2A9F-41BB-B410-0297935D84D3}"/>
            </a:ext>
          </a:extLst>
        </xdr:cNvPr>
        <xdr:cNvSpPr txBox="1">
          <a:spLocks noChangeArrowheads="1"/>
        </xdr:cNvSpPr>
      </xdr:nvSpPr>
      <xdr:spPr bwMode="auto">
        <a:xfrm>
          <a:off x="3794760" y="5234940"/>
          <a:ext cx="1257300" cy="8077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533400</xdr:colOff>
      <xdr:row>20</xdr:row>
      <xdr:rowOff>174413</xdr:rowOff>
    </xdr:from>
    <xdr:to>
      <xdr:col>6</xdr:col>
      <xdr:colOff>0</xdr:colOff>
      <xdr:row>24</xdr:row>
      <xdr:rowOff>137935</xdr:rowOff>
    </xdr:to>
    <xdr:sp macro="" textlink="">
      <xdr:nvSpPr>
        <xdr:cNvPr id="256002" name="Text Box 2" hidden="1">
          <a:extLst>
            <a:ext uri="{FF2B5EF4-FFF2-40B4-BE49-F238E27FC236}">
              <a16:creationId xmlns:a16="http://schemas.microsoft.com/office/drawing/2014/main" id="{3BCD75F0-92D3-4413-9A62-3F2B2595D15F}"/>
            </a:ext>
          </a:extLst>
        </xdr:cNvPr>
        <xdr:cNvSpPr txBox="1">
          <a:spLocks noChangeArrowheads="1"/>
        </xdr:cNvSpPr>
      </xdr:nvSpPr>
      <xdr:spPr bwMode="auto">
        <a:xfrm>
          <a:off x="4638675" y="4457700"/>
          <a:ext cx="1228725"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26</xdr:row>
      <xdr:rowOff>572</xdr:rowOff>
    </xdr:from>
    <xdr:to>
      <xdr:col>4</xdr:col>
      <xdr:colOff>228600</xdr:colOff>
      <xdr:row>30</xdr:row>
      <xdr:rowOff>91416</xdr:rowOff>
    </xdr:to>
    <xdr:sp macro="" textlink="">
      <xdr:nvSpPr>
        <xdr:cNvPr id="256001" name="Text Box 1" hidden="1">
          <a:extLst>
            <a:ext uri="{FF2B5EF4-FFF2-40B4-BE49-F238E27FC236}">
              <a16:creationId xmlns:a16="http://schemas.microsoft.com/office/drawing/2014/main" id="{F2A004A8-8BFB-49A9-BCB6-B57380CB3CBF}"/>
            </a:ext>
          </a:extLst>
        </xdr:cNvPr>
        <xdr:cNvSpPr txBox="1">
          <a:spLocks noChangeArrowheads="1"/>
        </xdr:cNvSpPr>
      </xdr:nvSpPr>
      <xdr:spPr bwMode="auto">
        <a:xfrm>
          <a:off x="3686175" y="5400675"/>
          <a:ext cx="122872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142240</xdr:colOff>
      <xdr:row>22</xdr:row>
      <xdr:rowOff>8466</xdr:rowOff>
    </xdr:from>
    <xdr:to>
      <xdr:col>4</xdr:col>
      <xdr:colOff>447040</xdr:colOff>
      <xdr:row>26</xdr:row>
      <xdr:rowOff>45578</xdr:rowOff>
    </xdr:to>
    <xdr:sp macro="" textlink="">
      <xdr:nvSpPr>
        <xdr:cNvPr id="256005" name="Text Box 5" hidden="1">
          <a:extLst>
            <a:ext uri="{FF2B5EF4-FFF2-40B4-BE49-F238E27FC236}">
              <a16:creationId xmlns:a16="http://schemas.microsoft.com/office/drawing/2014/main" id="{328A59C4-6FDA-4AD2-BE7A-25E8C6DC11B5}"/>
            </a:ext>
          </a:extLst>
        </xdr:cNvPr>
        <xdr:cNvSpPr txBox="1">
          <a:spLocks noChangeArrowheads="1"/>
        </xdr:cNvSpPr>
      </xdr:nvSpPr>
      <xdr:spPr bwMode="auto">
        <a:xfrm>
          <a:off x="3752850" y="4695825"/>
          <a:ext cx="137160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142240</xdr:colOff>
      <xdr:row>19</xdr:row>
      <xdr:rowOff>106962</xdr:rowOff>
    </xdr:from>
    <xdr:to>
      <xdr:col>4</xdr:col>
      <xdr:colOff>447040</xdr:colOff>
      <xdr:row>21</xdr:row>
      <xdr:rowOff>91722</xdr:rowOff>
    </xdr:to>
    <xdr:sp macro="" textlink="">
      <xdr:nvSpPr>
        <xdr:cNvPr id="256006" name="Text Box 6" hidden="1">
          <a:extLst>
            <a:ext uri="{FF2B5EF4-FFF2-40B4-BE49-F238E27FC236}">
              <a16:creationId xmlns:a16="http://schemas.microsoft.com/office/drawing/2014/main" id="{B654904C-473D-4E82-B418-6833052CBE3F}"/>
            </a:ext>
          </a:extLst>
        </xdr:cNvPr>
        <xdr:cNvSpPr txBox="1">
          <a:spLocks noChangeArrowheads="1"/>
        </xdr:cNvSpPr>
      </xdr:nvSpPr>
      <xdr:spPr bwMode="auto">
        <a:xfrm>
          <a:off x="3752850" y="4124325"/>
          <a:ext cx="137160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142240</xdr:colOff>
      <xdr:row>19</xdr:row>
      <xdr:rowOff>106962</xdr:rowOff>
    </xdr:from>
    <xdr:to>
      <xdr:col>4</xdr:col>
      <xdr:colOff>447040</xdr:colOff>
      <xdr:row>21</xdr:row>
      <xdr:rowOff>91722</xdr:rowOff>
    </xdr:to>
    <xdr:sp macro="" textlink="">
      <xdr:nvSpPr>
        <xdr:cNvPr id="256007" name="Text Box 7" hidden="1">
          <a:extLst>
            <a:ext uri="{FF2B5EF4-FFF2-40B4-BE49-F238E27FC236}">
              <a16:creationId xmlns:a16="http://schemas.microsoft.com/office/drawing/2014/main" id="{76380ABA-64CB-43E9-81D2-449849275894}"/>
            </a:ext>
          </a:extLst>
        </xdr:cNvPr>
        <xdr:cNvSpPr txBox="1">
          <a:spLocks noChangeArrowheads="1"/>
        </xdr:cNvSpPr>
      </xdr:nvSpPr>
      <xdr:spPr bwMode="auto">
        <a:xfrm>
          <a:off x="3855720" y="4008120"/>
          <a:ext cx="140208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142240</xdr:colOff>
      <xdr:row>19</xdr:row>
      <xdr:rowOff>106962</xdr:rowOff>
    </xdr:from>
    <xdr:to>
      <xdr:col>4</xdr:col>
      <xdr:colOff>447040</xdr:colOff>
      <xdr:row>21</xdr:row>
      <xdr:rowOff>91722</xdr:rowOff>
    </xdr:to>
    <xdr:sp macro="" textlink="">
      <xdr:nvSpPr>
        <xdr:cNvPr id="256008" name="Text Box 8" hidden="1">
          <a:extLst>
            <a:ext uri="{FF2B5EF4-FFF2-40B4-BE49-F238E27FC236}">
              <a16:creationId xmlns:a16="http://schemas.microsoft.com/office/drawing/2014/main" id="{D9D2912B-38B1-4B89-9F5C-86AEE60BF522}"/>
            </a:ext>
          </a:extLst>
        </xdr:cNvPr>
        <xdr:cNvSpPr txBox="1">
          <a:spLocks noChangeArrowheads="1"/>
        </xdr:cNvSpPr>
      </xdr:nvSpPr>
      <xdr:spPr bwMode="auto">
        <a:xfrm>
          <a:off x="3848100" y="4008120"/>
          <a:ext cx="140208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142240</xdr:colOff>
      <xdr:row>19</xdr:row>
      <xdr:rowOff>106962</xdr:rowOff>
    </xdr:from>
    <xdr:to>
      <xdr:col>4</xdr:col>
      <xdr:colOff>419100</xdr:colOff>
      <xdr:row>21</xdr:row>
      <xdr:rowOff>91722</xdr:rowOff>
    </xdr:to>
    <xdr:sp macro="" textlink="">
      <xdr:nvSpPr>
        <xdr:cNvPr id="256009" name="Text Box 9" hidden="1">
          <a:extLst>
            <a:ext uri="{FF2B5EF4-FFF2-40B4-BE49-F238E27FC236}">
              <a16:creationId xmlns:a16="http://schemas.microsoft.com/office/drawing/2014/main" id="{7DEB3C0F-3C4D-48E8-B366-F7721C0F7129}"/>
            </a:ext>
          </a:extLst>
        </xdr:cNvPr>
        <xdr:cNvSpPr txBox="1">
          <a:spLocks noChangeArrowheads="1"/>
        </xdr:cNvSpPr>
      </xdr:nvSpPr>
      <xdr:spPr bwMode="auto">
        <a:xfrm>
          <a:off x="3733800" y="4124325"/>
          <a:ext cx="137160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66322</xdr:rowOff>
    </xdr:from>
    <xdr:to>
      <xdr:col>4</xdr:col>
      <xdr:colOff>419100</xdr:colOff>
      <xdr:row>21</xdr:row>
      <xdr:rowOff>91722</xdr:rowOff>
    </xdr:to>
    <xdr:sp macro="" textlink="">
      <xdr:nvSpPr>
        <xdr:cNvPr id="256010" name="Text Box 10" hidden="1">
          <a:extLst>
            <a:ext uri="{FF2B5EF4-FFF2-40B4-BE49-F238E27FC236}">
              <a16:creationId xmlns:a16="http://schemas.microsoft.com/office/drawing/2014/main" id="{84FC4EC6-831B-4D6C-90C5-FBEABEA68D4C}"/>
            </a:ext>
          </a:extLst>
        </xdr:cNvPr>
        <xdr:cNvSpPr txBox="1">
          <a:spLocks noChangeArrowheads="1"/>
        </xdr:cNvSpPr>
      </xdr:nvSpPr>
      <xdr:spPr bwMode="auto">
        <a:xfrm>
          <a:off x="3724275" y="4095750"/>
          <a:ext cx="1381125" cy="485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66322</xdr:rowOff>
    </xdr:from>
    <xdr:to>
      <xdr:col>4</xdr:col>
      <xdr:colOff>419100</xdr:colOff>
      <xdr:row>21</xdr:row>
      <xdr:rowOff>91722</xdr:rowOff>
    </xdr:to>
    <xdr:sp macro="" textlink="">
      <xdr:nvSpPr>
        <xdr:cNvPr id="256011" name="Text Box 11" hidden="1">
          <a:extLst>
            <a:ext uri="{FF2B5EF4-FFF2-40B4-BE49-F238E27FC236}">
              <a16:creationId xmlns:a16="http://schemas.microsoft.com/office/drawing/2014/main" id="{22F9C6AA-B4C6-46C1-9D41-EA05023379D5}"/>
            </a:ext>
          </a:extLst>
        </xdr:cNvPr>
        <xdr:cNvSpPr txBox="1">
          <a:spLocks noChangeArrowheads="1"/>
        </xdr:cNvSpPr>
      </xdr:nvSpPr>
      <xdr:spPr bwMode="auto">
        <a:xfrm>
          <a:off x="3724275" y="4095750"/>
          <a:ext cx="1381125" cy="485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66322</xdr:rowOff>
    </xdr:from>
    <xdr:to>
      <xdr:col>4</xdr:col>
      <xdr:colOff>419100</xdr:colOff>
      <xdr:row>21</xdr:row>
      <xdr:rowOff>91722</xdr:rowOff>
    </xdr:to>
    <xdr:sp macro="" textlink="">
      <xdr:nvSpPr>
        <xdr:cNvPr id="256012" name="Text Box 12" hidden="1">
          <a:extLst>
            <a:ext uri="{FF2B5EF4-FFF2-40B4-BE49-F238E27FC236}">
              <a16:creationId xmlns:a16="http://schemas.microsoft.com/office/drawing/2014/main" id="{DDED9C77-7325-48A9-8CD0-FEA399E34F19}"/>
            </a:ext>
          </a:extLst>
        </xdr:cNvPr>
        <xdr:cNvSpPr txBox="1">
          <a:spLocks noChangeArrowheads="1"/>
        </xdr:cNvSpPr>
      </xdr:nvSpPr>
      <xdr:spPr bwMode="auto">
        <a:xfrm>
          <a:off x="3832860" y="3985260"/>
          <a:ext cx="1409700" cy="4800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256117</xdr:rowOff>
    </xdr:from>
    <xdr:to>
      <xdr:col>4</xdr:col>
      <xdr:colOff>419100</xdr:colOff>
      <xdr:row>22</xdr:row>
      <xdr:rowOff>167921</xdr:rowOff>
    </xdr:to>
    <xdr:sp macro="" textlink="">
      <xdr:nvSpPr>
        <xdr:cNvPr id="256013" name="Text Box 13" hidden="1">
          <a:extLst>
            <a:ext uri="{FF2B5EF4-FFF2-40B4-BE49-F238E27FC236}">
              <a16:creationId xmlns:a16="http://schemas.microsoft.com/office/drawing/2014/main" id="{1D6851AD-3363-46A4-B2B7-549A514B762A}"/>
            </a:ext>
          </a:extLst>
        </xdr:cNvPr>
        <xdr:cNvSpPr txBox="1">
          <a:spLocks noChangeArrowheads="1"/>
        </xdr:cNvSpPr>
      </xdr:nvSpPr>
      <xdr:spPr bwMode="auto">
        <a:xfrm>
          <a:off x="3832860" y="4168140"/>
          <a:ext cx="1409700" cy="5562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256117</xdr:rowOff>
    </xdr:from>
    <xdr:to>
      <xdr:col>4</xdr:col>
      <xdr:colOff>419100</xdr:colOff>
      <xdr:row>22</xdr:row>
      <xdr:rowOff>167921</xdr:rowOff>
    </xdr:to>
    <xdr:sp macro="" textlink="">
      <xdr:nvSpPr>
        <xdr:cNvPr id="256014" name="Text Box 14" hidden="1">
          <a:extLst>
            <a:ext uri="{FF2B5EF4-FFF2-40B4-BE49-F238E27FC236}">
              <a16:creationId xmlns:a16="http://schemas.microsoft.com/office/drawing/2014/main" id="{D76B6E1A-7425-4B8B-B4B1-964E6955A688}"/>
            </a:ext>
          </a:extLst>
        </xdr:cNvPr>
        <xdr:cNvSpPr txBox="1">
          <a:spLocks noChangeArrowheads="1"/>
        </xdr:cNvSpPr>
      </xdr:nvSpPr>
      <xdr:spPr bwMode="auto">
        <a:xfrm>
          <a:off x="3832860" y="4168140"/>
          <a:ext cx="1409700" cy="5562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256117</xdr:rowOff>
    </xdr:from>
    <xdr:to>
      <xdr:col>4</xdr:col>
      <xdr:colOff>419100</xdr:colOff>
      <xdr:row>22</xdr:row>
      <xdr:rowOff>167921</xdr:rowOff>
    </xdr:to>
    <xdr:sp macro="" textlink="">
      <xdr:nvSpPr>
        <xdr:cNvPr id="256015" name="Text Box 15" hidden="1">
          <a:extLst>
            <a:ext uri="{FF2B5EF4-FFF2-40B4-BE49-F238E27FC236}">
              <a16:creationId xmlns:a16="http://schemas.microsoft.com/office/drawing/2014/main" id="{97F82287-25DD-41DB-BB3B-3A173A579629}"/>
            </a:ext>
          </a:extLst>
        </xdr:cNvPr>
        <xdr:cNvSpPr txBox="1">
          <a:spLocks noChangeArrowheads="1"/>
        </xdr:cNvSpPr>
      </xdr:nvSpPr>
      <xdr:spPr bwMode="auto">
        <a:xfrm>
          <a:off x="3724275" y="428625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12559</xdr:rowOff>
    </xdr:from>
    <xdr:to>
      <xdr:col>4</xdr:col>
      <xdr:colOff>419100</xdr:colOff>
      <xdr:row>22</xdr:row>
      <xdr:rowOff>177657</xdr:rowOff>
    </xdr:to>
    <xdr:sp macro="" textlink="">
      <xdr:nvSpPr>
        <xdr:cNvPr id="256016" name="Text Box 16" hidden="1">
          <a:extLst>
            <a:ext uri="{FF2B5EF4-FFF2-40B4-BE49-F238E27FC236}">
              <a16:creationId xmlns:a16="http://schemas.microsoft.com/office/drawing/2014/main" id="{076ECF08-B952-4940-9F0E-40D9161D6FEB}"/>
            </a:ext>
          </a:extLst>
        </xdr:cNvPr>
        <xdr:cNvSpPr txBox="1">
          <a:spLocks noChangeArrowheads="1"/>
        </xdr:cNvSpPr>
      </xdr:nvSpPr>
      <xdr:spPr bwMode="auto">
        <a:xfrm>
          <a:off x="3724275" y="428625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8326</xdr:rowOff>
    </xdr:from>
    <xdr:to>
      <xdr:col>4</xdr:col>
      <xdr:colOff>419100</xdr:colOff>
      <xdr:row>22</xdr:row>
      <xdr:rowOff>181891</xdr:rowOff>
    </xdr:to>
    <xdr:sp macro="" textlink="">
      <xdr:nvSpPr>
        <xdr:cNvPr id="256017" name="Text Box 17" hidden="1">
          <a:extLst>
            <a:ext uri="{FF2B5EF4-FFF2-40B4-BE49-F238E27FC236}">
              <a16:creationId xmlns:a16="http://schemas.microsoft.com/office/drawing/2014/main" id="{5EE8F155-5599-46F0-A518-3F02323F6B20}"/>
            </a:ext>
          </a:extLst>
        </xdr:cNvPr>
        <xdr:cNvSpPr txBox="1">
          <a:spLocks noChangeArrowheads="1"/>
        </xdr:cNvSpPr>
      </xdr:nvSpPr>
      <xdr:spPr bwMode="auto">
        <a:xfrm>
          <a:off x="3724275" y="428625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706</xdr:rowOff>
    </xdr:from>
    <xdr:to>
      <xdr:col>4</xdr:col>
      <xdr:colOff>419100</xdr:colOff>
      <xdr:row>22</xdr:row>
      <xdr:rowOff>180621</xdr:rowOff>
    </xdr:to>
    <xdr:sp macro="" textlink="">
      <xdr:nvSpPr>
        <xdr:cNvPr id="256018" name="Text Box 18" hidden="1">
          <a:extLst>
            <a:ext uri="{FF2B5EF4-FFF2-40B4-BE49-F238E27FC236}">
              <a16:creationId xmlns:a16="http://schemas.microsoft.com/office/drawing/2014/main" id="{21D181B2-1ECB-4075-8308-5AA626D16D90}"/>
            </a:ext>
          </a:extLst>
        </xdr:cNvPr>
        <xdr:cNvSpPr txBox="1">
          <a:spLocks noChangeArrowheads="1"/>
        </xdr:cNvSpPr>
      </xdr:nvSpPr>
      <xdr:spPr bwMode="auto">
        <a:xfrm>
          <a:off x="3860800" y="4203700"/>
          <a:ext cx="1435100" cy="558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95250</xdr:rowOff>
    </xdr:to>
    <xdr:sp macro="" textlink="">
      <xdr:nvSpPr>
        <xdr:cNvPr id="256019" name="Text Box 19" hidden="1">
          <a:extLst>
            <a:ext uri="{FF2B5EF4-FFF2-40B4-BE49-F238E27FC236}">
              <a16:creationId xmlns:a16="http://schemas.microsoft.com/office/drawing/2014/main" id="{D15EB188-D9FA-411A-9EEC-351DF119091E}"/>
            </a:ext>
          </a:extLst>
        </xdr:cNvPr>
        <xdr:cNvSpPr txBox="1">
          <a:spLocks noChangeArrowheads="1"/>
        </xdr:cNvSpPr>
      </xdr:nvSpPr>
      <xdr:spPr bwMode="auto">
        <a:xfrm>
          <a:off x="3860800" y="2921000"/>
          <a:ext cx="143510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0" name="Text Box 20" hidden="1">
          <a:extLst>
            <a:ext uri="{FF2B5EF4-FFF2-40B4-BE49-F238E27FC236}">
              <a16:creationId xmlns:a16="http://schemas.microsoft.com/office/drawing/2014/main" id="{FE3A46FA-0211-46B9-9A76-C3236C68F011}"/>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1" name="Text Box 21" hidden="1">
          <a:extLst>
            <a:ext uri="{FF2B5EF4-FFF2-40B4-BE49-F238E27FC236}">
              <a16:creationId xmlns:a16="http://schemas.microsoft.com/office/drawing/2014/main" id="{03B35F61-803B-414C-AA7C-572C93B5B179}"/>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2" name="Text Box 22" hidden="1">
          <a:extLst>
            <a:ext uri="{FF2B5EF4-FFF2-40B4-BE49-F238E27FC236}">
              <a16:creationId xmlns:a16="http://schemas.microsoft.com/office/drawing/2014/main" id="{CFDBACB4-263B-4BB1-A01F-B0EEE79938A0}"/>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5" name="Text Box 25" hidden="1">
          <a:extLst>
            <a:ext uri="{FF2B5EF4-FFF2-40B4-BE49-F238E27FC236}">
              <a16:creationId xmlns:a16="http://schemas.microsoft.com/office/drawing/2014/main" id="{FD08C76C-13FB-4AD2-967E-4A40998ABC49}"/>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4" name="Text Box 24" hidden="1">
          <a:extLst>
            <a:ext uri="{FF2B5EF4-FFF2-40B4-BE49-F238E27FC236}">
              <a16:creationId xmlns:a16="http://schemas.microsoft.com/office/drawing/2014/main" id="{45125E05-B1B2-4D55-8353-F21C5AEFC121}"/>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3" name="Text Box 23" hidden="1">
          <a:extLst>
            <a:ext uri="{FF2B5EF4-FFF2-40B4-BE49-F238E27FC236}">
              <a16:creationId xmlns:a16="http://schemas.microsoft.com/office/drawing/2014/main" id="{EFC6E660-4234-49C4-9C4F-62A6A9B8A77D}"/>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8" name="Text Box 28" hidden="1">
          <a:extLst>
            <a:ext uri="{FF2B5EF4-FFF2-40B4-BE49-F238E27FC236}">
              <a16:creationId xmlns:a16="http://schemas.microsoft.com/office/drawing/2014/main" id="{58356043-98C7-4E77-95D5-7523213E47FF}"/>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7" name="Text Box 27" hidden="1">
          <a:extLst>
            <a:ext uri="{FF2B5EF4-FFF2-40B4-BE49-F238E27FC236}">
              <a16:creationId xmlns:a16="http://schemas.microsoft.com/office/drawing/2014/main" id="{4DBF4FB8-B46C-471A-9EFA-FACFAF8B8E40}"/>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6" name="Text Box 26" hidden="1">
          <a:extLst>
            <a:ext uri="{FF2B5EF4-FFF2-40B4-BE49-F238E27FC236}">
              <a16:creationId xmlns:a16="http://schemas.microsoft.com/office/drawing/2014/main" id="{21B4DC36-EEBC-45B6-8598-133AD7A0377C}"/>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9" name="Text Box 29" hidden="1">
          <a:extLst>
            <a:ext uri="{FF2B5EF4-FFF2-40B4-BE49-F238E27FC236}">
              <a16:creationId xmlns:a16="http://schemas.microsoft.com/office/drawing/2014/main" id="{751B28B0-6F37-4047-BA56-03B094FCDAC6}"/>
            </a:ext>
          </a:extLst>
        </xdr:cNvPr>
        <xdr:cNvSpPr txBox="1">
          <a:spLocks noChangeArrowheads="1"/>
        </xdr:cNvSpPr>
      </xdr:nvSpPr>
      <xdr:spPr bwMode="auto">
        <a:xfrm>
          <a:off x="3724275" y="297180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30" name="Text Box 30" hidden="1">
          <a:extLst>
            <a:ext uri="{FF2B5EF4-FFF2-40B4-BE49-F238E27FC236}">
              <a16:creationId xmlns:a16="http://schemas.microsoft.com/office/drawing/2014/main" id="{0ED066DE-B462-4739-A319-B269BF38D925}"/>
            </a:ext>
          </a:extLst>
        </xdr:cNvPr>
        <xdr:cNvSpPr txBox="1">
          <a:spLocks noChangeArrowheads="1"/>
        </xdr:cNvSpPr>
      </xdr:nvSpPr>
      <xdr:spPr bwMode="auto">
        <a:xfrm>
          <a:off x="3832860" y="2903220"/>
          <a:ext cx="140970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31" name="Text Box 31" hidden="1">
          <a:extLst>
            <a:ext uri="{FF2B5EF4-FFF2-40B4-BE49-F238E27FC236}">
              <a16:creationId xmlns:a16="http://schemas.microsoft.com/office/drawing/2014/main" id="{41EA70D7-D237-445E-ADD6-79BE780C1958}"/>
            </a:ext>
          </a:extLst>
        </xdr:cNvPr>
        <xdr:cNvSpPr txBox="1">
          <a:spLocks noChangeArrowheads="1"/>
        </xdr:cNvSpPr>
      </xdr:nvSpPr>
      <xdr:spPr bwMode="auto">
        <a:xfrm>
          <a:off x="3724275" y="297180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32" name="Text Box 32" hidden="1">
          <a:extLst>
            <a:ext uri="{FF2B5EF4-FFF2-40B4-BE49-F238E27FC236}">
              <a16:creationId xmlns:a16="http://schemas.microsoft.com/office/drawing/2014/main" id="{725D078F-9263-4FE4-9A8C-4BAC1814A129}"/>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33" name="Text Box 33" hidden="1">
          <a:extLst>
            <a:ext uri="{FF2B5EF4-FFF2-40B4-BE49-F238E27FC236}">
              <a16:creationId xmlns:a16="http://schemas.microsoft.com/office/drawing/2014/main" id="{C0C50E55-1475-47AA-93D7-D98B491D1E9F}"/>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34" name="Text Box 34" hidden="1">
          <a:extLst>
            <a:ext uri="{FF2B5EF4-FFF2-40B4-BE49-F238E27FC236}">
              <a16:creationId xmlns:a16="http://schemas.microsoft.com/office/drawing/2014/main" id="{87498CA8-FA23-48E2-A7CB-A6600F7398B1}"/>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17</xdr:row>
      <xdr:rowOff>190500</xdr:rowOff>
    </xdr:from>
    <xdr:to>
      <xdr:col>4</xdr:col>
      <xdr:colOff>266700</xdr:colOff>
      <xdr:row>21</xdr:row>
      <xdr:rowOff>0</xdr:rowOff>
    </xdr:to>
    <xdr:sp macro="" textlink="">
      <xdr:nvSpPr>
        <xdr:cNvPr id="256035" name="Text Box 35" hidden="1">
          <a:extLst>
            <a:ext uri="{FF2B5EF4-FFF2-40B4-BE49-F238E27FC236}">
              <a16:creationId xmlns:a16="http://schemas.microsoft.com/office/drawing/2014/main" id="{9BE6D443-0576-406F-B703-F89F54405A79}"/>
            </a:ext>
          </a:extLst>
        </xdr:cNvPr>
        <xdr:cNvSpPr txBox="1">
          <a:spLocks noChangeArrowheads="1"/>
        </xdr:cNvSpPr>
      </xdr:nvSpPr>
      <xdr:spPr bwMode="auto">
        <a:xfrm>
          <a:off x="3714750" y="3648075"/>
          <a:ext cx="12573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97986" name="Text Box 2" hidden="1">
          <a:extLst>
            <a:ext uri="{FF2B5EF4-FFF2-40B4-BE49-F238E27FC236}">
              <a16:creationId xmlns:a16="http://schemas.microsoft.com/office/drawing/2014/main" id="{3D2F1FBB-10F3-4DA5-8E17-9015E6050C88}"/>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97987" name="Text Box 3" hidden="1">
          <a:extLst>
            <a:ext uri="{FF2B5EF4-FFF2-40B4-BE49-F238E27FC236}">
              <a16:creationId xmlns:a16="http://schemas.microsoft.com/office/drawing/2014/main" id="{74D3E717-6D2A-4506-8395-67FE19DF98EC}"/>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97988" name="Text Box 4" hidden="1">
          <a:extLst>
            <a:ext uri="{FF2B5EF4-FFF2-40B4-BE49-F238E27FC236}">
              <a16:creationId xmlns:a16="http://schemas.microsoft.com/office/drawing/2014/main" id="{AECA57F0-4CDD-41A0-AEA8-ECFA73E556DB}"/>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97989" name="Text Box 5" hidden="1">
          <a:extLst>
            <a:ext uri="{FF2B5EF4-FFF2-40B4-BE49-F238E27FC236}">
              <a16:creationId xmlns:a16="http://schemas.microsoft.com/office/drawing/2014/main" id="{8758B5AB-9953-4E63-BE4B-73387FC2F4D8}"/>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97990" name="Text Box 6" hidden="1">
          <a:extLst>
            <a:ext uri="{FF2B5EF4-FFF2-40B4-BE49-F238E27FC236}">
              <a16:creationId xmlns:a16="http://schemas.microsoft.com/office/drawing/2014/main" id="{7E6DB084-5544-4AFD-AE73-3693FF5FBB82}"/>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9.xml><?xml version="1.0" encoding="utf-8"?>
<xdr:wsDr xmlns:xdr="http://schemas.openxmlformats.org/drawingml/2006/spreadsheetDrawing" xmlns:a="http://schemas.openxmlformats.org/drawingml/2006/main">
  <xdr:twoCellAnchor editAs="absolute">
    <xdr:from>
      <xdr:col>6</xdr:col>
      <xdr:colOff>169232</xdr:colOff>
      <xdr:row>95</xdr:row>
      <xdr:rowOff>116636</xdr:rowOff>
    </xdr:from>
    <xdr:to>
      <xdr:col>8</xdr:col>
      <xdr:colOff>278088</xdr:colOff>
      <xdr:row>95</xdr:row>
      <xdr:rowOff>116636</xdr:rowOff>
    </xdr:to>
    <xdr:sp macro="" textlink="">
      <xdr:nvSpPr>
        <xdr:cNvPr id="226308" name="Text Box 4" hidden="1">
          <a:extLst>
            <a:ext uri="{FF2B5EF4-FFF2-40B4-BE49-F238E27FC236}">
              <a16:creationId xmlns:a16="http://schemas.microsoft.com/office/drawing/2014/main" id="{1DE4B262-442A-4D34-B009-70A4A545BC56}"/>
            </a:ext>
          </a:extLst>
        </xdr:cNvPr>
        <xdr:cNvSpPr txBox="1">
          <a:spLocks noChangeArrowheads="1"/>
        </xdr:cNvSpPr>
      </xdr:nvSpPr>
      <xdr:spPr bwMode="auto">
        <a:xfrm>
          <a:off x="9113520" y="23698200"/>
          <a:ext cx="166116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95</xdr:row>
      <xdr:rowOff>116636</xdr:rowOff>
    </xdr:from>
    <xdr:to>
      <xdr:col>11</xdr:col>
      <xdr:colOff>238504</xdr:colOff>
      <xdr:row>95</xdr:row>
      <xdr:rowOff>116636</xdr:rowOff>
    </xdr:to>
    <xdr:sp macro="" textlink="">
      <xdr:nvSpPr>
        <xdr:cNvPr id="226309" name="Text Box 5" hidden="1">
          <a:extLst>
            <a:ext uri="{FF2B5EF4-FFF2-40B4-BE49-F238E27FC236}">
              <a16:creationId xmlns:a16="http://schemas.microsoft.com/office/drawing/2014/main" id="{D9E7EF9B-6EE7-4596-9F7A-667D322486CE}"/>
            </a:ext>
          </a:extLst>
        </xdr:cNvPr>
        <xdr:cNvSpPr txBox="1">
          <a:spLocks noChangeArrowheads="1"/>
        </xdr:cNvSpPr>
      </xdr:nvSpPr>
      <xdr:spPr bwMode="auto">
        <a:xfrm>
          <a:off x="11490960" y="23698200"/>
          <a:ext cx="166116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1</xdr:col>
      <xdr:colOff>4231079</xdr:colOff>
      <xdr:row>27</xdr:row>
      <xdr:rowOff>353377</xdr:rowOff>
    </xdr:to>
    <xdr:sp macro="" textlink="">
      <xdr:nvSpPr>
        <xdr:cNvPr id="226311" name="Text Box 7" hidden="1">
          <a:extLst>
            <a:ext uri="{FF2B5EF4-FFF2-40B4-BE49-F238E27FC236}">
              <a16:creationId xmlns:a16="http://schemas.microsoft.com/office/drawing/2014/main" id="{EAA688B6-1968-4D27-8F25-C3201443AA10}"/>
            </a:ext>
          </a:extLst>
        </xdr:cNvPr>
        <xdr:cNvSpPr txBox="1">
          <a:spLocks noChangeArrowheads="1"/>
        </xdr:cNvSpPr>
      </xdr:nvSpPr>
      <xdr:spPr bwMode="auto">
        <a:xfrm>
          <a:off x="3413760" y="6713220"/>
          <a:ext cx="1699260" cy="7696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2678793</xdr:colOff>
      <xdr:row>49</xdr:row>
      <xdr:rowOff>242084</xdr:rowOff>
    </xdr:from>
    <xdr:to>
      <xdr:col>1</xdr:col>
      <xdr:colOff>4252669</xdr:colOff>
      <xdr:row>53</xdr:row>
      <xdr:rowOff>124986</xdr:rowOff>
    </xdr:to>
    <xdr:sp macro="" textlink="">
      <xdr:nvSpPr>
        <xdr:cNvPr id="226312" name="Text Box 8" hidden="1">
          <a:extLst>
            <a:ext uri="{FF2B5EF4-FFF2-40B4-BE49-F238E27FC236}">
              <a16:creationId xmlns:a16="http://schemas.microsoft.com/office/drawing/2014/main" id="{F1E14B72-AEAB-46EA-B162-5CA570848783}"/>
            </a:ext>
          </a:extLst>
        </xdr:cNvPr>
        <xdr:cNvSpPr txBox="1">
          <a:spLocks noChangeArrowheads="1"/>
        </xdr:cNvSpPr>
      </xdr:nvSpPr>
      <xdr:spPr bwMode="auto">
        <a:xfrm>
          <a:off x="3451860" y="11963400"/>
          <a:ext cx="166878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95</xdr:row>
      <xdr:rowOff>116636</xdr:rowOff>
    </xdr:from>
    <xdr:to>
      <xdr:col>8</xdr:col>
      <xdr:colOff>278088</xdr:colOff>
      <xdr:row>95</xdr:row>
      <xdr:rowOff>116636</xdr:rowOff>
    </xdr:to>
    <xdr:sp macro="" textlink="">
      <xdr:nvSpPr>
        <xdr:cNvPr id="257028" name="Text Box 4" hidden="1">
          <a:extLst>
            <a:ext uri="{FF2B5EF4-FFF2-40B4-BE49-F238E27FC236}">
              <a16:creationId xmlns:a16="http://schemas.microsoft.com/office/drawing/2014/main" id="{28ED4E88-6FEE-470C-9119-B4144BC9353F}"/>
            </a:ext>
          </a:extLst>
        </xdr:cNvPr>
        <xdr:cNvSpPr txBox="1">
          <a:spLocks noChangeArrowheads="1"/>
        </xdr:cNvSpPr>
      </xdr:nvSpPr>
      <xdr:spPr bwMode="auto">
        <a:xfrm>
          <a:off x="8820150" y="240982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95</xdr:row>
      <xdr:rowOff>116636</xdr:rowOff>
    </xdr:from>
    <xdr:to>
      <xdr:col>11</xdr:col>
      <xdr:colOff>238504</xdr:colOff>
      <xdr:row>95</xdr:row>
      <xdr:rowOff>116636</xdr:rowOff>
    </xdr:to>
    <xdr:sp macro="" textlink="">
      <xdr:nvSpPr>
        <xdr:cNvPr id="257027" name="Text Box 3" hidden="1">
          <a:extLst>
            <a:ext uri="{FF2B5EF4-FFF2-40B4-BE49-F238E27FC236}">
              <a16:creationId xmlns:a16="http://schemas.microsoft.com/office/drawing/2014/main" id="{EBD70E14-1BE1-426C-9A08-89E7D87FFDF1}"/>
            </a:ext>
          </a:extLst>
        </xdr:cNvPr>
        <xdr:cNvSpPr txBox="1">
          <a:spLocks noChangeArrowheads="1"/>
        </xdr:cNvSpPr>
      </xdr:nvSpPr>
      <xdr:spPr bwMode="auto">
        <a:xfrm>
          <a:off x="11106150" y="240982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1</xdr:col>
      <xdr:colOff>4231079</xdr:colOff>
      <xdr:row>27</xdr:row>
      <xdr:rowOff>353377</xdr:rowOff>
    </xdr:to>
    <xdr:sp macro="" textlink="">
      <xdr:nvSpPr>
        <xdr:cNvPr id="257026" name="Text Box 2" hidden="1">
          <a:extLst>
            <a:ext uri="{FF2B5EF4-FFF2-40B4-BE49-F238E27FC236}">
              <a16:creationId xmlns:a16="http://schemas.microsoft.com/office/drawing/2014/main" id="{CB9DF60B-A556-41D0-8F31-B5EC781346F7}"/>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49</xdr:row>
      <xdr:rowOff>151239</xdr:rowOff>
    </xdr:from>
    <xdr:to>
      <xdr:col>8</xdr:col>
      <xdr:colOff>278088</xdr:colOff>
      <xdr:row>49</xdr:row>
      <xdr:rowOff>151239</xdr:rowOff>
    </xdr:to>
    <xdr:sp macro="" textlink="">
      <xdr:nvSpPr>
        <xdr:cNvPr id="257031" name="Text Box 7" hidden="1">
          <a:extLst>
            <a:ext uri="{FF2B5EF4-FFF2-40B4-BE49-F238E27FC236}">
              <a16:creationId xmlns:a16="http://schemas.microsoft.com/office/drawing/2014/main" id="{5E32F841-A5FA-409C-9657-69FB758DEEE6}"/>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49</xdr:row>
      <xdr:rowOff>151239</xdr:rowOff>
    </xdr:from>
    <xdr:to>
      <xdr:col>11</xdr:col>
      <xdr:colOff>238504</xdr:colOff>
      <xdr:row>49</xdr:row>
      <xdr:rowOff>151239</xdr:rowOff>
    </xdr:to>
    <xdr:sp macro="" textlink="">
      <xdr:nvSpPr>
        <xdr:cNvPr id="257030" name="Text Box 6" hidden="1">
          <a:extLst>
            <a:ext uri="{FF2B5EF4-FFF2-40B4-BE49-F238E27FC236}">
              <a16:creationId xmlns:a16="http://schemas.microsoft.com/office/drawing/2014/main" id="{50DEFB65-0857-4FF4-A53D-F6F80CC90388}"/>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1</xdr:col>
      <xdr:colOff>4231079</xdr:colOff>
      <xdr:row>27</xdr:row>
      <xdr:rowOff>353377</xdr:rowOff>
    </xdr:to>
    <xdr:sp macro="" textlink="">
      <xdr:nvSpPr>
        <xdr:cNvPr id="257029" name="Text Box 5" hidden="1">
          <a:extLst>
            <a:ext uri="{FF2B5EF4-FFF2-40B4-BE49-F238E27FC236}">
              <a16:creationId xmlns:a16="http://schemas.microsoft.com/office/drawing/2014/main" id="{3EC56823-01B7-467B-88F1-28CB5BFFB582}"/>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49</xdr:row>
      <xdr:rowOff>151239</xdr:rowOff>
    </xdr:from>
    <xdr:to>
      <xdr:col>8</xdr:col>
      <xdr:colOff>278088</xdr:colOff>
      <xdr:row>49</xdr:row>
      <xdr:rowOff>151239</xdr:rowOff>
    </xdr:to>
    <xdr:sp macro="" textlink="">
      <xdr:nvSpPr>
        <xdr:cNvPr id="257034" name="Text Box 10" hidden="1">
          <a:extLst>
            <a:ext uri="{FF2B5EF4-FFF2-40B4-BE49-F238E27FC236}">
              <a16:creationId xmlns:a16="http://schemas.microsoft.com/office/drawing/2014/main" id="{C1EA262D-67FB-4B68-924D-FF6C353E7F37}"/>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49</xdr:row>
      <xdr:rowOff>151239</xdr:rowOff>
    </xdr:from>
    <xdr:to>
      <xdr:col>11</xdr:col>
      <xdr:colOff>238504</xdr:colOff>
      <xdr:row>49</xdr:row>
      <xdr:rowOff>151239</xdr:rowOff>
    </xdr:to>
    <xdr:sp macro="" textlink="">
      <xdr:nvSpPr>
        <xdr:cNvPr id="257033" name="Text Box 9" hidden="1">
          <a:extLst>
            <a:ext uri="{FF2B5EF4-FFF2-40B4-BE49-F238E27FC236}">
              <a16:creationId xmlns:a16="http://schemas.microsoft.com/office/drawing/2014/main" id="{70752714-EDA0-4379-9856-8F8BC81E5D7D}"/>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1</xdr:col>
      <xdr:colOff>4231079</xdr:colOff>
      <xdr:row>27</xdr:row>
      <xdr:rowOff>353377</xdr:rowOff>
    </xdr:to>
    <xdr:sp macro="" textlink="">
      <xdr:nvSpPr>
        <xdr:cNvPr id="257032" name="Text Box 8" hidden="1">
          <a:extLst>
            <a:ext uri="{FF2B5EF4-FFF2-40B4-BE49-F238E27FC236}">
              <a16:creationId xmlns:a16="http://schemas.microsoft.com/office/drawing/2014/main" id="{4996AB1E-2F27-4526-9786-B277D5B0846F}"/>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49</xdr:row>
      <xdr:rowOff>151239</xdr:rowOff>
    </xdr:from>
    <xdr:to>
      <xdr:col>8</xdr:col>
      <xdr:colOff>278088</xdr:colOff>
      <xdr:row>49</xdr:row>
      <xdr:rowOff>151239</xdr:rowOff>
    </xdr:to>
    <xdr:sp macro="" textlink="">
      <xdr:nvSpPr>
        <xdr:cNvPr id="257037" name="Text Box 13" hidden="1">
          <a:extLst>
            <a:ext uri="{FF2B5EF4-FFF2-40B4-BE49-F238E27FC236}">
              <a16:creationId xmlns:a16="http://schemas.microsoft.com/office/drawing/2014/main" id="{F731A324-9439-4B49-9917-A5D271302AB3}"/>
            </a:ext>
          </a:extLst>
        </xdr:cNvPr>
        <xdr:cNvSpPr txBox="1">
          <a:spLocks noChangeArrowheads="1"/>
        </xdr:cNvSpPr>
      </xdr:nvSpPr>
      <xdr:spPr bwMode="auto">
        <a:xfrm>
          <a:off x="911352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49</xdr:row>
      <xdr:rowOff>151239</xdr:rowOff>
    </xdr:from>
    <xdr:to>
      <xdr:col>11</xdr:col>
      <xdr:colOff>238504</xdr:colOff>
      <xdr:row>49</xdr:row>
      <xdr:rowOff>151239</xdr:rowOff>
    </xdr:to>
    <xdr:sp macro="" textlink="">
      <xdr:nvSpPr>
        <xdr:cNvPr id="257036" name="Text Box 12" hidden="1">
          <a:extLst>
            <a:ext uri="{FF2B5EF4-FFF2-40B4-BE49-F238E27FC236}">
              <a16:creationId xmlns:a16="http://schemas.microsoft.com/office/drawing/2014/main" id="{940EAF4A-5B45-43FC-9EFE-FAC9867C357C}"/>
            </a:ext>
          </a:extLst>
        </xdr:cNvPr>
        <xdr:cNvSpPr txBox="1">
          <a:spLocks noChangeArrowheads="1"/>
        </xdr:cNvSpPr>
      </xdr:nvSpPr>
      <xdr:spPr bwMode="auto">
        <a:xfrm>
          <a:off x="1149096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1</xdr:col>
      <xdr:colOff>4231079</xdr:colOff>
      <xdr:row>27</xdr:row>
      <xdr:rowOff>353377</xdr:rowOff>
    </xdr:to>
    <xdr:sp macro="" textlink="">
      <xdr:nvSpPr>
        <xdr:cNvPr id="257035" name="Text Box 11" hidden="1">
          <a:extLst>
            <a:ext uri="{FF2B5EF4-FFF2-40B4-BE49-F238E27FC236}">
              <a16:creationId xmlns:a16="http://schemas.microsoft.com/office/drawing/2014/main" id="{CB99E69D-FC54-4E53-83C0-6DCB764E9998}"/>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49</xdr:row>
      <xdr:rowOff>151239</xdr:rowOff>
    </xdr:from>
    <xdr:to>
      <xdr:col>8</xdr:col>
      <xdr:colOff>278088</xdr:colOff>
      <xdr:row>49</xdr:row>
      <xdr:rowOff>151239</xdr:rowOff>
    </xdr:to>
    <xdr:sp macro="" textlink="">
      <xdr:nvSpPr>
        <xdr:cNvPr id="257040" name="Text Box 16" hidden="1">
          <a:extLst>
            <a:ext uri="{FF2B5EF4-FFF2-40B4-BE49-F238E27FC236}">
              <a16:creationId xmlns:a16="http://schemas.microsoft.com/office/drawing/2014/main" id="{4E659185-8FFF-4856-B4E8-DD06AEB9E849}"/>
            </a:ext>
          </a:extLst>
        </xdr:cNvPr>
        <xdr:cNvSpPr txBox="1">
          <a:spLocks noChangeArrowheads="1"/>
        </xdr:cNvSpPr>
      </xdr:nvSpPr>
      <xdr:spPr bwMode="auto">
        <a:xfrm>
          <a:off x="911352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49</xdr:row>
      <xdr:rowOff>151239</xdr:rowOff>
    </xdr:from>
    <xdr:to>
      <xdr:col>11</xdr:col>
      <xdr:colOff>238504</xdr:colOff>
      <xdr:row>49</xdr:row>
      <xdr:rowOff>151239</xdr:rowOff>
    </xdr:to>
    <xdr:sp macro="" textlink="">
      <xdr:nvSpPr>
        <xdr:cNvPr id="257039" name="Text Box 15" hidden="1">
          <a:extLst>
            <a:ext uri="{FF2B5EF4-FFF2-40B4-BE49-F238E27FC236}">
              <a16:creationId xmlns:a16="http://schemas.microsoft.com/office/drawing/2014/main" id="{B94567FD-1CEF-4713-B876-04E8EE5FD6C3}"/>
            </a:ext>
          </a:extLst>
        </xdr:cNvPr>
        <xdr:cNvSpPr txBox="1">
          <a:spLocks noChangeArrowheads="1"/>
        </xdr:cNvSpPr>
      </xdr:nvSpPr>
      <xdr:spPr bwMode="auto">
        <a:xfrm>
          <a:off x="1149096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1</xdr:col>
      <xdr:colOff>4231079</xdr:colOff>
      <xdr:row>27</xdr:row>
      <xdr:rowOff>353377</xdr:rowOff>
    </xdr:to>
    <xdr:sp macro="" textlink="">
      <xdr:nvSpPr>
        <xdr:cNvPr id="257038" name="Text Box 14" hidden="1">
          <a:extLst>
            <a:ext uri="{FF2B5EF4-FFF2-40B4-BE49-F238E27FC236}">
              <a16:creationId xmlns:a16="http://schemas.microsoft.com/office/drawing/2014/main" id="{DF83690E-EF73-4747-9F95-1901E315F774}"/>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49</xdr:row>
      <xdr:rowOff>151239</xdr:rowOff>
    </xdr:from>
    <xdr:to>
      <xdr:col>8</xdr:col>
      <xdr:colOff>278088</xdr:colOff>
      <xdr:row>49</xdr:row>
      <xdr:rowOff>151239</xdr:rowOff>
    </xdr:to>
    <xdr:sp macro="" textlink="">
      <xdr:nvSpPr>
        <xdr:cNvPr id="257043" name="Text Box 19" hidden="1">
          <a:extLst>
            <a:ext uri="{FF2B5EF4-FFF2-40B4-BE49-F238E27FC236}">
              <a16:creationId xmlns:a16="http://schemas.microsoft.com/office/drawing/2014/main" id="{0A303A15-59CD-43DB-AF8C-764E36919853}"/>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49</xdr:row>
      <xdr:rowOff>151239</xdr:rowOff>
    </xdr:from>
    <xdr:to>
      <xdr:col>11</xdr:col>
      <xdr:colOff>238504</xdr:colOff>
      <xdr:row>49</xdr:row>
      <xdr:rowOff>151239</xdr:rowOff>
    </xdr:to>
    <xdr:sp macro="" textlink="">
      <xdr:nvSpPr>
        <xdr:cNvPr id="257042" name="Text Box 18" hidden="1">
          <a:extLst>
            <a:ext uri="{FF2B5EF4-FFF2-40B4-BE49-F238E27FC236}">
              <a16:creationId xmlns:a16="http://schemas.microsoft.com/office/drawing/2014/main" id="{19C5F908-4132-4BA9-B0FD-F7B35016DC74}"/>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1</xdr:col>
      <xdr:colOff>4231079</xdr:colOff>
      <xdr:row>27</xdr:row>
      <xdr:rowOff>353377</xdr:rowOff>
    </xdr:to>
    <xdr:sp macro="" textlink="">
      <xdr:nvSpPr>
        <xdr:cNvPr id="257041" name="Text Box 17" hidden="1">
          <a:extLst>
            <a:ext uri="{FF2B5EF4-FFF2-40B4-BE49-F238E27FC236}">
              <a16:creationId xmlns:a16="http://schemas.microsoft.com/office/drawing/2014/main" id="{01CF4EF3-E604-418A-B600-BB577F9E83C5}"/>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49</xdr:row>
      <xdr:rowOff>151239</xdr:rowOff>
    </xdr:from>
    <xdr:to>
      <xdr:col>8</xdr:col>
      <xdr:colOff>278088</xdr:colOff>
      <xdr:row>49</xdr:row>
      <xdr:rowOff>151239</xdr:rowOff>
    </xdr:to>
    <xdr:sp macro="" textlink="">
      <xdr:nvSpPr>
        <xdr:cNvPr id="257046" name="Text Box 22" hidden="1">
          <a:extLst>
            <a:ext uri="{FF2B5EF4-FFF2-40B4-BE49-F238E27FC236}">
              <a16:creationId xmlns:a16="http://schemas.microsoft.com/office/drawing/2014/main" id="{9946A254-90FC-41C6-83DF-FE5E0AB5DED3}"/>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49</xdr:row>
      <xdr:rowOff>151239</xdr:rowOff>
    </xdr:from>
    <xdr:to>
      <xdr:col>11</xdr:col>
      <xdr:colOff>238504</xdr:colOff>
      <xdr:row>49</xdr:row>
      <xdr:rowOff>151239</xdr:rowOff>
    </xdr:to>
    <xdr:sp macro="" textlink="">
      <xdr:nvSpPr>
        <xdr:cNvPr id="257045" name="Text Box 21" hidden="1">
          <a:extLst>
            <a:ext uri="{FF2B5EF4-FFF2-40B4-BE49-F238E27FC236}">
              <a16:creationId xmlns:a16="http://schemas.microsoft.com/office/drawing/2014/main" id="{F2554D94-03A4-4B6F-B938-002AE7AC04B5}"/>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1</xdr:col>
      <xdr:colOff>4231079</xdr:colOff>
      <xdr:row>27</xdr:row>
      <xdr:rowOff>353377</xdr:rowOff>
    </xdr:to>
    <xdr:sp macro="" textlink="">
      <xdr:nvSpPr>
        <xdr:cNvPr id="257044" name="Text Box 20" hidden="1">
          <a:extLst>
            <a:ext uri="{FF2B5EF4-FFF2-40B4-BE49-F238E27FC236}">
              <a16:creationId xmlns:a16="http://schemas.microsoft.com/office/drawing/2014/main" id="{4238BAAC-07CA-4ADA-B706-BAE0C0F58C5B}"/>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49</xdr:row>
      <xdr:rowOff>151239</xdr:rowOff>
    </xdr:from>
    <xdr:to>
      <xdr:col>8</xdr:col>
      <xdr:colOff>278088</xdr:colOff>
      <xdr:row>49</xdr:row>
      <xdr:rowOff>151239</xdr:rowOff>
    </xdr:to>
    <xdr:sp macro="" textlink="">
      <xdr:nvSpPr>
        <xdr:cNvPr id="257049" name="Text Box 25" hidden="1">
          <a:extLst>
            <a:ext uri="{FF2B5EF4-FFF2-40B4-BE49-F238E27FC236}">
              <a16:creationId xmlns:a16="http://schemas.microsoft.com/office/drawing/2014/main" id="{88B357B8-6FA3-4558-B5D6-4459D5FC1F6B}"/>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49</xdr:row>
      <xdr:rowOff>151239</xdr:rowOff>
    </xdr:from>
    <xdr:to>
      <xdr:col>11</xdr:col>
      <xdr:colOff>238504</xdr:colOff>
      <xdr:row>49</xdr:row>
      <xdr:rowOff>151239</xdr:rowOff>
    </xdr:to>
    <xdr:sp macro="" textlink="">
      <xdr:nvSpPr>
        <xdr:cNvPr id="257048" name="Text Box 24" hidden="1">
          <a:extLst>
            <a:ext uri="{FF2B5EF4-FFF2-40B4-BE49-F238E27FC236}">
              <a16:creationId xmlns:a16="http://schemas.microsoft.com/office/drawing/2014/main" id="{9010921A-755A-4EC5-92EF-32FCAB666790}"/>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1</xdr:col>
      <xdr:colOff>4231079</xdr:colOff>
      <xdr:row>27</xdr:row>
      <xdr:rowOff>353377</xdr:rowOff>
    </xdr:to>
    <xdr:sp macro="" textlink="">
      <xdr:nvSpPr>
        <xdr:cNvPr id="257047" name="Text Box 23" hidden="1">
          <a:extLst>
            <a:ext uri="{FF2B5EF4-FFF2-40B4-BE49-F238E27FC236}">
              <a16:creationId xmlns:a16="http://schemas.microsoft.com/office/drawing/2014/main" id="{479F985F-BD47-4B06-822F-F9F1AFFBB9D3}"/>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79</xdr:row>
      <xdr:rowOff>31138</xdr:rowOff>
    </xdr:from>
    <xdr:to>
      <xdr:col>8</xdr:col>
      <xdr:colOff>278088</xdr:colOff>
      <xdr:row>79</xdr:row>
      <xdr:rowOff>31138</xdr:rowOff>
    </xdr:to>
    <xdr:sp macro="" textlink="">
      <xdr:nvSpPr>
        <xdr:cNvPr id="257052" name="Text Box 28" hidden="1">
          <a:extLst>
            <a:ext uri="{FF2B5EF4-FFF2-40B4-BE49-F238E27FC236}">
              <a16:creationId xmlns:a16="http://schemas.microsoft.com/office/drawing/2014/main" id="{BA03B1DF-5678-4960-86A9-90A0F62E091E}"/>
            </a:ext>
          </a:extLst>
        </xdr:cNvPr>
        <xdr:cNvSpPr txBox="1">
          <a:spLocks noChangeArrowheads="1"/>
        </xdr:cNvSpPr>
      </xdr:nvSpPr>
      <xdr:spPr bwMode="auto">
        <a:xfrm>
          <a:off x="911352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79</xdr:row>
      <xdr:rowOff>31138</xdr:rowOff>
    </xdr:from>
    <xdr:to>
      <xdr:col>11</xdr:col>
      <xdr:colOff>238504</xdr:colOff>
      <xdr:row>79</xdr:row>
      <xdr:rowOff>31138</xdr:rowOff>
    </xdr:to>
    <xdr:sp macro="" textlink="">
      <xdr:nvSpPr>
        <xdr:cNvPr id="257051" name="Text Box 27" hidden="1">
          <a:extLst>
            <a:ext uri="{FF2B5EF4-FFF2-40B4-BE49-F238E27FC236}">
              <a16:creationId xmlns:a16="http://schemas.microsoft.com/office/drawing/2014/main" id="{C4341359-BD0F-4BA7-9F69-8B8D500AA37A}"/>
            </a:ext>
          </a:extLst>
        </xdr:cNvPr>
        <xdr:cNvSpPr txBox="1">
          <a:spLocks noChangeArrowheads="1"/>
        </xdr:cNvSpPr>
      </xdr:nvSpPr>
      <xdr:spPr bwMode="auto">
        <a:xfrm>
          <a:off x="1149096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1</xdr:col>
      <xdr:colOff>4231079</xdr:colOff>
      <xdr:row>27</xdr:row>
      <xdr:rowOff>353377</xdr:rowOff>
    </xdr:to>
    <xdr:sp macro="" textlink="">
      <xdr:nvSpPr>
        <xdr:cNvPr id="257050" name="Text Box 26" hidden="1">
          <a:extLst>
            <a:ext uri="{FF2B5EF4-FFF2-40B4-BE49-F238E27FC236}">
              <a16:creationId xmlns:a16="http://schemas.microsoft.com/office/drawing/2014/main" id="{05855913-78F0-4223-8038-D305F555B847}"/>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79</xdr:row>
      <xdr:rowOff>31138</xdr:rowOff>
    </xdr:from>
    <xdr:to>
      <xdr:col>8</xdr:col>
      <xdr:colOff>278088</xdr:colOff>
      <xdr:row>79</xdr:row>
      <xdr:rowOff>31138</xdr:rowOff>
    </xdr:to>
    <xdr:sp macro="" textlink="">
      <xdr:nvSpPr>
        <xdr:cNvPr id="257055" name="Text Box 31" hidden="1">
          <a:extLst>
            <a:ext uri="{FF2B5EF4-FFF2-40B4-BE49-F238E27FC236}">
              <a16:creationId xmlns:a16="http://schemas.microsoft.com/office/drawing/2014/main" id="{5788BB33-76A5-4E76-822E-D9D9D8A0D61D}"/>
            </a:ext>
          </a:extLst>
        </xdr:cNvPr>
        <xdr:cNvSpPr txBox="1">
          <a:spLocks noChangeArrowheads="1"/>
        </xdr:cNvSpPr>
      </xdr:nvSpPr>
      <xdr:spPr bwMode="auto">
        <a:xfrm>
          <a:off x="911352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79</xdr:row>
      <xdr:rowOff>31138</xdr:rowOff>
    </xdr:from>
    <xdr:to>
      <xdr:col>11</xdr:col>
      <xdr:colOff>238504</xdr:colOff>
      <xdr:row>79</xdr:row>
      <xdr:rowOff>31138</xdr:rowOff>
    </xdr:to>
    <xdr:sp macro="" textlink="">
      <xdr:nvSpPr>
        <xdr:cNvPr id="257054" name="Text Box 30" hidden="1">
          <a:extLst>
            <a:ext uri="{FF2B5EF4-FFF2-40B4-BE49-F238E27FC236}">
              <a16:creationId xmlns:a16="http://schemas.microsoft.com/office/drawing/2014/main" id="{D77DFA6E-8790-4BAB-9DC1-3B853FF078BA}"/>
            </a:ext>
          </a:extLst>
        </xdr:cNvPr>
        <xdr:cNvSpPr txBox="1">
          <a:spLocks noChangeArrowheads="1"/>
        </xdr:cNvSpPr>
      </xdr:nvSpPr>
      <xdr:spPr bwMode="auto">
        <a:xfrm>
          <a:off x="1149096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1</xdr:col>
      <xdr:colOff>4231079</xdr:colOff>
      <xdr:row>27</xdr:row>
      <xdr:rowOff>353377</xdr:rowOff>
    </xdr:to>
    <xdr:sp macro="" textlink="">
      <xdr:nvSpPr>
        <xdr:cNvPr id="257053" name="Text Box 29" hidden="1">
          <a:extLst>
            <a:ext uri="{FF2B5EF4-FFF2-40B4-BE49-F238E27FC236}">
              <a16:creationId xmlns:a16="http://schemas.microsoft.com/office/drawing/2014/main" id="{A83452A6-7CBE-43F1-9998-9480FCA95423}"/>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79</xdr:row>
      <xdr:rowOff>31138</xdr:rowOff>
    </xdr:from>
    <xdr:to>
      <xdr:col>8</xdr:col>
      <xdr:colOff>278088</xdr:colOff>
      <xdr:row>79</xdr:row>
      <xdr:rowOff>31138</xdr:rowOff>
    </xdr:to>
    <xdr:sp macro="" textlink="">
      <xdr:nvSpPr>
        <xdr:cNvPr id="257058" name="Text Box 34" hidden="1">
          <a:extLst>
            <a:ext uri="{FF2B5EF4-FFF2-40B4-BE49-F238E27FC236}">
              <a16:creationId xmlns:a16="http://schemas.microsoft.com/office/drawing/2014/main" id="{DD413987-4369-462D-93F0-2BC704A52D7B}"/>
            </a:ext>
          </a:extLst>
        </xdr:cNvPr>
        <xdr:cNvSpPr txBox="1">
          <a:spLocks noChangeArrowheads="1"/>
        </xdr:cNvSpPr>
      </xdr:nvSpPr>
      <xdr:spPr bwMode="auto">
        <a:xfrm>
          <a:off x="911352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79</xdr:row>
      <xdr:rowOff>31138</xdr:rowOff>
    </xdr:from>
    <xdr:to>
      <xdr:col>11</xdr:col>
      <xdr:colOff>238504</xdr:colOff>
      <xdr:row>79</xdr:row>
      <xdr:rowOff>31138</xdr:rowOff>
    </xdr:to>
    <xdr:sp macro="" textlink="">
      <xdr:nvSpPr>
        <xdr:cNvPr id="257057" name="Text Box 33" hidden="1">
          <a:extLst>
            <a:ext uri="{FF2B5EF4-FFF2-40B4-BE49-F238E27FC236}">
              <a16:creationId xmlns:a16="http://schemas.microsoft.com/office/drawing/2014/main" id="{37D8BF58-F7E7-4445-8E61-CE41CBC3F494}"/>
            </a:ext>
          </a:extLst>
        </xdr:cNvPr>
        <xdr:cNvSpPr txBox="1">
          <a:spLocks noChangeArrowheads="1"/>
        </xdr:cNvSpPr>
      </xdr:nvSpPr>
      <xdr:spPr bwMode="auto">
        <a:xfrm>
          <a:off x="1149096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1</xdr:col>
      <xdr:colOff>4231079</xdr:colOff>
      <xdr:row>27</xdr:row>
      <xdr:rowOff>353377</xdr:rowOff>
    </xdr:to>
    <xdr:sp macro="" textlink="">
      <xdr:nvSpPr>
        <xdr:cNvPr id="257056" name="Text Box 32" hidden="1">
          <a:extLst>
            <a:ext uri="{FF2B5EF4-FFF2-40B4-BE49-F238E27FC236}">
              <a16:creationId xmlns:a16="http://schemas.microsoft.com/office/drawing/2014/main" id="{B3E55306-FDCD-4EC4-B640-21B153F81C17}"/>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79</xdr:row>
      <xdr:rowOff>31138</xdr:rowOff>
    </xdr:from>
    <xdr:to>
      <xdr:col>8</xdr:col>
      <xdr:colOff>278088</xdr:colOff>
      <xdr:row>79</xdr:row>
      <xdr:rowOff>31138</xdr:rowOff>
    </xdr:to>
    <xdr:sp macro="" textlink="">
      <xdr:nvSpPr>
        <xdr:cNvPr id="257061" name="Text Box 37" hidden="1">
          <a:extLst>
            <a:ext uri="{FF2B5EF4-FFF2-40B4-BE49-F238E27FC236}">
              <a16:creationId xmlns:a16="http://schemas.microsoft.com/office/drawing/2014/main" id="{E7A9EFEE-8C2A-47D6-A9F1-20E33F6DACFA}"/>
            </a:ext>
          </a:extLst>
        </xdr:cNvPr>
        <xdr:cNvSpPr txBox="1">
          <a:spLocks noChangeArrowheads="1"/>
        </xdr:cNvSpPr>
      </xdr:nvSpPr>
      <xdr:spPr bwMode="auto">
        <a:xfrm>
          <a:off x="8820150" y="188976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79</xdr:row>
      <xdr:rowOff>31138</xdr:rowOff>
    </xdr:from>
    <xdr:to>
      <xdr:col>11</xdr:col>
      <xdr:colOff>238504</xdr:colOff>
      <xdr:row>79</xdr:row>
      <xdr:rowOff>31138</xdr:rowOff>
    </xdr:to>
    <xdr:sp macro="" textlink="">
      <xdr:nvSpPr>
        <xdr:cNvPr id="257060" name="Text Box 36" hidden="1">
          <a:extLst>
            <a:ext uri="{FF2B5EF4-FFF2-40B4-BE49-F238E27FC236}">
              <a16:creationId xmlns:a16="http://schemas.microsoft.com/office/drawing/2014/main" id="{62D32994-E943-436A-83B1-4727E069F05C}"/>
            </a:ext>
          </a:extLst>
        </xdr:cNvPr>
        <xdr:cNvSpPr txBox="1">
          <a:spLocks noChangeArrowheads="1"/>
        </xdr:cNvSpPr>
      </xdr:nvSpPr>
      <xdr:spPr bwMode="auto">
        <a:xfrm>
          <a:off x="11106150" y="188976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1</xdr:col>
      <xdr:colOff>4231079</xdr:colOff>
      <xdr:row>27</xdr:row>
      <xdr:rowOff>353377</xdr:rowOff>
    </xdr:to>
    <xdr:sp macro="" textlink="">
      <xdr:nvSpPr>
        <xdr:cNvPr id="257059" name="Text Box 35" hidden="1">
          <a:extLst>
            <a:ext uri="{FF2B5EF4-FFF2-40B4-BE49-F238E27FC236}">
              <a16:creationId xmlns:a16="http://schemas.microsoft.com/office/drawing/2014/main" id="{18568BF6-9422-4C81-85DD-255CE443CC9B}"/>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80</xdr:row>
      <xdr:rowOff>29171</xdr:rowOff>
    </xdr:from>
    <xdr:to>
      <xdr:col>8</xdr:col>
      <xdr:colOff>278088</xdr:colOff>
      <xdr:row>80</xdr:row>
      <xdr:rowOff>29171</xdr:rowOff>
    </xdr:to>
    <xdr:sp macro="" textlink="">
      <xdr:nvSpPr>
        <xdr:cNvPr id="257064" name="Text Box 40" hidden="1">
          <a:extLst>
            <a:ext uri="{FF2B5EF4-FFF2-40B4-BE49-F238E27FC236}">
              <a16:creationId xmlns:a16="http://schemas.microsoft.com/office/drawing/2014/main" id="{36297DA4-650E-4F6F-88C8-CE992EFC0C42}"/>
            </a:ext>
          </a:extLst>
        </xdr:cNvPr>
        <xdr:cNvSpPr txBox="1">
          <a:spLocks noChangeArrowheads="1"/>
        </xdr:cNvSpPr>
      </xdr:nvSpPr>
      <xdr:spPr bwMode="auto">
        <a:xfrm>
          <a:off x="8820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80</xdr:row>
      <xdr:rowOff>29171</xdr:rowOff>
    </xdr:from>
    <xdr:to>
      <xdr:col>11</xdr:col>
      <xdr:colOff>238504</xdr:colOff>
      <xdr:row>80</xdr:row>
      <xdr:rowOff>29171</xdr:rowOff>
    </xdr:to>
    <xdr:sp macro="" textlink="">
      <xdr:nvSpPr>
        <xdr:cNvPr id="257063" name="Text Box 39" hidden="1">
          <a:extLst>
            <a:ext uri="{FF2B5EF4-FFF2-40B4-BE49-F238E27FC236}">
              <a16:creationId xmlns:a16="http://schemas.microsoft.com/office/drawing/2014/main" id="{4E60497A-51E5-4187-AF04-0665CD7AB38E}"/>
            </a:ext>
          </a:extLst>
        </xdr:cNvPr>
        <xdr:cNvSpPr txBox="1">
          <a:spLocks noChangeArrowheads="1"/>
        </xdr:cNvSpPr>
      </xdr:nvSpPr>
      <xdr:spPr bwMode="auto">
        <a:xfrm>
          <a:off x="11106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1</xdr:col>
      <xdr:colOff>4231079</xdr:colOff>
      <xdr:row>27</xdr:row>
      <xdr:rowOff>312737</xdr:rowOff>
    </xdr:to>
    <xdr:sp macro="" textlink="">
      <xdr:nvSpPr>
        <xdr:cNvPr id="257062" name="Text Box 38" hidden="1">
          <a:extLst>
            <a:ext uri="{FF2B5EF4-FFF2-40B4-BE49-F238E27FC236}">
              <a16:creationId xmlns:a16="http://schemas.microsoft.com/office/drawing/2014/main" id="{54BB827F-03CD-4D0F-914F-D43C7D038473}"/>
            </a:ext>
          </a:extLst>
        </xdr:cNvPr>
        <xdr:cNvSpPr txBox="1">
          <a:spLocks noChangeArrowheads="1"/>
        </xdr:cNvSpPr>
      </xdr:nvSpPr>
      <xdr:spPr bwMode="auto">
        <a:xfrm>
          <a:off x="3314700" y="6734175"/>
          <a:ext cx="16383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80</xdr:row>
      <xdr:rowOff>29171</xdr:rowOff>
    </xdr:from>
    <xdr:to>
      <xdr:col>8</xdr:col>
      <xdr:colOff>278088</xdr:colOff>
      <xdr:row>80</xdr:row>
      <xdr:rowOff>29171</xdr:rowOff>
    </xdr:to>
    <xdr:sp macro="" textlink="">
      <xdr:nvSpPr>
        <xdr:cNvPr id="257067" name="Text Box 43" hidden="1">
          <a:extLst>
            <a:ext uri="{FF2B5EF4-FFF2-40B4-BE49-F238E27FC236}">
              <a16:creationId xmlns:a16="http://schemas.microsoft.com/office/drawing/2014/main" id="{5F3A5D53-53DA-45F2-BD79-67EE648C059C}"/>
            </a:ext>
          </a:extLst>
        </xdr:cNvPr>
        <xdr:cNvSpPr txBox="1">
          <a:spLocks noChangeArrowheads="1"/>
        </xdr:cNvSpPr>
      </xdr:nvSpPr>
      <xdr:spPr bwMode="auto">
        <a:xfrm>
          <a:off x="8820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80</xdr:row>
      <xdr:rowOff>29171</xdr:rowOff>
    </xdr:from>
    <xdr:to>
      <xdr:col>11</xdr:col>
      <xdr:colOff>238504</xdr:colOff>
      <xdr:row>80</xdr:row>
      <xdr:rowOff>29171</xdr:rowOff>
    </xdr:to>
    <xdr:sp macro="" textlink="">
      <xdr:nvSpPr>
        <xdr:cNvPr id="257066" name="Text Box 42" hidden="1">
          <a:extLst>
            <a:ext uri="{FF2B5EF4-FFF2-40B4-BE49-F238E27FC236}">
              <a16:creationId xmlns:a16="http://schemas.microsoft.com/office/drawing/2014/main" id="{5E5D425A-4000-4EEE-96AA-9C8A51FE5992}"/>
            </a:ext>
          </a:extLst>
        </xdr:cNvPr>
        <xdr:cNvSpPr txBox="1">
          <a:spLocks noChangeArrowheads="1"/>
        </xdr:cNvSpPr>
      </xdr:nvSpPr>
      <xdr:spPr bwMode="auto">
        <a:xfrm>
          <a:off x="11106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1</xdr:col>
      <xdr:colOff>4231079</xdr:colOff>
      <xdr:row>27</xdr:row>
      <xdr:rowOff>312737</xdr:rowOff>
    </xdr:to>
    <xdr:sp macro="" textlink="">
      <xdr:nvSpPr>
        <xdr:cNvPr id="257065" name="Text Box 41" hidden="1">
          <a:extLst>
            <a:ext uri="{FF2B5EF4-FFF2-40B4-BE49-F238E27FC236}">
              <a16:creationId xmlns:a16="http://schemas.microsoft.com/office/drawing/2014/main" id="{8241E13C-659F-466F-AE44-D262041E5D72}"/>
            </a:ext>
          </a:extLst>
        </xdr:cNvPr>
        <xdr:cNvSpPr txBox="1">
          <a:spLocks noChangeArrowheads="1"/>
        </xdr:cNvSpPr>
      </xdr:nvSpPr>
      <xdr:spPr bwMode="auto">
        <a:xfrm>
          <a:off x="3314700" y="6734175"/>
          <a:ext cx="16383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179120</xdr:colOff>
      <xdr:row>80</xdr:row>
      <xdr:rowOff>29171</xdr:rowOff>
    </xdr:from>
    <xdr:to>
      <xdr:col>8</xdr:col>
      <xdr:colOff>287976</xdr:colOff>
      <xdr:row>80</xdr:row>
      <xdr:rowOff>29171</xdr:rowOff>
    </xdr:to>
    <xdr:sp macro="" textlink="">
      <xdr:nvSpPr>
        <xdr:cNvPr id="257070" name="Text Box 46" hidden="1">
          <a:extLst>
            <a:ext uri="{FF2B5EF4-FFF2-40B4-BE49-F238E27FC236}">
              <a16:creationId xmlns:a16="http://schemas.microsoft.com/office/drawing/2014/main" id="{6A14DC19-8F26-4B09-8118-A64C451BC9B7}"/>
            </a:ext>
          </a:extLst>
        </xdr:cNvPr>
        <xdr:cNvSpPr txBox="1">
          <a:spLocks noChangeArrowheads="1"/>
        </xdr:cNvSpPr>
      </xdr:nvSpPr>
      <xdr:spPr bwMode="auto">
        <a:xfrm>
          <a:off x="9055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172192</xdr:colOff>
      <xdr:row>80</xdr:row>
      <xdr:rowOff>29171</xdr:rowOff>
    </xdr:from>
    <xdr:to>
      <xdr:col>11</xdr:col>
      <xdr:colOff>248392</xdr:colOff>
      <xdr:row>80</xdr:row>
      <xdr:rowOff>29171</xdr:rowOff>
    </xdr:to>
    <xdr:sp macro="" textlink="">
      <xdr:nvSpPr>
        <xdr:cNvPr id="257069" name="Text Box 45" hidden="1">
          <a:extLst>
            <a:ext uri="{FF2B5EF4-FFF2-40B4-BE49-F238E27FC236}">
              <a16:creationId xmlns:a16="http://schemas.microsoft.com/office/drawing/2014/main" id="{5C1FCB85-77E5-4D67-A2EB-A7320B741BC0}"/>
            </a:ext>
          </a:extLst>
        </xdr:cNvPr>
        <xdr:cNvSpPr txBox="1">
          <a:spLocks noChangeArrowheads="1"/>
        </xdr:cNvSpPr>
      </xdr:nvSpPr>
      <xdr:spPr bwMode="auto">
        <a:xfrm>
          <a:off x="11341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1</xdr:col>
      <xdr:colOff>4231079</xdr:colOff>
      <xdr:row>27</xdr:row>
      <xdr:rowOff>312737</xdr:rowOff>
    </xdr:to>
    <xdr:sp macro="" textlink="">
      <xdr:nvSpPr>
        <xdr:cNvPr id="257068" name="Text Box 44" hidden="1">
          <a:extLst>
            <a:ext uri="{FF2B5EF4-FFF2-40B4-BE49-F238E27FC236}">
              <a16:creationId xmlns:a16="http://schemas.microsoft.com/office/drawing/2014/main" id="{8326F70B-86BC-49E8-9D34-15674FD14583}"/>
            </a:ext>
          </a:extLst>
        </xdr:cNvPr>
        <xdr:cNvSpPr txBox="1">
          <a:spLocks noChangeArrowheads="1"/>
        </xdr:cNvSpPr>
      </xdr:nvSpPr>
      <xdr:spPr bwMode="auto">
        <a:xfrm>
          <a:off x="3435350" y="6724650"/>
          <a:ext cx="16383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179120</xdr:colOff>
      <xdr:row>80</xdr:row>
      <xdr:rowOff>29171</xdr:rowOff>
    </xdr:from>
    <xdr:to>
      <xdr:col>8</xdr:col>
      <xdr:colOff>287976</xdr:colOff>
      <xdr:row>80</xdr:row>
      <xdr:rowOff>29171</xdr:rowOff>
    </xdr:to>
    <xdr:sp macro="" textlink="">
      <xdr:nvSpPr>
        <xdr:cNvPr id="257073" name="Text Box 49" hidden="1">
          <a:extLst>
            <a:ext uri="{FF2B5EF4-FFF2-40B4-BE49-F238E27FC236}">
              <a16:creationId xmlns:a16="http://schemas.microsoft.com/office/drawing/2014/main" id="{05E5D1E3-A3A7-4790-94E6-A7C37EC826E8}"/>
            </a:ext>
          </a:extLst>
        </xdr:cNvPr>
        <xdr:cNvSpPr txBox="1">
          <a:spLocks noChangeArrowheads="1"/>
        </xdr:cNvSpPr>
      </xdr:nvSpPr>
      <xdr:spPr bwMode="auto">
        <a:xfrm>
          <a:off x="9055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172192</xdr:colOff>
      <xdr:row>80</xdr:row>
      <xdr:rowOff>29171</xdr:rowOff>
    </xdr:from>
    <xdr:to>
      <xdr:col>11</xdr:col>
      <xdr:colOff>248392</xdr:colOff>
      <xdr:row>80</xdr:row>
      <xdr:rowOff>29171</xdr:rowOff>
    </xdr:to>
    <xdr:sp macro="" textlink="">
      <xdr:nvSpPr>
        <xdr:cNvPr id="257072" name="Text Box 48" hidden="1">
          <a:extLst>
            <a:ext uri="{FF2B5EF4-FFF2-40B4-BE49-F238E27FC236}">
              <a16:creationId xmlns:a16="http://schemas.microsoft.com/office/drawing/2014/main" id="{7FC18613-8358-4B57-99DD-0E3FED7BBEAD}"/>
            </a:ext>
          </a:extLst>
        </xdr:cNvPr>
        <xdr:cNvSpPr txBox="1">
          <a:spLocks noChangeArrowheads="1"/>
        </xdr:cNvSpPr>
      </xdr:nvSpPr>
      <xdr:spPr bwMode="auto">
        <a:xfrm>
          <a:off x="11341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1</xdr:col>
      <xdr:colOff>4231079</xdr:colOff>
      <xdr:row>27</xdr:row>
      <xdr:rowOff>312737</xdr:rowOff>
    </xdr:to>
    <xdr:sp macro="" textlink="">
      <xdr:nvSpPr>
        <xdr:cNvPr id="257071" name="Text Box 47" hidden="1">
          <a:extLst>
            <a:ext uri="{FF2B5EF4-FFF2-40B4-BE49-F238E27FC236}">
              <a16:creationId xmlns:a16="http://schemas.microsoft.com/office/drawing/2014/main" id="{534620AE-0CFC-475C-AE84-EDBFA844E61A}"/>
            </a:ext>
          </a:extLst>
        </xdr:cNvPr>
        <xdr:cNvSpPr txBox="1">
          <a:spLocks noChangeArrowheads="1"/>
        </xdr:cNvSpPr>
      </xdr:nvSpPr>
      <xdr:spPr bwMode="auto">
        <a:xfrm>
          <a:off x="3435350" y="6724650"/>
          <a:ext cx="16383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142290</xdr:colOff>
      <xdr:row>79</xdr:row>
      <xdr:rowOff>68489</xdr:rowOff>
    </xdr:from>
    <xdr:to>
      <xdr:col>8</xdr:col>
      <xdr:colOff>251146</xdr:colOff>
      <xdr:row>79</xdr:row>
      <xdr:rowOff>68489</xdr:rowOff>
    </xdr:to>
    <xdr:sp macro="" textlink="">
      <xdr:nvSpPr>
        <xdr:cNvPr id="257076" name="Text Box 52" hidden="1">
          <a:extLst>
            <a:ext uri="{FF2B5EF4-FFF2-40B4-BE49-F238E27FC236}">
              <a16:creationId xmlns:a16="http://schemas.microsoft.com/office/drawing/2014/main" id="{A8D1167D-3B98-498E-838B-AF237BE4C460}"/>
            </a:ext>
          </a:extLst>
        </xdr:cNvPr>
        <xdr:cNvSpPr txBox="1">
          <a:spLocks noChangeArrowheads="1"/>
        </xdr:cNvSpPr>
      </xdr:nvSpPr>
      <xdr:spPr bwMode="auto">
        <a:xfrm>
          <a:off x="9098280" y="1862328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135362</xdr:colOff>
      <xdr:row>79</xdr:row>
      <xdr:rowOff>68489</xdr:rowOff>
    </xdr:from>
    <xdr:to>
      <xdr:col>11</xdr:col>
      <xdr:colOff>211562</xdr:colOff>
      <xdr:row>79</xdr:row>
      <xdr:rowOff>68489</xdr:rowOff>
    </xdr:to>
    <xdr:sp macro="" textlink="">
      <xdr:nvSpPr>
        <xdr:cNvPr id="257075" name="Text Box 51" hidden="1">
          <a:extLst>
            <a:ext uri="{FF2B5EF4-FFF2-40B4-BE49-F238E27FC236}">
              <a16:creationId xmlns:a16="http://schemas.microsoft.com/office/drawing/2014/main" id="{2CAFE827-43B4-43C9-9968-5006BDDA8849}"/>
            </a:ext>
          </a:extLst>
        </xdr:cNvPr>
        <xdr:cNvSpPr txBox="1">
          <a:spLocks noChangeArrowheads="1"/>
        </xdr:cNvSpPr>
      </xdr:nvSpPr>
      <xdr:spPr bwMode="auto">
        <a:xfrm>
          <a:off x="11430000" y="1862328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1</xdr:col>
      <xdr:colOff>4194249</xdr:colOff>
      <xdr:row>27</xdr:row>
      <xdr:rowOff>312737</xdr:rowOff>
    </xdr:to>
    <xdr:sp macro="" textlink="">
      <xdr:nvSpPr>
        <xdr:cNvPr id="257074" name="Text Box 50" hidden="1">
          <a:extLst>
            <a:ext uri="{FF2B5EF4-FFF2-40B4-BE49-F238E27FC236}">
              <a16:creationId xmlns:a16="http://schemas.microsoft.com/office/drawing/2014/main" id="{05A4EDC0-CAC5-4A46-B5BA-4027EC1AECEF}"/>
            </a:ext>
          </a:extLst>
        </xdr:cNvPr>
        <xdr:cNvSpPr txBox="1">
          <a:spLocks noChangeArrowheads="1"/>
        </xdr:cNvSpPr>
      </xdr:nvSpPr>
      <xdr:spPr bwMode="auto">
        <a:xfrm>
          <a:off x="3421380" y="6713220"/>
          <a:ext cx="163068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768350</xdr:colOff>
      <xdr:row>22</xdr:row>
      <xdr:rowOff>190500</xdr:rowOff>
    </xdr:from>
    <xdr:to>
      <xdr:col>17</xdr:col>
      <xdr:colOff>554462</xdr:colOff>
      <xdr:row>24</xdr:row>
      <xdr:rowOff>419100</xdr:rowOff>
    </xdr:to>
    <xdr:sp macro="" textlink="">
      <xdr:nvSpPr>
        <xdr:cNvPr id="257077" name="Text Box 53" hidden="1">
          <a:extLst>
            <a:ext uri="{FF2B5EF4-FFF2-40B4-BE49-F238E27FC236}">
              <a16:creationId xmlns:a16="http://schemas.microsoft.com/office/drawing/2014/main" id="{596C25C8-CBAD-472D-9760-2BDF3A769F5B}"/>
            </a:ext>
          </a:extLst>
        </xdr:cNvPr>
        <xdr:cNvSpPr txBox="1">
          <a:spLocks noChangeArrowheads="1"/>
        </xdr:cNvSpPr>
      </xdr:nvSpPr>
      <xdr:spPr bwMode="auto">
        <a:xfrm>
          <a:off x="16855440" y="5273040"/>
          <a:ext cx="13335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768350</xdr:colOff>
      <xdr:row>19</xdr:row>
      <xdr:rowOff>381000</xdr:rowOff>
    </xdr:from>
    <xdr:to>
      <xdr:col>17</xdr:col>
      <xdr:colOff>554462</xdr:colOff>
      <xdr:row>23</xdr:row>
      <xdr:rowOff>0</xdr:rowOff>
    </xdr:to>
    <xdr:sp macro="" textlink="">
      <xdr:nvSpPr>
        <xdr:cNvPr id="257078" name="Text Box 54" hidden="1">
          <a:extLst>
            <a:ext uri="{FF2B5EF4-FFF2-40B4-BE49-F238E27FC236}">
              <a16:creationId xmlns:a16="http://schemas.microsoft.com/office/drawing/2014/main" id="{02E8607D-8B4F-444E-AFEF-18A26FD97CD0}"/>
            </a:ext>
          </a:extLst>
        </xdr:cNvPr>
        <xdr:cNvSpPr txBox="1">
          <a:spLocks noChangeArrowheads="1"/>
        </xdr:cNvSpPr>
      </xdr:nvSpPr>
      <xdr:spPr bwMode="auto">
        <a:xfrm>
          <a:off x="16855440" y="4549140"/>
          <a:ext cx="13335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768350</xdr:colOff>
      <xdr:row>74</xdr:row>
      <xdr:rowOff>23307</xdr:rowOff>
    </xdr:from>
    <xdr:to>
      <xdr:col>19</xdr:col>
      <xdr:colOff>591292</xdr:colOff>
      <xdr:row>78</xdr:row>
      <xdr:rowOff>160926</xdr:rowOff>
    </xdr:to>
    <xdr:sp macro="" textlink="">
      <xdr:nvSpPr>
        <xdr:cNvPr id="257080" name="Text Box 56" hidden="1">
          <a:extLst>
            <a:ext uri="{FF2B5EF4-FFF2-40B4-BE49-F238E27FC236}">
              <a16:creationId xmlns:a16="http://schemas.microsoft.com/office/drawing/2014/main" id="{C7B0062A-6A72-47D9-84AF-5D760D232B2C}"/>
            </a:ext>
          </a:extLst>
        </xdr:cNvPr>
        <xdr:cNvSpPr txBox="1">
          <a:spLocks noChangeArrowheads="1"/>
        </xdr:cNvSpPr>
      </xdr:nvSpPr>
      <xdr:spPr bwMode="auto">
        <a:xfrm>
          <a:off x="18440400" y="17251680"/>
          <a:ext cx="1363980" cy="12649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79</xdr:row>
      <xdr:rowOff>68489</xdr:rowOff>
    </xdr:from>
    <xdr:to>
      <xdr:col>8</xdr:col>
      <xdr:colOff>249876</xdr:colOff>
      <xdr:row>79</xdr:row>
      <xdr:rowOff>68489</xdr:rowOff>
    </xdr:to>
    <xdr:sp macro="" textlink="">
      <xdr:nvSpPr>
        <xdr:cNvPr id="257086" name="Text Box 62" hidden="1">
          <a:extLst>
            <a:ext uri="{FF2B5EF4-FFF2-40B4-BE49-F238E27FC236}">
              <a16:creationId xmlns:a16="http://schemas.microsoft.com/office/drawing/2014/main" id="{ED262875-3C6F-4CCF-A0B4-225D961BFB9B}"/>
            </a:ext>
          </a:extLst>
        </xdr:cNvPr>
        <xdr:cNvSpPr txBox="1">
          <a:spLocks noChangeArrowheads="1"/>
        </xdr:cNvSpPr>
      </xdr:nvSpPr>
      <xdr:spPr bwMode="auto">
        <a:xfrm>
          <a:off x="9029700" y="187261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79</xdr:row>
      <xdr:rowOff>68489</xdr:rowOff>
    </xdr:from>
    <xdr:to>
      <xdr:col>11</xdr:col>
      <xdr:colOff>210292</xdr:colOff>
      <xdr:row>79</xdr:row>
      <xdr:rowOff>68489</xdr:rowOff>
    </xdr:to>
    <xdr:sp macro="" textlink="">
      <xdr:nvSpPr>
        <xdr:cNvPr id="257085" name="Text Box 61" hidden="1">
          <a:extLst>
            <a:ext uri="{FF2B5EF4-FFF2-40B4-BE49-F238E27FC236}">
              <a16:creationId xmlns:a16="http://schemas.microsoft.com/office/drawing/2014/main" id="{EA0096F3-83F9-454E-AB5A-9E2466E3F2A5}"/>
            </a:ext>
          </a:extLst>
        </xdr:cNvPr>
        <xdr:cNvSpPr txBox="1">
          <a:spLocks noChangeArrowheads="1"/>
        </xdr:cNvSpPr>
      </xdr:nvSpPr>
      <xdr:spPr bwMode="auto">
        <a:xfrm>
          <a:off x="11315700" y="187261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1</xdr:col>
      <xdr:colOff>4192979</xdr:colOff>
      <xdr:row>27</xdr:row>
      <xdr:rowOff>312737</xdr:rowOff>
    </xdr:to>
    <xdr:sp macro="" textlink="">
      <xdr:nvSpPr>
        <xdr:cNvPr id="257084" name="Text Box 60" hidden="1">
          <a:extLst>
            <a:ext uri="{FF2B5EF4-FFF2-40B4-BE49-F238E27FC236}">
              <a16:creationId xmlns:a16="http://schemas.microsoft.com/office/drawing/2014/main" id="{06F485A7-E077-446F-9B22-A3CFDF977281}"/>
            </a:ext>
          </a:extLst>
        </xdr:cNvPr>
        <xdr:cNvSpPr txBox="1">
          <a:spLocks noChangeArrowheads="1"/>
        </xdr:cNvSpPr>
      </xdr:nvSpPr>
      <xdr:spPr bwMode="auto">
        <a:xfrm>
          <a:off x="3390900" y="6762750"/>
          <a:ext cx="16573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768350</xdr:colOff>
      <xdr:row>22</xdr:row>
      <xdr:rowOff>190500</xdr:rowOff>
    </xdr:from>
    <xdr:to>
      <xdr:col>17</xdr:col>
      <xdr:colOff>553192</xdr:colOff>
      <xdr:row>24</xdr:row>
      <xdr:rowOff>419100</xdr:rowOff>
    </xdr:to>
    <xdr:sp macro="" textlink="">
      <xdr:nvSpPr>
        <xdr:cNvPr id="257083" name="Text Box 59" hidden="1">
          <a:extLst>
            <a:ext uri="{FF2B5EF4-FFF2-40B4-BE49-F238E27FC236}">
              <a16:creationId xmlns:a16="http://schemas.microsoft.com/office/drawing/2014/main" id="{95EF0680-2EA0-41C5-9026-8AC7BE90855D}"/>
            </a:ext>
          </a:extLst>
        </xdr:cNvPr>
        <xdr:cNvSpPr txBox="1">
          <a:spLocks noChangeArrowheads="1"/>
        </xdr:cNvSpPr>
      </xdr:nvSpPr>
      <xdr:spPr bwMode="auto">
        <a:xfrm>
          <a:off x="16535400" y="53149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768350</xdr:colOff>
      <xdr:row>19</xdr:row>
      <xdr:rowOff>381000</xdr:rowOff>
    </xdr:from>
    <xdr:to>
      <xdr:col>17</xdr:col>
      <xdr:colOff>553192</xdr:colOff>
      <xdr:row>23</xdr:row>
      <xdr:rowOff>0</xdr:rowOff>
    </xdr:to>
    <xdr:sp macro="" textlink="">
      <xdr:nvSpPr>
        <xdr:cNvPr id="257082" name="Text Box 58" hidden="1">
          <a:extLst>
            <a:ext uri="{FF2B5EF4-FFF2-40B4-BE49-F238E27FC236}">
              <a16:creationId xmlns:a16="http://schemas.microsoft.com/office/drawing/2014/main" id="{0FFD1E25-EB11-46D4-A7C1-DE5B1A9B890E}"/>
            </a:ext>
          </a:extLst>
        </xdr:cNvPr>
        <xdr:cNvSpPr txBox="1">
          <a:spLocks noChangeArrowheads="1"/>
        </xdr:cNvSpPr>
      </xdr:nvSpPr>
      <xdr:spPr bwMode="auto">
        <a:xfrm>
          <a:off x="16535400" y="457200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768350</xdr:colOff>
      <xdr:row>74</xdr:row>
      <xdr:rowOff>23307</xdr:rowOff>
    </xdr:from>
    <xdr:to>
      <xdr:col>19</xdr:col>
      <xdr:colOff>591292</xdr:colOff>
      <xdr:row>78</xdr:row>
      <xdr:rowOff>140606</xdr:rowOff>
    </xdr:to>
    <xdr:sp macro="" textlink="">
      <xdr:nvSpPr>
        <xdr:cNvPr id="257081" name="Text Box 57" hidden="1">
          <a:extLst>
            <a:ext uri="{FF2B5EF4-FFF2-40B4-BE49-F238E27FC236}">
              <a16:creationId xmlns:a16="http://schemas.microsoft.com/office/drawing/2014/main" id="{B5AD0D2C-9C39-4605-AB4E-1D490CD13191}"/>
            </a:ext>
          </a:extLst>
        </xdr:cNvPr>
        <xdr:cNvSpPr txBox="1">
          <a:spLocks noChangeArrowheads="1"/>
        </xdr:cNvSpPr>
      </xdr:nvSpPr>
      <xdr:spPr bwMode="auto">
        <a:xfrm>
          <a:off x="18059400" y="17354550"/>
          <a:ext cx="1333500" cy="1257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79</xdr:row>
      <xdr:rowOff>68489</xdr:rowOff>
    </xdr:from>
    <xdr:to>
      <xdr:col>8</xdr:col>
      <xdr:colOff>249876</xdr:colOff>
      <xdr:row>79</xdr:row>
      <xdr:rowOff>68489</xdr:rowOff>
    </xdr:to>
    <xdr:sp macro="" textlink="">
      <xdr:nvSpPr>
        <xdr:cNvPr id="257092" name="Text Box 68" hidden="1">
          <a:extLst>
            <a:ext uri="{FF2B5EF4-FFF2-40B4-BE49-F238E27FC236}">
              <a16:creationId xmlns:a16="http://schemas.microsoft.com/office/drawing/2014/main" id="{AF8B870A-8AA5-47F2-9ADB-C68DBC96ECC7}"/>
            </a:ext>
          </a:extLst>
        </xdr:cNvPr>
        <xdr:cNvSpPr txBox="1">
          <a:spLocks noChangeArrowheads="1"/>
        </xdr:cNvSpPr>
      </xdr:nvSpPr>
      <xdr:spPr bwMode="auto">
        <a:xfrm>
          <a:off x="9090660" y="1862328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79</xdr:row>
      <xdr:rowOff>68489</xdr:rowOff>
    </xdr:from>
    <xdr:to>
      <xdr:col>11</xdr:col>
      <xdr:colOff>210292</xdr:colOff>
      <xdr:row>79</xdr:row>
      <xdr:rowOff>68489</xdr:rowOff>
    </xdr:to>
    <xdr:sp macro="" textlink="">
      <xdr:nvSpPr>
        <xdr:cNvPr id="257091" name="Text Box 67" hidden="1">
          <a:extLst>
            <a:ext uri="{FF2B5EF4-FFF2-40B4-BE49-F238E27FC236}">
              <a16:creationId xmlns:a16="http://schemas.microsoft.com/office/drawing/2014/main" id="{CAD70D59-C0F2-459C-93BB-CC430A15D291}"/>
            </a:ext>
          </a:extLst>
        </xdr:cNvPr>
        <xdr:cNvSpPr txBox="1">
          <a:spLocks noChangeArrowheads="1"/>
        </xdr:cNvSpPr>
      </xdr:nvSpPr>
      <xdr:spPr bwMode="auto">
        <a:xfrm>
          <a:off x="11422380" y="1862328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1</xdr:col>
      <xdr:colOff>4192979</xdr:colOff>
      <xdr:row>27</xdr:row>
      <xdr:rowOff>312737</xdr:rowOff>
    </xdr:to>
    <xdr:sp macro="" textlink="">
      <xdr:nvSpPr>
        <xdr:cNvPr id="257090" name="Text Box 66" hidden="1">
          <a:extLst>
            <a:ext uri="{FF2B5EF4-FFF2-40B4-BE49-F238E27FC236}">
              <a16:creationId xmlns:a16="http://schemas.microsoft.com/office/drawing/2014/main" id="{365F9AC4-C7D6-4296-BFA9-3FF38B77F03B}"/>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768350</xdr:colOff>
      <xdr:row>22</xdr:row>
      <xdr:rowOff>190500</xdr:rowOff>
    </xdr:from>
    <xdr:to>
      <xdr:col>17</xdr:col>
      <xdr:colOff>553192</xdr:colOff>
      <xdr:row>24</xdr:row>
      <xdr:rowOff>419100</xdr:rowOff>
    </xdr:to>
    <xdr:sp macro="" textlink="">
      <xdr:nvSpPr>
        <xdr:cNvPr id="257089" name="Text Box 65" hidden="1">
          <a:extLst>
            <a:ext uri="{FF2B5EF4-FFF2-40B4-BE49-F238E27FC236}">
              <a16:creationId xmlns:a16="http://schemas.microsoft.com/office/drawing/2014/main" id="{F149A5D8-8A35-438C-A9BD-8D361CA32E8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768350</xdr:colOff>
      <xdr:row>19</xdr:row>
      <xdr:rowOff>381000</xdr:rowOff>
    </xdr:from>
    <xdr:to>
      <xdr:col>17</xdr:col>
      <xdr:colOff>553192</xdr:colOff>
      <xdr:row>23</xdr:row>
      <xdr:rowOff>0</xdr:rowOff>
    </xdr:to>
    <xdr:sp macro="" textlink="">
      <xdr:nvSpPr>
        <xdr:cNvPr id="257088" name="Text Box 64" hidden="1">
          <a:extLst>
            <a:ext uri="{FF2B5EF4-FFF2-40B4-BE49-F238E27FC236}">
              <a16:creationId xmlns:a16="http://schemas.microsoft.com/office/drawing/2014/main" id="{53F8BD20-C5ED-456F-8823-676AD38E91D3}"/>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768350</xdr:colOff>
      <xdr:row>74</xdr:row>
      <xdr:rowOff>23307</xdr:rowOff>
    </xdr:from>
    <xdr:to>
      <xdr:col>19</xdr:col>
      <xdr:colOff>591292</xdr:colOff>
      <xdr:row>78</xdr:row>
      <xdr:rowOff>140606</xdr:rowOff>
    </xdr:to>
    <xdr:sp macro="" textlink="">
      <xdr:nvSpPr>
        <xdr:cNvPr id="257087" name="Text Box 63" hidden="1">
          <a:extLst>
            <a:ext uri="{FF2B5EF4-FFF2-40B4-BE49-F238E27FC236}">
              <a16:creationId xmlns:a16="http://schemas.microsoft.com/office/drawing/2014/main" id="{BA6D4909-C54B-42C1-B42B-7664F989C2B6}"/>
            </a:ext>
          </a:extLst>
        </xdr:cNvPr>
        <xdr:cNvSpPr txBox="1">
          <a:spLocks noChangeArrowheads="1"/>
        </xdr:cNvSpPr>
      </xdr:nvSpPr>
      <xdr:spPr bwMode="auto">
        <a:xfrm>
          <a:off x="18440400" y="17251680"/>
          <a:ext cx="1363980" cy="1257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80</xdr:row>
      <xdr:rowOff>64437</xdr:rowOff>
    </xdr:from>
    <xdr:to>
      <xdr:col>8</xdr:col>
      <xdr:colOff>249876</xdr:colOff>
      <xdr:row>80</xdr:row>
      <xdr:rowOff>64437</xdr:rowOff>
    </xdr:to>
    <xdr:sp macro="" textlink="">
      <xdr:nvSpPr>
        <xdr:cNvPr id="257110" name="Text Box 86" hidden="1">
          <a:extLst>
            <a:ext uri="{FF2B5EF4-FFF2-40B4-BE49-F238E27FC236}">
              <a16:creationId xmlns:a16="http://schemas.microsoft.com/office/drawing/2014/main" id="{F482FAD2-97BC-4A89-ACD4-4D610E4E44D0}"/>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80</xdr:row>
      <xdr:rowOff>64437</xdr:rowOff>
    </xdr:from>
    <xdr:to>
      <xdr:col>11</xdr:col>
      <xdr:colOff>210292</xdr:colOff>
      <xdr:row>80</xdr:row>
      <xdr:rowOff>64437</xdr:rowOff>
    </xdr:to>
    <xdr:sp macro="" textlink="">
      <xdr:nvSpPr>
        <xdr:cNvPr id="257109" name="Text Box 85" hidden="1">
          <a:extLst>
            <a:ext uri="{FF2B5EF4-FFF2-40B4-BE49-F238E27FC236}">
              <a16:creationId xmlns:a16="http://schemas.microsoft.com/office/drawing/2014/main" id="{9EA39ABC-A427-4877-81B2-FF7D7C4EF5CB}"/>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1</xdr:col>
      <xdr:colOff>4192979</xdr:colOff>
      <xdr:row>27</xdr:row>
      <xdr:rowOff>312737</xdr:rowOff>
    </xdr:to>
    <xdr:sp macro="" textlink="">
      <xdr:nvSpPr>
        <xdr:cNvPr id="257108" name="Text Box 84" hidden="1">
          <a:extLst>
            <a:ext uri="{FF2B5EF4-FFF2-40B4-BE49-F238E27FC236}">
              <a16:creationId xmlns:a16="http://schemas.microsoft.com/office/drawing/2014/main" id="{109238EC-05D4-4A27-82FE-833C27DE87EA}"/>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768350</xdr:colOff>
      <xdr:row>22</xdr:row>
      <xdr:rowOff>190500</xdr:rowOff>
    </xdr:from>
    <xdr:to>
      <xdr:col>17</xdr:col>
      <xdr:colOff>553192</xdr:colOff>
      <xdr:row>24</xdr:row>
      <xdr:rowOff>419100</xdr:rowOff>
    </xdr:to>
    <xdr:sp macro="" textlink="">
      <xdr:nvSpPr>
        <xdr:cNvPr id="257107" name="Text Box 83" hidden="1">
          <a:extLst>
            <a:ext uri="{FF2B5EF4-FFF2-40B4-BE49-F238E27FC236}">
              <a16:creationId xmlns:a16="http://schemas.microsoft.com/office/drawing/2014/main" id="{E56545D4-9508-42FC-9837-B15A14567B72}"/>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768350</xdr:colOff>
      <xdr:row>19</xdr:row>
      <xdr:rowOff>381000</xdr:rowOff>
    </xdr:from>
    <xdr:to>
      <xdr:col>17</xdr:col>
      <xdr:colOff>553192</xdr:colOff>
      <xdr:row>23</xdr:row>
      <xdr:rowOff>0</xdr:rowOff>
    </xdr:to>
    <xdr:sp macro="" textlink="">
      <xdr:nvSpPr>
        <xdr:cNvPr id="257106" name="Text Box 82" hidden="1">
          <a:extLst>
            <a:ext uri="{FF2B5EF4-FFF2-40B4-BE49-F238E27FC236}">
              <a16:creationId xmlns:a16="http://schemas.microsoft.com/office/drawing/2014/main" id="{2939EA37-DDF8-41E9-AE9B-FC712530927E}"/>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768350</xdr:colOff>
      <xdr:row>74</xdr:row>
      <xdr:rowOff>199334</xdr:rowOff>
    </xdr:from>
    <xdr:to>
      <xdr:col>19</xdr:col>
      <xdr:colOff>591292</xdr:colOff>
      <xdr:row>79</xdr:row>
      <xdr:rowOff>58420</xdr:rowOff>
    </xdr:to>
    <xdr:sp macro="" textlink="">
      <xdr:nvSpPr>
        <xdr:cNvPr id="257105" name="Text Box 81" hidden="1">
          <a:extLst>
            <a:ext uri="{FF2B5EF4-FFF2-40B4-BE49-F238E27FC236}">
              <a16:creationId xmlns:a16="http://schemas.microsoft.com/office/drawing/2014/main" id="{5D64F758-EB2C-4FD7-B976-A2D58C802521}"/>
            </a:ext>
          </a:extLst>
        </xdr:cNvPr>
        <xdr:cNvSpPr txBox="1">
          <a:spLocks noChangeArrowheads="1"/>
        </xdr:cNvSpPr>
      </xdr:nvSpPr>
      <xdr:spPr bwMode="auto">
        <a:xfrm>
          <a:off x="18440400" y="17434560"/>
          <a:ext cx="13639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80</xdr:row>
      <xdr:rowOff>64437</xdr:rowOff>
    </xdr:from>
    <xdr:to>
      <xdr:col>8</xdr:col>
      <xdr:colOff>249876</xdr:colOff>
      <xdr:row>80</xdr:row>
      <xdr:rowOff>64437</xdr:rowOff>
    </xdr:to>
    <xdr:sp macro="" textlink="">
      <xdr:nvSpPr>
        <xdr:cNvPr id="257104" name="Text Box 80" hidden="1">
          <a:extLst>
            <a:ext uri="{FF2B5EF4-FFF2-40B4-BE49-F238E27FC236}">
              <a16:creationId xmlns:a16="http://schemas.microsoft.com/office/drawing/2014/main" id="{2DF52582-9440-46BE-B838-8BBC350C191D}"/>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80</xdr:row>
      <xdr:rowOff>64437</xdr:rowOff>
    </xdr:from>
    <xdr:to>
      <xdr:col>11</xdr:col>
      <xdr:colOff>210292</xdr:colOff>
      <xdr:row>80</xdr:row>
      <xdr:rowOff>64437</xdr:rowOff>
    </xdr:to>
    <xdr:sp macro="" textlink="">
      <xdr:nvSpPr>
        <xdr:cNvPr id="257103" name="Text Box 79" hidden="1">
          <a:extLst>
            <a:ext uri="{FF2B5EF4-FFF2-40B4-BE49-F238E27FC236}">
              <a16:creationId xmlns:a16="http://schemas.microsoft.com/office/drawing/2014/main" id="{957B8A20-2459-4434-836D-28B0501B847C}"/>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1</xdr:col>
      <xdr:colOff>4192979</xdr:colOff>
      <xdr:row>27</xdr:row>
      <xdr:rowOff>312737</xdr:rowOff>
    </xdr:to>
    <xdr:sp macro="" textlink="">
      <xdr:nvSpPr>
        <xdr:cNvPr id="257102" name="Text Box 78" hidden="1">
          <a:extLst>
            <a:ext uri="{FF2B5EF4-FFF2-40B4-BE49-F238E27FC236}">
              <a16:creationId xmlns:a16="http://schemas.microsoft.com/office/drawing/2014/main" id="{31DEA9C7-460E-407B-BA7B-8BDB8BB020DA}"/>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768350</xdr:colOff>
      <xdr:row>22</xdr:row>
      <xdr:rowOff>190500</xdr:rowOff>
    </xdr:from>
    <xdr:to>
      <xdr:col>17</xdr:col>
      <xdr:colOff>553192</xdr:colOff>
      <xdr:row>24</xdr:row>
      <xdr:rowOff>419100</xdr:rowOff>
    </xdr:to>
    <xdr:sp macro="" textlink="">
      <xdr:nvSpPr>
        <xdr:cNvPr id="257101" name="Text Box 77" hidden="1">
          <a:extLst>
            <a:ext uri="{FF2B5EF4-FFF2-40B4-BE49-F238E27FC236}">
              <a16:creationId xmlns:a16="http://schemas.microsoft.com/office/drawing/2014/main" id="{8E7E3F0E-98EB-48CF-BC46-AFC3FE4AEE3F}"/>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768350</xdr:colOff>
      <xdr:row>19</xdr:row>
      <xdr:rowOff>381000</xdr:rowOff>
    </xdr:from>
    <xdr:to>
      <xdr:col>17</xdr:col>
      <xdr:colOff>553192</xdr:colOff>
      <xdr:row>23</xdr:row>
      <xdr:rowOff>0</xdr:rowOff>
    </xdr:to>
    <xdr:sp macro="" textlink="">
      <xdr:nvSpPr>
        <xdr:cNvPr id="257100" name="Text Box 76" hidden="1">
          <a:extLst>
            <a:ext uri="{FF2B5EF4-FFF2-40B4-BE49-F238E27FC236}">
              <a16:creationId xmlns:a16="http://schemas.microsoft.com/office/drawing/2014/main" id="{D51E2A5C-1A56-415F-90DF-59C1F57DDC98}"/>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768350</xdr:colOff>
      <xdr:row>74</xdr:row>
      <xdr:rowOff>199334</xdr:rowOff>
    </xdr:from>
    <xdr:to>
      <xdr:col>19</xdr:col>
      <xdr:colOff>591292</xdr:colOff>
      <xdr:row>79</xdr:row>
      <xdr:rowOff>58420</xdr:rowOff>
    </xdr:to>
    <xdr:sp macro="" textlink="">
      <xdr:nvSpPr>
        <xdr:cNvPr id="257099" name="Text Box 75" hidden="1">
          <a:extLst>
            <a:ext uri="{FF2B5EF4-FFF2-40B4-BE49-F238E27FC236}">
              <a16:creationId xmlns:a16="http://schemas.microsoft.com/office/drawing/2014/main" id="{3476C49D-937B-4930-A583-6E14B6A0BE89}"/>
            </a:ext>
          </a:extLst>
        </xdr:cNvPr>
        <xdr:cNvSpPr txBox="1">
          <a:spLocks noChangeArrowheads="1"/>
        </xdr:cNvSpPr>
      </xdr:nvSpPr>
      <xdr:spPr bwMode="auto">
        <a:xfrm>
          <a:off x="18440400" y="17434560"/>
          <a:ext cx="13639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80</xdr:row>
      <xdr:rowOff>64437</xdr:rowOff>
    </xdr:from>
    <xdr:to>
      <xdr:col>8</xdr:col>
      <xdr:colOff>249876</xdr:colOff>
      <xdr:row>80</xdr:row>
      <xdr:rowOff>64437</xdr:rowOff>
    </xdr:to>
    <xdr:sp macro="" textlink="">
      <xdr:nvSpPr>
        <xdr:cNvPr id="257098" name="Text Box 74" hidden="1">
          <a:extLst>
            <a:ext uri="{FF2B5EF4-FFF2-40B4-BE49-F238E27FC236}">
              <a16:creationId xmlns:a16="http://schemas.microsoft.com/office/drawing/2014/main" id="{44F5701B-F7D7-443F-BD3B-17FDE925E0FE}"/>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80</xdr:row>
      <xdr:rowOff>64437</xdr:rowOff>
    </xdr:from>
    <xdr:to>
      <xdr:col>11</xdr:col>
      <xdr:colOff>210292</xdr:colOff>
      <xdr:row>80</xdr:row>
      <xdr:rowOff>64437</xdr:rowOff>
    </xdr:to>
    <xdr:sp macro="" textlink="">
      <xdr:nvSpPr>
        <xdr:cNvPr id="257097" name="Text Box 73" hidden="1">
          <a:extLst>
            <a:ext uri="{FF2B5EF4-FFF2-40B4-BE49-F238E27FC236}">
              <a16:creationId xmlns:a16="http://schemas.microsoft.com/office/drawing/2014/main" id="{519DEEC6-D893-497D-9BFC-CD5EBFC51E0F}"/>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1</xdr:col>
      <xdr:colOff>4192979</xdr:colOff>
      <xdr:row>27</xdr:row>
      <xdr:rowOff>312737</xdr:rowOff>
    </xdr:to>
    <xdr:sp macro="" textlink="">
      <xdr:nvSpPr>
        <xdr:cNvPr id="257096" name="Text Box 72" hidden="1">
          <a:extLst>
            <a:ext uri="{FF2B5EF4-FFF2-40B4-BE49-F238E27FC236}">
              <a16:creationId xmlns:a16="http://schemas.microsoft.com/office/drawing/2014/main" id="{42619555-8572-4D16-A8F6-BF6CED6D58F7}"/>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768350</xdr:colOff>
      <xdr:row>22</xdr:row>
      <xdr:rowOff>190500</xdr:rowOff>
    </xdr:from>
    <xdr:to>
      <xdr:col>17</xdr:col>
      <xdr:colOff>553192</xdr:colOff>
      <xdr:row>24</xdr:row>
      <xdr:rowOff>419100</xdr:rowOff>
    </xdr:to>
    <xdr:sp macro="" textlink="">
      <xdr:nvSpPr>
        <xdr:cNvPr id="257095" name="Text Box 71" hidden="1">
          <a:extLst>
            <a:ext uri="{FF2B5EF4-FFF2-40B4-BE49-F238E27FC236}">
              <a16:creationId xmlns:a16="http://schemas.microsoft.com/office/drawing/2014/main" id="{B33E632E-AD20-43BB-AE45-0A8143ABBCE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768350</xdr:colOff>
      <xdr:row>19</xdr:row>
      <xdr:rowOff>381000</xdr:rowOff>
    </xdr:from>
    <xdr:to>
      <xdr:col>17</xdr:col>
      <xdr:colOff>553192</xdr:colOff>
      <xdr:row>23</xdr:row>
      <xdr:rowOff>0</xdr:rowOff>
    </xdr:to>
    <xdr:sp macro="" textlink="">
      <xdr:nvSpPr>
        <xdr:cNvPr id="257094" name="Text Box 70" hidden="1">
          <a:extLst>
            <a:ext uri="{FF2B5EF4-FFF2-40B4-BE49-F238E27FC236}">
              <a16:creationId xmlns:a16="http://schemas.microsoft.com/office/drawing/2014/main" id="{59779769-C767-4E31-842E-EE247BD5731E}"/>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768350</xdr:colOff>
      <xdr:row>74</xdr:row>
      <xdr:rowOff>199334</xdr:rowOff>
    </xdr:from>
    <xdr:to>
      <xdr:col>19</xdr:col>
      <xdr:colOff>591292</xdr:colOff>
      <xdr:row>79</xdr:row>
      <xdr:rowOff>58420</xdr:rowOff>
    </xdr:to>
    <xdr:sp macro="" textlink="">
      <xdr:nvSpPr>
        <xdr:cNvPr id="257093" name="Text Box 69" hidden="1">
          <a:extLst>
            <a:ext uri="{FF2B5EF4-FFF2-40B4-BE49-F238E27FC236}">
              <a16:creationId xmlns:a16="http://schemas.microsoft.com/office/drawing/2014/main" id="{E05F20D6-B533-43B3-8581-8EDB18D75F26}"/>
            </a:ext>
          </a:extLst>
        </xdr:cNvPr>
        <xdr:cNvSpPr txBox="1">
          <a:spLocks noChangeArrowheads="1"/>
        </xdr:cNvSpPr>
      </xdr:nvSpPr>
      <xdr:spPr bwMode="auto">
        <a:xfrm>
          <a:off x="18440400" y="17434560"/>
          <a:ext cx="13639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80</xdr:row>
      <xdr:rowOff>64437</xdr:rowOff>
    </xdr:from>
    <xdr:to>
      <xdr:col>8</xdr:col>
      <xdr:colOff>249876</xdr:colOff>
      <xdr:row>80</xdr:row>
      <xdr:rowOff>64437</xdr:rowOff>
    </xdr:to>
    <xdr:sp macro="" textlink="">
      <xdr:nvSpPr>
        <xdr:cNvPr id="257128" name="Text Box 104" hidden="1">
          <a:extLst>
            <a:ext uri="{FF2B5EF4-FFF2-40B4-BE49-F238E27FC236}">
              <a16:creationId xmlns:a16="http://schemas.microsoft.com/office/drawing/2014/main" id="{334FCD33-6D65-46E9-91DE-09893B56DBD0}"/>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80</xdr:row>
      <xdr:rowOff>64437</xdr:rowOff>
    </xdr:from>
    <xdr:to>
      <xdr:col>11</xdr:col>
      <xdr:colOff>210292</xdr:colOff>
      <xdr:row>80</xdr:row>
      <xdr:rowOff>64437</xdr:rowOff>
    </xdr:to>
    <xdr:sp macro="" textlink="">
      <xdr:nvSpPr>
        <xdr:cNvPr id="257127" name="Text Box 103" hidden="1">
          <a:extLst>
            <a:ext uri="{FF2B5EF4-FFF2-40B4-BE49-F238E27FC236}">
              <a16:creationId xmlns:a16="http://schemas.microsoft.com/office/drawing/2014/main" id="{4AC97C91-9A3C-447B-949D-969204591FBD}"/>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1</xdr:col>
      <xdr:colOff>4192979</xdr:colOff>
      <xdr:row>27</xdr:row>
      <xdr:rowOff>312737</xdr:rowOff>
    </xdr:to>
    <xdr:sp macro="" textlink="">
      <xdr:nvSpPr>
        <xdr:cNvPr id="257126" name="Text Box 102" hidden="1">
          <a:extLst>
            <a:ext uri="{FF2B5EF4-FFF2-40B4-BE49-F238E27FC236}">
              <a16:creationId xmlns:a16="http://schemas.microsoft.com/office/drawing/2014/main" id="{F5201CC2-7D85-4D14-A942-DDCDCFC6FD46}"/>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768350</xdr:colOff>
      <xdr:row>22</xdr:row>
      <xdr:rowOff>190500</xdr:rowOff>
    </xdr:from>
    <xdr:to>
      <xdr:col>17</xdr:col>
      <xdr:colOff>553192</xdr:colOff>
      <xdr:row>24</xdr:row>
      <xdr:rowOff>419100</xdr:rowOff>
    </xdr:to>
    <xdr:sp macro="" textlink="">
      <xdr:nvSpPr>
        <xdr:cNvPr id="257125" name="Text Box 101" hidden="1">
          <a:extLst>
            <a:ext uri="{FF2B5EF4-FFF2-40B4-BE49-F238E27FC236}">
              <a16:creationId xmlns:a16="http://schemas.microsoft.com/office/drawing/2014/main" id="{60EE70AD-91D2-45B6-AC74-6172A44D4DE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768350</xdr:colOff>
      <xdr:row>19</xdr:row>
      <xdr:rowOff>381000</xdr:rowOff>
    </xdr:from>
    <xdr:to>
      <xdr:col>17</xdr:col>
      <xdr:colOff>553192</xdr:colOff>
      <xdr:row>23</xdr:row>
      <xdr:rowOff>0</xdr:rowOff>
    </xdr:to>
    <xdr:sp macro="" textlink="">
      <xdr:nvSpPr>
        <xdr:cNvPr id="257124" name="Text Box 100" hidden="1">
          <a:extLst>
            <a:ext uri="{FF2B5EF4-FFF2-40B4-BE49-F238E27FC236}">
              <a16:creationId xmlns:a16="http://schemas.microsoft.com/office/drawing/2014/main" id="{1EABBFA6-9195-489D-B3DB-C2131C2C6FBD}"/>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768350</xdr:colOff>
      <xdr:row>74</xdr:row>
      <xdr:rowOff>199334</xdr:rowOff>
    </xdr:from>
    <xdr:to>
      <xdr:col>19</xdr:col>
      <xdr:colOff>591292</xdr:colOff>
      <xdr:row>79</xdr:row>
      <xdr:rowOff>66675</xdr:rowOff>
    </xdr:to>
    <xdr:sp macro="" textlink="">
      <xdr:nvSpPr>
        <xdr:cNvPr id="257123" name="Text Box 99" hidden="1">
          <a:extLst>
            <a:ext uri="{FF2B5EF4-FFF2-40B4-BE49-F238E27FC236}">
              <a16:creationId xmlns:a16="http://schemas.microsoft.com/office/drawing/2014/main" id="{63FF430A-11F1-4A07-9543-ABA89E104148}"/>
            </a:ext>
          </a:extLst>
        </xdr:cNvPr>
        <xdr:cNvSpPr txBox="1">
          <a:spLocks noChangeArrowheads="1"/>
        </xdr:cNvSpPr>
      </xdr:nvSpPr>
      <xdr:spPr bwMode="auto">
        <a:xfrm>
          <a:off x="1844040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80</xdr:row>
      <xdr:rowOff>64437</xdr:rowOff>
    </xdr:from>
    <xdr:to>
      <xdr:col>8</xdr:col>
      <xdr:colOff>249876</xdr:colOff>
      <xdr:row>80</xdr:row>
      <xdr:rowOff>64437</xdr:rowOff>
    </xdr:to>
    <xdr:sp macro="" textlink="">
      <xdr:nvSpPr>
        <xdr:cNvPr id="257122" name="Text Box 98" hidden="1">
          <a:extLst>
            <a:ext uri="{FF2B5EF4-FFF2-40B4-BE49-F238E27FC236}">
              <a16:creationId xmlns:a16="http://schemas.microsoft.com/office/drawing/2014/main" id="{2100F805-6056-45AB-AE32-AC5DE514707A}"/>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80</xdr:row>
      <xdr:rowOff>64437</xdr:rowOff>
    </xdr:from>
    <xdr:to>
      <xdr:col>11</xdr:col>
      <xdr:colOff>210292</xdr:colOff>
      <xdr:row>80</xdr:row>
      <xdr:rowOff>64437</xdr:rowOff>
    </xdr:to>
    <xdr:sp macro="" textlink="">
      <xdr:nvSpPr>
        <xdr:cNvPr id="257121" name="Text Box 97" hidden="1">
          <a:extLst>
            <a:ext uri="{FF2B5EF4-FFF2-40B4-BE49-F238E27FC236}">
              <a16:creationId xmlns:a16="http://schemas.microsoft.com/office/drawing/2014/main" id="{9D2292D9-046E-49E1-89A0-7DB5ABCFDCC7}"/>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1</xdr:col>
      <xdr:colOff>4192979</xdr:colOff>
      <xdr:row>27</xdr:row>
      <xdr:rowOff>312737</xdr:rowOff>
    </xdr:to>
    <xdr:sp macro="" textlink="">
      <xdr:nvSpPr>
        <xdr:cNvPr id="257120" name="Text Box 96" hidden="1">
          <a:extLst>
            <a:ext uri="{FF2B5EF4-FFF2-40B4-BE49-F238E27FC236}">
              <a16:creationId xmlns:a16="http://schemas.microsoft.com/office/drawing/2014/main" id="{108BCA3D-FDC5-4390-92C7-48129A10F4D8}"/>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768350</xdr:colOff>
      <xdr:row>22</xdr:row>
      <xdr:rowOff>190500</xdr:rowOff>
    </xdr:from>
    <xdr:to>
      <xdr:col>17</xdr:col>
      <xdr:colOff>553192</xdr:colOff>
      <xdr:row>24</xdr:row>
      <xdr:rowOff>419100</xdr:rowOff>
    </xdr:to>
    <xdr:sp macro="" textlink="">
      <xdr:nvSpPr>
        <xdr:cNvPr id="257119" name="Text Box 95" hidden="1">
          <a:extLst>
            <a:ext uri="{FF2B5EF4-FFF2-40B4-BE49-F238E27FC236}">
              <a16:creationId xmlns:a16="http://schemas.microsoft.com/office/drawing/2014/main" id="{528A232C-593F-44A6-8988-DF78FA4AAA7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768350</xdr:colOff>
      <xdr:row>19</xdr:row>
      <xdr:rowOff>381000</xdr:rowOff>
    </xdr:from>
    <xdr:to>
      <xdr:col>17</xdr:col>
      <xdr:colOff>553192</xdr:colOff>
      <xdr:row>23</xdr:row>
      <xdr:rowOff>0</xdr:rowOff>
    </xdr:to>
    <xdr:sp macro="" textlink="">
      <xdr:nvSpPr>
        <xdr:cNvPr id="257118" name="Text Box 94" hidden="1">
          <a:extLst>
            <a:ext uri="{FF2B5EF4-FFF2-40B4-BE49-F238E27FC236}">
              <a16:creationId xmlns:a16="http://schemas.microsoft.com/office/drawing/2014/main" id="{BD3F191C-A311-4AAA-8E3E-32841BAFF482}"/>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768350</xdr:colOff>
      <xdr:row>74</xdr:row>
      <xdr:rowOff>199334</xdr:rowOff>
    </xdr:from>
    <xdr:to>
      <xdr:col>19</xdr:col>
      <xdr:colOff>591292</xdr:colOff>
      <xdr:row>79</xdr:row>
      <xdr:rowOff>66675</xdr:rowOff>
    </xdr:to>
    <xdr:sp macro="" textlink="">
      <xdr:nvSpPr>
        <xdr:cNvPr id="257117" name="Text Box 93" hidden="1">
          <a:extLst>
            <a:ext uri="{FF2B5EF4-FFF2-40B4-BE49-F238E27FC236}">
              <a16:creationId xmlns:a16="http://schemas.microsoft.com/office/drawing/2014/main" id="{E12F4184-2DF7-41A0-9633-D09940E62FCD}"/>
            </a:ext>
          </a:extLst>
        </xdr:cNvPr>
        <xdr:cNvSpPr txBox="1">
          <a:spLocks noChangeArrowheads="1"/>
        </xdr:cNvSpPr>
      </xdr:nvSpPr>
      <xdr:spPr bwMode="auto">
        <a:xfrm>
          <a:off x="1844040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80</xdr:row>
      <xdr:rowOff>64437</xdr:rowOff>
    </xdr:from>
    <xdr:to>
      <xdr:col>8</xdr:col>
      <xdr:colOff>249876</xdr:colOff>
      <xdr:row>80</xdr:row>
      <xdr:rowOff>64437</xdr:rowOff>
    </xdr:to>
    <xdr:sp macro="" textlink="">
      <xdr:nvSpPr>
        <xdr:cNvPr id="257116" name="Text Box 92" hidden="1">
          <a:extLst>
            <a:ext uri="{FF2B5EF4-FFF2-40B4-BE49-F238E27FC236}">
              <a16:creationId xmlns:a16="http://schemas.microsoft.com/office/drawing/2014/main" id="{D5B74A37-DFF6-4EAF-8224-EE85FCD6A09B}"/>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80</xdr:row>
      <xdr:rowOff>64437</xdr:rowOff>
    </xdr:from>
    <xdr:to>
      <xdr:col>11</xdr:col>
      <xdr:colOff>210292</xdr:colOff>
      <xdr:row>80</xdr:row>
      <xdr:rowOff>64437</xdr:rowOff>
    </xdr:to>
    <xdr:sp macro="" textlink="">
      <xdr:nvSpPr>
        <xdr:cNvPr id="257115" name="Text Box 91" hidden="1">
          <a:extLst>
            <a:ext uri="{FF2B5EF4-FFF2-40B4-BE49-F238E27FC236}">
              <a16:creationId xmlns:a16="http://schemas.microsoft.com/office/drawing/2014/main" id="{79BAE7B9-FAFA-4E00-AEA7-6FE5F73899CA}"/>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1</xdr:col>
      <xdr:colOff>4192979</xdr:colOff>
      <xdr:row>27</xdr:row>
      <xdr:rowOff>312737</xdr:rowOff>
    </xdr:to>
    <xdr:sp macro="" textlink="">
      <xdr:nvSpPr>
        <xdr:cNvPr id="257114" name="Text Box 90" hidden="1">
          <a:extLst>
            <a:ext uri="{FF2B5EF4-FFF2-40B4-BE49-F238E27FC236}">
              <a16:creationId xmlns:a16="http://schemas.microsoft.com/office/drawing/2014/main" id="{85B488F7-464B-4D1C-9190-01D17BD5710E}"/>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768350</xdr:colOff>
      <xdr:row>22</xdr:row>
      <xdr:rowOff>190500</xdr:rowOff>
    </xdr:from>
    <xdr:to>
      <xdr:col>17</xdr:col>
      <xdr:colOff>553192</xdr:colOff>
      <xdr:row>24</xdr:row>
      <xdr:rowOff>419100</xdr:rowOff>
    </xdr:to>
    <xdr:sp macro="" textlink="">
      <xdr:nvSpPr>
        <xdr:cNvPr id="257113" name="Text Box 89" hidden="1">
          <a:extLst>
            <a:ext uri="{FF2B5EF4-FFF2-40B4-BE49-F238E27FC236}">
              <a16:creationId xmlns:a16="http://schemas.microsoft.com/office/drawing/2014/main" id="{A8961393-CD77-4749-A61C-7E68AD4C5212}"/>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768350</xdr:colOff>
      <xdr:row>19</xdr:row>
      <xdr:rowOff>381000</xdr:rowOff>
    </xdr:from>
    <xdr:to>
      <xdr:col>17</xdr:col>
      <xdr:colOff>553192</xdr:colOff>
      <xdr:row>23</xdr:row>
      <xdr:rowOff>0</xdr:rowOff>
    </xdr:to>
    <xdr:sp macro="" textlink="">
      <xdr:nvSpPr>
        <xdr:cNvPr id="257112" name="Text Box 88" hidden="1">
          <a:extLst>
            <a:ext uri="{FF2B5EF4-FFF2-40B4-BE49-F238E27FC236}">
              <a16:creationId xmlns:a16="http://schemas.microsoft.com/office/drawing/2014/main" id="{85EF94C3-EF5F-4DCB-BCBC-0335AC8B43C1}"/>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768350</xdr:colOff>
      <xdr:row>74</xdr:row>
      <xdr:rowOff>199334</xdr:rowOff>
    </xdr:from>
    <xdr:to>
      <xdr:col>19</xdr:col>
      <xdr:colOff>591292</xdr:colOff>
      <xdr:row>79</xdr:row>
      <xdr:rowOff>66675</xdr:rowOff>
    </xdr:to>
    <xdr:sp macro="" textlink="">
      <xdr:nvSpPr>
        <xdr:cNvPr id="257111" name="Text Box 87" hidden="1">
          <a:extLst>
            <a:ext uri="{FF2B5EF4-FFF2-40B4-BE49-F238E27FC236}">
              <a16:creationId xmlns:a16="http://schemas.microsoft.com/office/drawing/2014/main" id="{0869021C-A8F7-48BF-B815-C1A8056C0E78}"/>
            </a:ext>
          </a:extLst>
        </xdr:cNvPr>
        <xdr:cNvSpPr txBox="1">
          <a:spLocks noChangeArrowheads="1"/>
        </xdr:cNvSpPr>
      </xdr:nvSpPr>
      <xdr:spPr bwMode="auto">
        <a:xfrm>
          <a:off x="1844040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80</xdr:row>
      <xdr:rowOff>64437</xdr:rowOff>
    </xdr:from>
    <xdr:to>
      <xdr:col>8</xdr:col>
      <xdr:colOff>249876</xdr:colOff>
      <xdr:row>80</xdr:row>
      <xdr:rowOff>64437</xdr:rowOff>
    </xdr:to>
    <xdr:sp macro="" textlink="">
      <xdr:nvSpPr>
        <xdr:cNvPr id="257134" name="Text Box 110" hidden="1">
          <a:extLst>
            <a:ext uri="{FF2B5EF4-FFF2-40B4-BE49-F238E27FC236}">
              <a16:creationId xmlns:a16="http://schemas.microsoft.com/office/drawing/2014/main" id="{1590A68D-3D25-48AC-9241-4AE18D64491C}"/>
            </a:ext>
          </a:extLst>
        </xdr:cNvPr>
        <xdr:cNvSpPr txBox="1">
          <a:spLocks noChangeArrowheads="1"/>
        </xdr:cNvSpPr>
      </xdr:nvSpPr>
      <xdr:spPr bwMode="auto">
        <a:xfrm>
          <a:off x="8801100" y="19050000"/>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80</xdr:row>
      <xdr:rowOff>64437</xdr:rowOff>
    </xdr:from>
    <xdr:to>
      <xdr:col>11</xdr:col>
      <xdr:colOff>210292</xdr:colOff>
      <xdr:row>80</xdr:row>
      <xdr:rowOff>64437</xdr:rowOff>
    </xdr:to>
    <xdr:sp macro="" textlink="">
      <xdr:nvSpPr>
        <xdr:cNvPr id="257133" name="Text Box 109" hidden="1">
          <a:extLst>
            <a:ext uri="{FF2B5EF4-FFF2-40B4-BE49-F238E27FC236}">
              <a16:creationId xmlns:a16="http://schemas.microsoft.com/office/drawing/2014/main" id="{288ED32E-479A-4BEB-A9F6-EDBD5EF862E9}"/>
            </a:ext>
          </a:extLst>
        </xdr:cNvPr>
        <xdr:cNvSpPr txBox="1">
          <a:spLocks noChangeArrowheads="1"/>
        </xdr:cNvSpPr>
      </xdr:nvSpPr>
      <xdr:spPr bwMode="auto">
        <a:xfrm>
          <a:off x="11049000" y="190500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1</xdr:col>
      <xdr:colOff>4192979</xdr:colOff>
      <xdr:row>27</xdr:row>
      <xdr:rowOff>312737</xdr:rowOff>
    </xdr:to>
    <xdr:sp macro="" textlink="">
      <xdr:nvSpPr>
        <xdr:cNvPr id="257132" name="Text Box 108" hidden="1">
          <a:extLst>
            <a:ext uri="{FF2B5EF4-FFF2-40B4-BE49-F238E27FC236}">
              <a16:creationId xmlns:a16="http://schemas.microsoft.com/office/drawing/2014/main" id="{ED5389FA-9A17-4BBC-A337-FB1A54EE74D3}"/>
            </a:ext>
          </a:extLst>
        </xdr:cNvPr>
        <xdr:cNvSpPr txBox="1">
          <a:spLocks noChangeArrowheads="1"/>
        </xdr:cNvSpPr>
      </xdr:nvSpPr>
      <xdr:spPr bwMode="auto">
        <a:xfrm>
          <a:off x="3390900" y="6734175"/>
          <a:ext cx="1495425"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768350</xdr:colOff>
      <xdr:row>22</xdr:row>
      <xdr:rowOff>190500</xdr:rowOff>
    </xdr:from>
    <xdr:to>
      <xdr:col>17</xdr:col>
      <xdr:colOff>553192</xdr:colOff>
      <xdr:row>24</xdr:row>
      <xdr:rowOff>419100</xdr:rowOff>
    </xdr:to>
    <xdr:sp macro="" textlink="">
      <xdr:nvSpPr>
        <xdr:cNvPr id="257131" name="Text Box 107" hidden="1">
          <a:extLst>
            <a:ext uri="{FF2B5EF4-FFF2-40B4-BE49-F238E27FC236}">
              <a16:creationId xmlns:a16="http://schemas.microsoft.com/office/drawing/2014/main" id="{7E26A996-70F8-4C2B-8A71-72F07DBBB2A0}"/>
            </a:ext>
          </a:extLst>
        </xdr:cNvPr>
        <xdr:cNvSpPr txBox="1">
          <a:spLocks noChangeArrowheads="1"/>
        </xdr:cNvSpPr>
      </xdr:nvSpPr>
      <xdr:spPr bwMode="auto">
        <a:xfrm>
          <a:off x="1626870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768350</xdr:colOff>
      <xdr:row>19</xdr:row>
      <xdr:rowOff>381000</xdr:rowOff>
    </xdr:from>
    <xdr:to>
      <xdr:col>17</xdr:col>
      <xdr:colOff>553192</xdr:colOff>
      <xdr:row>23</xdr:row>
      <xdr:rowOff>0</xdr:rowOff>
    </xdr:to>
    <xdr:sp macro="" textlink="">
      <xdr:nvSpPr>
        <xdr:cNvPr id="257130" name="Text Box 106" hidden="1">
          <a:extLst>
            <a:ext uri="{FF2B5EF4-FFF2-40B4-BE49-F238E27FC236}">
              <a16:creationId xmlns:a16="http://schemas.microsoft.com/office/drawing/2014/main" id="{DD0A966B-5DF1-4778-8D1D-4AE67CDA7AD3}"/>
            </a:ext>
          </a:extLst>
        </xdr:cNvPr>
        <xdr:cNvSpPr txBox="1">
          <a:spLocks noChangeArrowheads="1"/>
        </xdr:cNvSpPr>
      </xdr:nvSpPr>
      <xdr:spPr bwMode="auto">
        <a:xfrm>
          <a:off x="1626870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768350</xdr:colOff>
      <xdr:row>74</xdr:row>
      <xdr:rowOff>199334</xdr:rowOff>
    </xdr:from>
    <xdr:to>
      <xdr:col>19</xdr:col>
      <xdr:colOff>591292</xdr:colOff>
      <xdr:row>79</xdr:row>
      <xdr:rowOff>66675</xdr:rowOff>
    </xdr:to>
    <xdr:sp macro="" textlink="">
      <xdr:nvSpPr>
        <xdr:cNvPr id="257129" name="Text Box 105" hidden="1">
          <a:extLst>
            <a:ext uri="{FF2B5EF4-FFF2-40B4-BE49-F238E27FC236}">
              <a16:creationId xmlns:a16="http://schemas.microsoft.com/office/drawing/2014/main" id="{09BD3517-DCE0-4221-9E5A-16AB0C58D361}"/>
            </a:ext>
          </a:extLst>
        </xdr:cNvPr>
        <xdr:cNvSpPr txBox="1">
          <a:spLocks noChangeArrowheads="1"/>
        </xdr:cNvSpPr>
      </xdr:nvSpPr>
      <xdr:spPr bwMode="auto">
        <a:xfrm>
          <a:off x="17792700" y="176784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80</xdr:row>
      <xdr:rowOff>64437</xdr:rowOff>
    </xdr:from>
    <xdr:to>
      <xdr:col>8</xdr:col>
      <xdr:colOff>249876</xdr:colOff>
      <xdr:row>80</xdr:row>
      <xdr:rowOff>64437</xdr:rowOff>
    </xdr:to>
    <xdr:sp macro="" textlink="">
      <xdr:nvSpPr>
        <xdr:cNvPr id="257140" name="Text Box 116" hidden="1">
          <a:extLst>
            <a:ext uri="{FF2B5EF4-FFF2-40B4-BE49-F238E27FC236}">
              <a16:creationId xmlns:a16="http://schemas.microsoft.com/office/drawing/2014/main" id="{919A0E0D-226C-4AEF-9FF2-4AD99043150E}"/>
            </a:ext>
          </a:extLst>
        </xdr:cNvPr>
        <xdr:cNvSpPr txBox="1">
          <a:spLocks noChangeArrowheads="1"/>
        </xdr:cNvSpPr>
      </xdr:nvSpPr>
      <xdr:spPr bwMode="auto">
        <a:xfrm>
          <a:off x="909828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80</xdr:row>
      <xdr:rowOff>64437</xdr:rowOff>
    </xdr:from>
    <xdr:to>
      <xdr:col>11</xdr:col>
      <xdr:colOff>210292</xdr:colOff>
      <xdr:row>80</xdr:row>
      <xdr:rowOff>64437</xdr:rowOff>
    </xdr:to>
    <xdr:sp macro="" textlink="">
      <xdr:nvSpPr>
        <xdr:cNvPr id="257139" name="Text Box 115" hidden="1">
          <a:extLst>
            <a:ext uri="{FF2B5EF4-FFF2-40B4-BE49-F238E27FC236}">
              <a16:creationId xmlns:a16="http://schemas.microsoft.com/office/drawing/2014/main" id="{C9AA62C4-5160-484C-AD45-C67D1FE1D144}"/>
            </a:ext>
          </a:extLst>
        </xdr:cNvPr>
        <xdr:cNvSpPr txBox="1">
          <a:spLocks noChangeArrowheads="1"/>
        </xdr:cNvSpPr>
      </xdr:nvSpPr>
      <xdr:spPr bwMode="auto">
        <a:xfrm>
          <a:off x="1143000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1</xdr:col>
      <xdr:colOff>4192979</xdr:colOff>
      <xdr:row>27</xdr:row>
      <xdr:rowOff>312737</xdr:rowOff>
    </xdr:to>
    <xdr:sp macro="" textlink="">
      <xdr:nvSpPr>
        <xdr:cNvPr id="257138" name="Text Box 114" hidden="1">
          <a:extLst>
            <a:ext uri="{FF2B5EF4-FFF2-40B4-BE49-F238E27FC236}">
              <a16:creationId xmlns:a16="http://schemas.microsoft.com/office/drawing/2014/main" id="{53C7E674-F75D-46DC-9310-AA54FDEBC8CD}"/>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768350</xdr:colOff>
      <xdr:row>22</xdr:row>
      <xdr:rowOff>190500</xdr:rowOff>
    </xdr:from>
    <xdr:to>
      <xdr:col>17</xdr:col>
      <xdr:colOff>553192</xdr:colOff>
      <xdr:row>24</xdr:row>
      <xdr:rowOff>419100</xdr:rowOff>
    </xdr:to>
    <xdr:sp macro="" textlink="">
      <xdr:nvSpPr>
        <xdr:cNvPr id="257137" name="Text Box 113" hidden="1">
          <a:extLst>
            <a:ext uri="{FF2B5EF4-FFF2-40B4-BE49-F238E27FC236}">
              <a16:creationId xmlns:a16="http://schemas.microsoft.com/office/drawing/2014/main" id="{8FAC019D-AD94-46E1-9C66-96D2831A2883}"/>
            </a:ext>
          </a:extLst>
        </xdr:cNvPr>
        <xdr:cNvSpPr txBox="1">
          <a:spLocks noChangeArrowheads="1"/>
        </xdr:cNvSpPr>
      </xdr:nvSpPr>
      <xdr:spPr bwMode="auto">
        <a:xfrm>
          <a:off x="1686306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768350</xdr:colOff>
      <xdr:row>19</xdr:row>
      <xdr:rowOff>381000</xdr:rowOff>
    </xdr:from>
    <xdr:to>
      <xdr:col>17</xdr:col>
      <xdr:colOff>553192</xdr:colOff>
      <xdr:row>23</xdr:row>
      <xdr:rowOff>0</xdr:rowOff>
    </xdr:to>
    <xdr:sp macro="" textlink="">
      <xdr:nvSpPr>
        <xdr:cNvPr id="257136" name="Text Box 112" hidden="1">
          <a:extLst>
            <a:ext uri="{FF2B5EF4-FFF2-40B4-BE49-F238E27FC236}">
              <a16:creationId xmlns:a16="http://schemas.microsoft.com/office/drawing/2014/main" id="{1F57F116-1C75-449C-8112-F8FC0FC566D9}"/>
            </a:ext>
          </a:extLst>
        </xdr:cNvPr>
        <xdr:cNvSpPr txBox="1">
          <a:spLocks noChangeArrowheads="1"/>
        </xdr:cNvSpPr>
      </xdr:nvSpPr>
      <xdr:spPr bwMode="auto">
        <a:xfrm>
          <a:off x="1686306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768350</xdr:colOff>
      <xdr:row>74</xdr:row>
      <xdr:rowOff>199334</xdr:rowOff>
    </xdr:from>
    <xdr:to>
      <xdr:col>19</xdr:col>
      <xdr:colOff>591292</xdr:colOff>
      <xdr:row>79</xdr:row>
      <xdr:rowOff>66675</xdr:rowOff>
    </xdr:to>
    <xdr:sp macro="" textlink="">
      <xdr:nvSpPr>
        <xdr:cNvPr id="257135" name="Text Box 111" hidden="1">
          <a:extLst>
            <a:ext uri="{FF2B5EF4-FFF2-40B4-BE49-F238E27FC236}">
              <a16:creationId xmlns:a16="http://schemas.microsoft.com/office/drawing/2014/main" id="{85284D39-E70A-4B91-AC6E-DAE65E189BFE}"/>
            </a:ext>
          </a:extLst>
        </xdr:cNvPr>
        <xdr:cNvSpPr txBox="1">
          <a:spLocks noChangeArrowheads="1"/>
        </xdr:cNvSpPr>
      </xdr:nvSpPr>
      <xdr:spPr bwMode="auto">
        <a:xfrm>
          <a:off x="1844802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80</xdr:row>
      <xdr:rowOff>64437</xdr:rowOff>
    </xdr:from>
    <xdr:to>
      <xdr:col>8</xdr:col>
      <xdr:colOff>249876</xdr:colOff>
      <xdr:row>80</xdr:row>
      <xdr:rowOff>64437</xdr:rowOff>
    </xdr:to>
    <xdr:sp macro="" textlink="">
      <xdr:nvSpPr>
        <xdr:cNvPr id="257146" name="Text Box 122" hidden="1">
          <a:extLst>
            <a:ext uri="{FF2B5EF4-FFF2-40B4-BE49-F238E27FC236}">
              <a16:creationId xmlns:a16="http://schemas.microsoft.com/office/drawing/2014/main" id="{C1618FBE-C6A8-4D1E-BFC9-ACBD6D8A587A}"/>
            </a:ext>
          </a:extLst>
        </xdr:cNvPr>
        <xdr:cNvSpPr txBox="1">
          <a:spLocks noChangeArrowheads="1"/>
        </xdr:cNvSpPr>
      </xdr:nvSpPr>
      <xdr:spPr bwMode="auto">
        <a:xfrm>
          <a:off x="8801100" y="19050000"/>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80</xdr:row>
      <xdr:rowOff>64437</xdr:rowOff>
    </xdr:from>
    <xdr:to>
      <xdr:col>11</xdr:col>
      <xdr:colOff>210292</xdr:colOff>
      <xdr:row>80</xdr:row>
      <xdr:rowOff>64437</xdr:rowOff>
    </xdr:to>
    <xdr:sp macro="" textlink="">
      <xdr:nvSpPr>
        <xdr:cNvPr id="257145" name="Text Box 121" hidden="1">
          <a:extLst>
            <a:ext uri="{FF2B5EF4-FFF2-40B4-BE49-F238E27FC236}">
              <a16:creationId xmlns:a16="http://schemas.microsoft.com/office/drawing/2014/main" id="{F1746707-BB96-434A-8561-49CEAFD7407F}"/>
            </a:ext>
          </a:extLst>
        </xdr:cNvPr>
        <xdr:cNvSpPr txBox="1">
          <a:spLocks noChangeArrowheads="1"/>
        </xdr:cNvSpPr>
      </xdr:nvSpPr>
      <xdr:spPr bwMode="auto">
        <a:xfrm>
          <a:off x="11049000" y="190500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1</xdr:col>
      <xdr:colOff>4192979</xdr:colOff>
      <xdr:row>27</xdr:row>
      <xdr:rowOff>312737</xdr:rowOff>
    </xdr:to>
    <xdr:sp macro="" textlink="">
      <xdr:nvSpPr>
        <xdr:cNvPr id="257144" name="Text Box 120" hidden="1">
          <a:extLst>
            <a:ext uri="{FF2B5EF4-FFF2-40B4-BE49-F238E27FC236}">
              <a16:creationId xmlns:a16="http://schemas.microsoft.com/office/drawing/2014/main" id="{AD194C3B-789E-4AB3-8823-CF9AB092F75F}"/>
            </a:ext>
          </a:extLst>
        </xdr:cNvPr>
        <xdr:cNvSpPr txBox="1">
          <a:spLocks noChangeArrowheads="1"/>
        </xdr:cNvSpPr>
      </xdr:nvSpPr>
      <xdr:spPr bwMode="auto">
        <a:xfrm>
          <a:off x="3390900" y="6734175"/>
          <a:ext cx="1495425"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768350</xdr:colOff>
      <xdr:row>22</xdr:row>
      <xdr:rowOff>190500</xdr:rowOff>
    </xdr:from>
    <xdr:to>
      <xdr:col>17</xdr:col>
      <xdr:colOff>553192</xdr:colOff>
      <xdr:row>24</xdr:row>
      <xdr:rowOff>419100</xdr:rowOff>
    </xdr:to>
    <xdr:sp macro="" textlink="">
      <xdr:nvSpPr>
        <xdr:cNvPr id="257143" name="Text Box 119" hidden="1">
          <a:extLst>
            <a:ext uri="{FF2B5EF4-FFF2-40B4-BE49-F238E27FC236}">
              <a16:creationId xmlns:a16="http://schemas.microsoft.com/office/drawing/2014/main" id="{EB0C2A84-0B13-4D6A-BE74-3ECAB1511B3A}"/>
            </a:ext>
          </a:extLst>
        </xdr:cNvPr>
        <xdr:cNvSpPr txBox="1">
          <a:spLocks noChangeArrowheads="1"/>
        </xdr:cNvSpPr>
      </xdr:nvSpPr>
      <xdr:spPr bwMode="auto">
        <a:xfrm>
          <a:off x="1626870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768350</xdr:colOff>
      <xdr:row>19</xdr:row>
      <xdr:rowOff>381000</xdr:rowOff>
    </xdr:from>
    <xdr:to>
      <xdr:col>17</xdr:col>
      <xdr:colOff>553192</xdr:colOff>
      <xdr:row>23</xdr:row>
      <xdr:rowOff>0</xdr:rowOff>
    </xdr:to>
    <xdr:sp macro="" textlink="">
      <xdr:nvSpPr>
        <xdr:cNvPr id="257142" name="Text Box 118" hidden="1">
          <a:extLst>
            <a:ext uri="{FF2B5EF4-FFF2-40B4-BE49-F238E27FC236}">
              <a16:creationId xmlns:a16="http://schemas.microsoft.com/office/drawing/2014/main" id="{2AC4D304-21FB-47D9-B0B4-631A72D35397}"/>
            </a:ext>
          </a:extLst>
        </xdr:cNvPr>
        <xdr:cNvSpPr txBox="1">
          <a:spLocks noChangeArrowheads="1"/>
        </xdr:cNvSpPr>
      </xdr:nvSpPr>
      <xdr:spPr bwMode="auto">
        <a:xfrm>
          <a:off x="1626870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768350</xdr:colOff>
      <xdr:row>74</xdr:row>
      <xdr:rowOff>199334</xdr:rowOff>
    </xdr:from>
    <xdr:to>
      <xdr:col>19</xdr:col>
      <xdr:colOff>591292</xdr:colOff>
      <xdr:row>79</xdr:row>
      <xdr:rowOff>66675</xdr:rowOff>
    </xdr:to>
    <xdr:sp macro="" textlink="">
      <xdr:nvSpPr>
        <xdr:cNvPr id="257141" name="Text Box 117" hidden="1">
          <a:extLst>
            <a:ext uri="{FF2B5EF4-FFF2-40B4-BE49-F238E27FC236}">
              <a16:creationId xmlns:a16="http://schemas.microsoft.com/office/drawing/2014/main" id="{F0FAF444-E61D-47B9-8618-28C06B3274D7}"/>
            </a:ext>
          </a:extLst>
        </xdr:cNvPr>
        <xdr:cNvSpPr txBox="1">
          <a:spLocks noChangeArrowheads="1"/>
        </xdr:cNvSpPr>
      </xdr:nvSpPr>
      <xdr:spPr bwMode="auto">
        <a:xfrm>
          <a:off x="17792700" y="176784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80</xdr:row>
      <xdr:rowOff>64437</xdr:rowOff>
    </xdr:from>
    <xdr:to>
      <xdr:col>8</xdr:col>
      <xdr:colOff>249876</xdr:colOff>
      <xdr:row>80</xdr:row>
      <xdr:rowOff>64437</xdr:rowOff>
    </xdr:to>
    <xdr:sp macro="" textlink="">
      <xdr:nvSpPr>
        <xdr:cNvPr id="257152" name="Text Box 128" hidden="1">
          <a:extLst>
            <a:ext uri="{FF2B5EF4-FFF2-40B4-BE49-F238E27FC236}">
              <a16:creationId xmlns:a16="http://schemas.microsoft.com/office/drawing/2014/main" id="{FCB1C9CB-849E-40E6-9BCA-2334A3246467}"/>
            </a:ext>
          </a:extLst>
        </xdr:cNvPr>
        <xdr:cNvSpPr txBox="1">
          <a:spLocks noChangeArrowheads="1"/>
        </xdr:cNvSpPr>
      </xdr:nvSpPr>
      <xdr:spPr bwMode="auto">
        <a:xfrm>
          <a:off x="9017000" y="18910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80</xdr:row>
      <xdr:rowOff>64437</xdr:rowOff>
    </xdr:from>
    <xdr:to>
      <xdr:col>11</xdr:col>
      <xdr:colOff>210292</xdr:colOff>
      <xdr:row>80</xdr:row>
      <xdr:rowOff>64437</xdr:rowOff>
    </xdr:to>
    <xdr:sp macro="" textlink="">
      <xdr:nvSpPr>
        <xdr:cNvPr id="257151" name="Text Box 127" hidden="1">
          <a:extLst>
            <a:ext uri="{FF2B5EF4-FFF2-40B4-BE49-F238E27FC236}">
              <a16:creationId xmlns:a16="http://schemas.microsoft.com/office/drawing/2014/main" id="{80C1B981-29FF-41AE-96CD-8637295303EF}"/>
            </a:ext>
          </a:extLst>
        </xdr:cNvPr>
        <xdr:cNvSpPr txBox="1">
          <a:spLocks noChangeArrowheads="1"/>
        </xdr:cNvSpPr>
      </xdr:nvSpPr>
      <xdr:spPr bwMode="auto">
        <a:xfrm>
          <a:off x="11303000" y="18910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1</xdr:col>
      <xdr:colOff>4192979</xdr:colOff>
      <xdr:row>27</xdr:row>
      <xdr:rowOff>312737</xdr:rowOff>
    </xdr:to>
    <xdr:sp macro="" textlink="">
      <xdr:nvSpPr>
        <xdr:cNvPr id="257150" name="Text Box 126" hidden="1">
          <a:extLst>
            <a:ext uri="{FF2B5EF4-FFF2-40B4-BE49-F238E27FC236}">
              <a16:creationId xmlns:a16="http://schemas.microsoft.com/office/drawing/2014/main" id="{20FD817E-5DAB-42DD-8003-5B5A76F040E7}"/>
            </a:ext>
          </a:extLst>
        </xdr:cNvPr>
        <xdr:cNvSpPr txBox="1">
          <a:spLocks noChangeArrowheads="1"/>
        </xdr:cNvSpPr>
      </xdr:nvSpPr>
      <xdr:spPr bwMode="auto">
        <a:xfrm>
          <a:off x="3390900" y="6762750"/>
          <a:ext cx="16446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768350</xdr:colOff>
      <xdr:row>22</xdr:row>
      <xdr:rowOff>190500</xdr:rowOff>
    </xdr:from>
    <xdr:to>
      <xdr:col>17</xdr:col>
      <xdr:colOff>553192</xdr:colOff>
      <xdr:row>24</xdr:row>
      <xdr:rowOff>419100</xdr:rowOff>
    </xdr:to>
    <xdr:sp macro="" textlink="">
      <xdr:nvSpPr>
        <xdr:cNvPr id="257149" name="Text Box 125" hidden="1">
          <a:extLst>
            <a:ext uri="{FF2B5EF4-FFF2-40B4-BE49-F238E27FC236}">
              <a16:creationId xmlns:a16="http://schemas.microsoft.com/office/drawing/2014/main" id="{0A8948E8-A868-46D3-A4CA-2CCF6AD02A44}"/>
            </a:ext>
          </a:extLst>
        </xdr:cNvPr>
        <xdr:cNvSpPr txBox="1">
          <a:spLocks noChangeArrowheads="1"/>
        </xdr:cNvSpPr>
      </xdr:nvSpPr>
      <xdr:spPr bwMode="auto">
        <a:xfrm>
          <a:off x="16522700" y="53149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768350</xdr:colOff>
      <xdr:row>19</xdr:row>
      <xdr:rowOff>381000</xdr:rowOff>
    </xdr:from>
    <xdr:to>
      <xdr:col>17</xdr:col>
      <xdr:colOff>553192</xdr:colOff>
      <xdr:row>23</xdr:row>
      <xdr:rowOff>0</xdr:rowOff>
    </xdr:to>
    <xdr:sp macro="" textlink="">
      <xdr:nvSpPr>
        <xdr:cNvPr id="257148" name="Text Box 124" hidden="1">
          <a:extLst>
            <a:ext uri="{FF2B5EF4-FFF2-40B4-BE49-F238E27FC236}">
              <a16:creationId xmlns:a16="http://schemas.microsoft.com/office/drawing/2014/main" id="{F5FB7346-48E1-47ED-8EFA-C3066256995A}"/>
            </a:ext>
          </a:extLst>
        </xdr:cNvPr>
        <xdr:cNvSpPr txBox="1">
          <a:spLocks noChangeArrowheads="1"/>
        </xdr:cNvSpPr>
      </xdr:nvSpPr>
      <xdr:spPr bwMode="auto">
        <a:xfrm>
          <a:off x="16522700" y="457200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768350</xdr:colOff>
      <xdr:row>74</xdr:row>
      <xdr:rowOff>199334</xdr:rowOff>
    </xdr:from>
    <xdr:to>
      <xdr:col>19</xdr:col>
      <xdr:colOff>591292</xdr:colOff>
      <xdr:row>79</xdr:row>
      <xdr:rowOff>66675</xdr:rowOff>
    </xdr:to>
    <xdr:sp macro="" textlink="">
      <xdr:nvSpPr>
        <xdr:cNvPr id="257147" name="Text Box 123" hidden="1">
          <a:extLst>
            <a:ext uri="{FF2B5EF4-FFF2-40B4-BE49-F238E27FC236}">
              <a16:creationId xmlns:a16="http://schemas.microsoft.com/office/drawing/2014/main" id="{A66D16E0-86E6-4BBF-AD06-16C592C73970}"/>
            </a:ext>
          </a:extLst>
        </xdr:cNvPr>
        <xdr:cNvSpPr txBox="1">
          <a:spLocks noChangeArrowheads="1"/>
        </xdr:cNvSpPr>
      </xdr:nvSpPr>
      <xdr:spPr bwMode="auto">
        <a:xfrm>
          <a:off x="18046700" y="175387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80</xdr:row>
      <xdr:rowOff>64437</xdr:rowOff>
    </xdr:from>
    <xdr:to>
      <xdr:col>8</xdr:col>
      <xdr:colOff>249876</xdr:colOff>
      <xdr:row>80</xdr:row>
      <xdr:rowOff>64437</xdr:rowOff>
    </xdr:to>
    <xdr:sp macro="" textlink="">
      <xdr:nvSpPr>
        <xdr:cNvPr id="257158" name="Text Box 134" hidden="1">
          <a:extLst>
            <a:ext uri="{FF2B5EF4-FFF2-40B4-BE49-F238E27FC236}">
              <a16:creationId xmlns:a16="http://schemas.microsoft.com/office/drawing/2014/main" id="{D93A728E-15B4-49A5-BBD0-9D2B80150A75}"/>
            </a:ext>
          </a:extLst>
        </xdr:cNvPr>
        <xdr:cNvSpPr txBox="1">
          <a:spLocks noChangeArrowheads="1"/>
        </xdr:cNvSpPr>
      </xdr:nvSpPr>
      <xdr:spPr bwMode="auto">
        <a:xfrm>
          <a:off x="8782050" y="19050000"/>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80</xdr:row>
      <xdr:rowOff>64437</xdr:rowOff>
    </xdr:from>
    <xdr:to>
      <xdr:col>11</xdr:col>
      <xdr:colOff>210292</xdr:colOff>
      <xdr:row>80</xdr:row>
      <xdr:rowOff>64437</xdr:rowOff>
    </xdr:to>
    <xdr:sp macro="" textlink="">
      <xdr:nvSpPr>
        <xdr:cNvPr id="257157" name="Text Box 133" hidden="1">
          <a:extLst>
            <a:ext uri="{FF2B5EF4-FFF2-40B4-BE49-F238E27FC236}">
              <a16:creationId xmlns:a16="http://schemas.microsoft.com/office/drawing/2014/main" id="{7830E37A-E9D2-4515-B981-461521EF186F}"/>
            </a:ext>
          </a:extLst>
        </xdr:cNvPr>
        <xdr:cNvSpPr txBox="1">
          <a:spLocks noChangeArrowheads="1"/>
        </xdr:cNvSpPr>
      </xdr:nvSpPr>
      <xdr:spPr bwMode="auto">
        <a:xfrm>
          <a:off x="11029950" y="190500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1</xdr:col>
      <xdr:colOff>4192979</xdr:colOff>
      <xdr:row>27</xdr:row>
      <xdr:rowOff>312737</xdr:rowOff>
    </xdr:to>
    <xdr:sp macro="" textlink="">
      <xdr:nvSpPr>
        <xdr:cNvPr id="257156" name="Text Box 132" hidden="1">
          <a:extLst>
            <a:ext uri="{FF2B5EF4-FFF2-40B4-BE49-F238E27FC236}">
              <a16:creationId xmlns:a16="http://schemas.microsoft.com/office/drawing/2014/main" id="{35EA564A-B49D-4B02-BEFB-DB8CBC5DC067}"/>
            </a:ext>
          </a:extLst>
        </xdr:cNvPr>
        <xdr:cNvSpPr txBox="1">
          <a:spLocks noChangeArrowheads="1"/>
        </xdr:cNvSpPr>
      </xdr:nvSpPr>
      <xdr:spPr bwMode="auto">
        <a:xfrm>
          <a:off x="3390900" y="6734175"/>
          <a:ext cx="14859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768350</xdr:colOff>
      <xdr:row>22</xdr:row>
      <xdr:rowOff>190500</xdr:rowOff>
    </xdr:from>
    <xdr:to>
      <xdr:col>17</xdr:col>
      <xdr:colOff>553192</xdr:colOff>
      <xdr:row>24</xdr:row>
      <xdr:rowOff>419100</xdr:rowOff>
    </xdr:to>
    <xdr:sp macro="" textlink="">
      <xdr:nvSpPr>
        <xdr:cNvPr id="257155" name="Text Box 131" hidden="1">
          <a:extLst>
            <a:ext uri="{FF2B5EF4-FFF2-40B4-BE49-F238E27FC236}">
              <a16:creationId xmlns:a16="http://schemas.microsoft.com/office/drawing/2014/main" id="{8EDE1E9D-C605-4B4F-AE27-ECB443C82C51}"/>
            </a:ext>
          </a:extLst>
        </xdr:cNvPr>
        <xdr:cNvSpPr txBox="1">
          <a:spLocks noChangeArrowheads="1"/>
        </xdr:cNvSpPr>
      </xdr:nvSpPr>
      <xdr:spPr bwMode="auto">
        <a:xfrm>
          <a:off x="1624965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768350</xdr:colOff>
      <xdr:row>19</xdr:row>
      <xdr:rowOff>381000</xdr:rowOff>
    </xdr:from>
    <xdr:to>
      <xdr:col>17</xdr:col>
      <xdr:colOff>553192</xdr:colOff>
      <xdr:row>23</xdr:row>
      <xdr:rowOff>0</xdr:rowOff>
    </xdr:to>
    <xdr:sp macro="" textlink="">
      <xdr:nvSpPr>
        <xdr:cNvPr id="257154" name="Text Box 130" hidden="1">
          <a:extLst>
            <a:ext uri="{FF2B5EF4-FFF2-40B4-BE49-F238E27FC236}">
              <a16:creationId xmlns:a16="http://schemas.microsoft.com/office/drawing/2014/main" id="{93141F4C-C21A-4F14-99FC-411FF6C1E873}"/>
            </a:ext>
          </a:extLst>
        </xdr:cNvPr>
        <xdr:cNvSpPr txBox="1">
          <a:spLocks noChangeArrowheads="1"/>
        </xdr:cNvSpPr>
      </xdr:nvSpPr>
      <xdr:spPr bwMode="auto">
        <a:xfrm>
          <a:off x="1624965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768350</xdr:colOff>
      <xdr:row>74</xdr:row>
      <xdr:rowOff>199334</xdr:rowOff>
    </xdr:from>
    <xdr:to>
      <xdr:col>19</xdr:col>
      <xdr:colOff>591292</xdr:colOff>
      <xdr:row>79</xdr:row>
      <xdr:rowOff>66675</xdr:rowOff>
    </xdr:to>
    <xdr:sp macro="" textlink="">
      <xdr:nvSpPr>
        <xdr:cNvPr id="257153" name="Text Box 129" hidden="1">
          <a:extLst>
            <a:ext uri="{FF2B5EF4-FFF2-40B4-BE49-F238E27FC236}">
              <a16:creationId xmlns:a16="http://schemas.microsoft.com/office/drawing/2014/main" id="{43895AEC-41F4-45CF-A994-06112E5A1478}"/>
            </a:ext>
          </a:extLst>
        </xdr:cNvPr>
        <xdr:cNvSpPr txBox="1">
          <a:spLocks noChangeArrowheads="1"/>
        </xdr:cNvSpPr>
      </xdr:nvSpPr>
      <xdr:spPr bwMode="auto">
        <a:xfrm>
          <a:off x="17773650" y="176784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66</xdr:row>
      <xdr:rowOff>29194</xdr:rowOff>
    </xdr:from>
    <xdr:to>
      <xdr:col>8</xdr:col>
      <xdr:colOff>249876</xdr:colOff>
      <xdr:row>66</xdr:row>
      <xdr:rowOff>29194</xdr:rowOff>
    </xdr:to>
    <xdr:sp macro="" textlink="">
      <xdr:nvSpPr>
        <xdr:cNvPr id="257164" name="Text Box 140" hidden="1">
          <a:extLst>
            <a:ext uri="{FF2B5EF4-FFF2-40B4-BE49-F238E27FC236}">
              <a16:creationId xmlns:a16="http://schemas.microsoft.com/office/drawing/2014/main" id="{747C0FB6-050D-4FB5-8EF1-9B1F65B39EE4}"/>
            </a:ext>
          </a:extLst>
        </xdr:cNvPr>
        <xdr:cNvSpPr txBox="1">
          <a:spLocks noChangeArrowheads="1"/>
        </xdr:cNvSpPr>
      </xdr:nvSpPr>
      <xdr:spPr bwMode="auto">
        <a:xfrm>
          <a:off x="8782050" y="15630525"/>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66</xdr:row>
      <xdr:rowOff>29194</xdr:rowOff>
    </xdr:from>
    <xdr:to>
      <xdr:col>11</xdr:col>
      <xdr:colOff>210292</xdr:colOff>
      <xdr:row>66</xdr:row>
      <xdr:rowOff>29194</xdr:rowOff>
    </xdr:to>
    <xdr:sp macro="" textlink="">
      <xdr:nvSpPr>
        <xdr:cNvPr id="257163" name="Text Box 139" hidden="1">
          <a:extLst>
            <a:ext uri="{FF2B5EF4-FFF2-40B4-BE49-F238E27FC236}">
              <a16:creationId xmlns:a16="http://schemas.microsoft.com/office/drawing/2014/main" id="{AA4DDC66-231B-43CE-9FF0-C46963B7754A}"/>
            </a:ext>
          </a:extLst>
        </xdr:cNvPr>
        <xdr:cNvSpPr txBox="1">
          <a:spLocks noChangeArrowheads="1"/>
        </xdr:cNvSpPr>
      </xdr:nvSpPr>
      <xdr:spPr bwMode="auto">
        <a:xfrm>
          <a:off x="11029950" y="1563052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768350</xdr:colOff>
      <xdr:row>22</xdr:row>
      <xdr:rowOff>190500</xdr:rowOff>
    </xdr:from>
    <xdr:to>
      <xdr:col>17</xdr:col>
      <xdr:colOff>553192</xdr:colOff>
      <xdr:row>24</xdr:row>
      <xdr:rowOff>419100</xdr:rowOff>
    </xdr:to>
    <xdr:sp macro="" textlink="">
      <xdr:nvSpPr>
        <xdr:cNvPr id="257161" name="Text Box 137" hidden="1">
          <a:extLst>
            <a:ext uri="{FF2B5EF4-FFF2-40B4-BE49-F238E27FC236}">
              <a16:creationId xmlns:a16="http://schemas.microsoft.com/office/drawing/2014/main" id="{6822B5F3-6DDB-4E98-917C-B9017A689178}"/>
            </a:ext>
          </a:extLst>
        </xdr:cNvPr>
        <xdr:cNvSpPr txBox="1">
          <a:spLocks noChangeArrowheads="1"/>
        </xdr:cNvSpPr>
      </xdr:nvSpPr>
      <xdr:spPr bwMode="auto">
        <a:xfrm>
          <a:off x="1624965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768350</xdr:colOff>
      <xdr:row>19</xdr:row>
      <xdr:rowOff>381000</xdr:rowOff>
    </xdr:from>
    <xdr:to>
      <xdr:col>17</xdr:col>
      <xdr:colOff>553192</xdr:colOff>
      <xdr:row>23</xdr:row>
      <xdr:rowOff>0</xdr:rowOff>
    </xdr:to>
    <xdr:sp macro="" textlink="">
      <xdr:nvSpPr>
        <xdr:cNvPr id="257160" name="Text Box 136" hidden="1">
          <a:extLst>
            <a:ext uri="{FF2B5EF4-FFF2-40B4-BE49-F238E27FC236}">
              <a16:creationId xmlns:a16="http://schemas.microsoft.com/office/drawing/2014/main" id="{4B921095-8199-4311-9F92-48CD818D9934}"/>
            </a:ext>
          </a:extLst>
        </xdr:cNvPr>
        <xdr:cNvSpPr txBox="1">
          <a:spLocks noChangeArrowheads="1"/>
        </xdr:cNvSpPr>
      </xdr:nvSpPr>
      <xdr:spPr bwMode="auto">
        <a:xfrm>
          <a:off x="1624965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768350</xdr:colOff>
      <xdr:row>65</xdr:row>
      <xdr:rowOff>471261</xdr:rowOff>
    </xdr:from>
    <xdr:to>
      <xdr:col>19</xdr:col>
      <xdr:colOff>591292</xdr:colOff>
      <xdr:row>65</xdr:row>
      <xdr:rowOff>471261</xdr:rowOff>
    </xdr:to>
    <xdr:sp macro="" textlink="">
      <xdr:nvSpPr>
        <xdr:cNvPr id="257159" name="Text Box 135" hidden="1">
          <a:extLst>
            <a:ext uri="{FF2B5EF4-FFF2-40B4-BE49-F238E27FC236}">
              <a16:creationId xmlns:a16="http://schemas.microsoft.com/office/drawing/2014/main" id="{ADC60E7E-77A4-4844-8D5C-1C2A44627E76}"/>
            </a:ext>
          </a:extLst>
        </xdr:cNvPr>
        <xdr:cNvSpPr txBox="1">
          <a:spLocks noChangeArrowheads="1"/>
        </xdr:cNvSpPr>
      </xdr:nvSpPr>
      <xdr:spPr bwMode="auto">
        <a:xfrm>
          <a:off x="17773650" y="15478125"/>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95992</xdr:colOff>
      <xdr:row>15</xdr:row>
      <xdr:rowOff>152400</xdr:rowOff>
    </xdr:from>
    <xdr:to>
      <xdr:col>19</xdr:col>
      <xdr:colOff>629392</xdr:colOff>
      <xdr:row>18</xdr:row>
      <xdr:rowOff>152400</xdr:rowOff>
    </xdr:to>
    <xdr:sp macro="" textlink="">
      <xdr:nvSpPr>
        <xdr:cNvPr id="257165" name="Text Box 141" hidden="1">
          <a:extLst>
            <a:ext uri="{FF2B5EF4-FFF2-40B4-BE49-F238E27FC236}">
              <a16:creationId xmlns:a16="http://schemas.microsoft.com/office/drawing/2014/main" id="{3FF23CC8-18F0-4C3E-B36E-B4C00B7F8F04}"/>
            </a:ext>
          </a:extLst>
        </xdr:cNvPr>
        <xdr:cNvSpPr txBox="1">
          <a:spLocks noChangeArrowheads="1"/>
        </xdr:cNvSpPr>
      </xdr:nvSpPr>
      <xdr:spPr bwMode="auto">
        <a:xfrm>
          <a:off x="17849850" y="3343275"/>
          <a:ext cx="12954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24</xdr:row>
      <xdr:rowOff>476250</xdr:rowOff>
    </xdr:from>
    <xdr:to>
      <xdr:col>1</xdr:col>
      <xdr:colOff>4726379</xdr:colOff>
      <xdr:row>26</xdr:row>
      <xdr:rowOff>152400</xdr:rowOff>
    </xdr:to>
    <xdr:sp macro="" textlink="">
      <xdr:nvSpPr>
        <xdr:cNvPr id="257166" name="Text Box 142" hidden="1">
          <a:extLst>
            <a:ext uri="{FF2B5EF4-FFF2-40B4-BE49-F238E27FC236}">
              <a16:creationId xmlns:a16="http://schemas.microsoft.com/office/drawing/2014/main" id="{635273FE-A697-4789-9432-B5E7848AD005}"/>
            </a:ext>
          </a:extLst>
        </xdr:cNvPr>
        <xdr:cNvSpPr txBox="1">
          <a:spLocks noChangeArrowheads="1"/>
        </xdr:cNvSpPr>
      </xdr:nvSpPr>
      <xdr:spPr bwMode="auto">
        <a:xfrm>
          <a:off x="4133850" y="6115050"/>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66</xdr:row>
      <xdr:rowOff>29194</xdr:rowOff>
    </xdr:from>
    <xdr:to>
      <xdr:col>8</xdr:col>
      <xdr:colOff>249876</xdr:colOff>
      <xdr:row>66</xdr:row>
      <xdr:rowOff>29194</xdr:rowOff>
    </xdr:to>
    <xdr:sp macro="" textlink="">
      <xdr:nvSpPr>
        <xdr:cNvPr id="299015" name="Text Box 7" hidden="1">
          <a:extLst>
            <a:ext uri="{FF2B5EF4-FFF2-40B4-BE49-F238E27FC236}">
              <a16:creationId xmlns:a16="http://schemas.microsoft.com/office/drawing/2014/main" id="{72E7DA07-1F39-4171-8F05-C1E10C1AA6A8}"/>
            </a:ext>
          </a:extLst>
        </xdr:cNvPr>
        <xdr:cNvSpPr txBox="1">
          <a:spLocks noChangeArrowheads="1"/>
        </xdr:cNvSpPr>
      </xdr:nvSpPr>
      <xdr:spPr bwMode="auto">
        <a:xfrm>
          <a:off x="8782050" y="15630525"/>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66</xdr:row>
      <xdr:rowOff>29194</xdr:rowOff>
    </xdr:from>
    <xdr:to>
      <xdr:col>11</xdr:col>
      <xdr:colOff>210292</xdr:colOff>
      <xdr:row>66</xdr:row>
      <xdr:rowOff>29194</xdr:rowOff>
    </xdr:to>
    <xdr:sp macro="" textlink="">
      <xdr:nvSpPr>
        <xdr:cNvPr id="299014" name="Text Box 6" hidden="1">
          <a:extLst>
            <a:ext uri="{FF2B5EF4-FFF2-40B4-BE49-F238E27FC236}">
              <a16:creationId xmlns:a16="http://schemas.microsoft.com/office/drawing/2014/main" id="{1F74E6F8-1F70-44F1-91C0-F265DA7A7F07}"/>
            </a:ext>
          </a:extLst>
        </xdr:cNvPr>
        <xdr:cNvSpPr txBox="1">
          <a:spLocks noChangeArrowheads="1"/>
        </xdr:cNvSpPr>
      </xdr:nvSpPr>
      <xdr:spPr bwMode="auto">
        <a:xfrm>
          <a:off x="11029950" y="1563052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768350</xdr:colOff>
      <xdr:row>22</xdr:row>
      <xdr:rowOff>190500</xdr:rowOff>
    </xdr:from>
    <xdr:to>
      <xdr:col>17</xdr:col>
      <xdr:colOff>553192</xdr:colOff>
      <xdr:row>24</xdr:row>
      <xdr:rowOff>419100</xdr:rowOff>
    </xdr:to>
    <xdr:sp macro="" textlink="">
      <xdr:nvSpPr>
        <xdr:cNvPr id="299013" name="Text Box 5" hidden="1">
          <a:extLst>
            <a:ext uri="{FF2B5EF4-FFF2-40B4-BE49-F238E27FC236}">
              <a16:creationId xmlns:a16="http://schemas.microsoft.com/office/drawing/2014/main" id="{1CFE5B4C-A6A5-4E00-B1F0-582C646E6FDF}"/>
            </a:ext>
          </a:extLst>
        </xdr:cNvPr>
        <xdr:cNvSpPr txBox="1">
          <a:spLocks noChangeArrowheads="1"/>
        </xdr:cNvSpPr>
      </xdr:nvSpPr>
      <xdr:spPr bwMode="auto">
        <a:xfrm>
          <a:off x="1624965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768350</xdr:colOff>
      <xdr:row>19</xdr:row>
      <xdr:rowOff>381000</xdr:rowOff>
    </xdr:from>
    <xdr:to>
      <xdr:col>17</xdr:col>
      <xdr:colOff>553192</xdr:colOff>
      <xdr:row>23</xdr:row>
      <xdr:rowOff>0</xdr:rowOff>
    </xdr:to>
    <xdr:sp macro="" textlink="">
      <xdr:nvSpPr>
        <xdr:cNvPr id="299012" name="Text Box 4" hidden="1">
          <a:extLst>
            <a:ext uri="{FF2B5EF4-FFF2-40B4-BE49-F238E27FC236}">
              <a16:creationId xmlns:a16="http://schemas.microsoft.com/office/drawing/2014/main" id="{00A2BDF7-D3D6-4057-BABB-1979110FE52F}"/>
            </a:ext>
          </a:extLst>
        </xdr:cNvPr>
        <xdr:cNvSpPr txBox="1">
          <a:spLocks noChangeArrowheads="1"/>
        </xdr:cNvSpPr>
      </xdr:nvSpPr>
      <xdr:spPr bwMode="auto">
        <a:xfrm>
          <a:off x="1624965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768350</xdr:colOff>
      <xdr:row>65</xdr:row>
      <xdr:rowOff>471261</xdr:rowOff>
    </xdr:from>
    <xdr:to>
      <xdr:col>19</xdr:col>
      <xdr:colOff>591292</xdr:colOff>
      <xdr:row>65</xdr:row>
      <xdr:rowOff>471261</xdr:rowOff>
    </xdr:to>
    <xdr:sp macro="" textlink="">
      <xdr:nvSpPr>
        <xdr:cNvPr id="299011" name="Text Box 3" hidden="1">
          <a:extLst>
            <a:ext uri="{FF2B5EF4-FFF2-40B4-BE49-F238E27FC236}">
              <a16:creationId xmlns:a16="http://schemas.microsoft.com/office/drawing/2014/main" id="{97329995-FEB3-4544-8F2B-8C5EE4FBDA2F}"/>
            </a:ext>
          </a:extLst>
        </xdr:cNvPr>
        <xdr:cNvSpPr txBox="1">
          <a:spLocks noChangeArrowheads="1"/>
        </xdr:cNvSpPr>
      </xdr:nvSpPr>
      <xdr:spPr bwMode="auto">
        <a:xfrm>
          <a:off x="17773650" y="15478125"/>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95992</xdr:colOff>
      <xdr:row>15</xdr:row>
      <xdr:rowOff>152400</xdr:rowOff>
    </xdr:from>
    <xdr:to>
      <xdr:col>19</xdr:col>
      <xdr:colOff>629392</xdr:colOff>
      <xdr:row>18</xdr:row>
      <xdr:rowOff>152400</xdr:rowOff>
    </xdr:to>
    <xdr:sp macro="" textlink="">
      <xdr:nvSpPr>
        <xdr:cNvPr id="299010" name="Text Box 2" hidden="1">
          <a:extLst>
            <a:ext uri="{FF2B5EF4-FFF2-40B4-BE49-F238E27FC236}">
              <a16:creationId xmlns:a16="http://schemas.microsoft.com/office/drawing/2014/main" id="{9DB6E285-7B1A-4645-AF3A-C0E2B97E743B}"/>
            </a:ext>
          </a:extLst>
        </xdr:cNvPr>
        <xdr:cNvSpPr txBox="1">
          <a:spLocks noChangeArrowheads="1"/>
        </xdr:cNvSpPr>
      </xdr:nvSpPr>
      <xdr:spPr bwMode="auto">
        <a:xfrm>
          <a:off x="17849850" y="3343275"/>
          <a:ext cx="12954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24</xdr:row>
      <xdr:rowOff>476250</xdr:rowOff>
    </xdr:from>
    <xdr:to>
      <xdr:col>1</xdr:col>
      <xdr:colOff>4726379</xdr:colOff>
      <xdr:row>26</xdr:row>
      <xdr:rowOff>152400</xdr:rowOff>
    </xdr:to>
    <xdr:sp macro="" textlink="">
      <xdr:nvSpPr>
        <xdr:cNvPr id="299009" name="Text Box 1" hidden="1">
          <a:extLst>
            <a:ext uri="{FF2B5EF4-FFF2-40B4-BE49-F238E27FC236}">
              <a16:creationId xmlns:a16="http://schemas.microsoft.com/office/drawing/2014/main" id="{078C7C1E-D8FE-42E2-99E9-00F7CD98AF67}"/>
            </a:ext>
          </a:extLst>
        </xdr:cNvPr>
        <xdr:cNvSpPr txBox="1">
          <a:spLocks noChangeArrowheads="1"/>
        </xdr:cNvSpPr>
      </xdr:nvSpPr>
      <xdr:spPr bwMode="auto">
        <a:xfrm>
          <a:off x="4133850" y="6115050"/>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66</xdr:row>
      <xdr:rowOff>29194</xdr:rowOff>
    </xdr:from>
    <xdr:to>
      <xdr:col>8</xdr:col>
      <xdr:colOff>249876</xdr:colOff>
      <xdr:row>66</xdr:row>
      <xdr:rowOff>29194</xdr:rowOff>
    </xdr:to>
    <xdr:sp macro="" textlink="">
      <xdr:nvSpPr>
        <xdr:cNvPr id="299022" name="Text Box 14" hidden="1">
          <a:extLst>
            <a:ext uri="{FF2B5EF4-FFF2-40B4-BE49-F238E27FC236}">
              <a16:creationId xmlns:a16="http://schemas.microsoft.com/office/drawing/2014/main" id="{6148C1DE-6A46-4B34-975C-45245F14F1B0}"/>
            </a:ext>
          </a:extLst>
        </xdr:cNvPr>
        <xdr:cNvSpPr txBox="1">
          <a:spLocks noChangeArrowheads="1"/>
        </xdr:cNvSpPr>
      </xdr:nvSpPr>
      <xdr:spPr bwMode="auto">
        <a:xfrm>
          <a:off x="8782050" y="15630525"/>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66</xdr:row>
      <xdr:rowOff>29194</xdr:rowOff>
    </xdr:from>
    <xdr:to>
      <xdr:col>11</xdr:col>
      <xdr:colOff>210292</xdr:colOff>
      <xdr:row>66</xdr:row>
      <xdr:rowOff>29194</xdr:rowOff>
    </xdr:to>
    <xdr:sp macro="" textlink="">
      <xdr:nvSpPr>
        <xdr:cNvPr id="299021" name="Text Box 13" hidden="1">
          <a:extLst>
            <a:ext uri="{FF2B5EF4-FFF2-40B4-BE49-F238E27FC236}">
              <a16:creationId xmlns:a16="http://schemas.microsoft.com/office/drawing/2014/main" id="{9AF86D6E-E715-4725-8350-E875719592A3}"/>
            </a:ext>
          </a:extLst>
        </xdr:cNvPr>
        <xdr:cNvSpPr txBox="1">
          <a:spLocks noChangeArrowheads="1"/>
        </xdr:cNvSpPr>
      </xdr:nvSpPr>
      <xdr:spPr bwMode="auto">
        <a:xfrm>
          <a:off x="11029950" y="1563052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768350</xdr:colOff>
      <xdr:row>22</xdr:row>
      <xdr:rowOff>190500</xdr:rowOff>
    </xdr:from>
    <xdr:to>
      <xdr:col>17</xdr:col>
      <xdr:colOff>553192</xdr:colOff>
      <xdr:row>24</xdr:row>
      <xdr:rowOff>419100</xdr:rowOff>
    </xdr:to>
    <xdr:sp macro="" textlink="">
      <xdr:nvSpPr>
        <xdr:cNvPr id="299020" name="Text Box 12" hidden="1">
          <a:extLst>
            <a:ext uri="{FF2B5EF4-FFF2-40B4-BE49-F238E27FC236}">
              <a16:creationId xmlns:a16="http://schemas.microsoft.com/office/drawing/2014/main" id="{02FE1826-2AE8-4974-AD1C-7C44EF9417B2}"/>
            </a:ext>
          </a:extLst>
        </xdr:cNvPr>
        <xdr:cNvSpPr txBox="1">
          <a:spLocks noChangeArrowheads="1"/>
        </xdr:cNvSpPr>
      </xdr:nvSpPr>
      <xdr:spPr bwMode="auto">
        <a:xfrm>
          <a:off x="1624965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768350</xdr:colOff>
      <xdr:row>19</xdr:row>
      <xdr:rowOff>381000</xdr:rowOff>
    </xdr:from>
    <xdr:to>
      <xdr:col>17</xdr:col>
      <xdr:colOff>553192</xdr:colOff>
      <xdr:row>23</xdr:row>
      <xdr:rowOff>0</xdr:rowOff>
    </xdr:to>
    <xdr:sp macro="" textlink="">
      <xdr:nvSpPr>
        <xdr:cNvPr id="299019" name="Text Box 11" hidden="1">
          <a:extLst>
            <a:ext uri="{FF2B5EF4-FFF2-40B4-BE49-F238E27FC236}">
              <a16:creationId xmlns:a16="http://schemas.microsoft.com/office/drawing/2014/main" id="{52D06EBC-E320-4A52-81DB-BEA32E36D144}"/>
            </a:ext>
          </a:extLst>
        </xdr:cNvPr>
        <xdr:cNvSpPr txBox="1">
          <a:spLocks noChangeArrowheads="1"/>
        </xdr:cNvSpPr>
      </xdr:nvSpPr>
      <xdr:spPr bwMode="auto">
        <a:xfrm>
          <a:off x="1624965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768350</xdr:colOff>
      <xdr:row>65</xdr:row>
      <xdr:rowOff>471261</xdr:rowOff>
    </xdr:from>
    <xdr:to>
      <xdr:col>19</xdr:col>
      <xdr:colOff>591292</xdr:colOff>
      <xdr:row>65</xdr:row>
      <xdr:rowOff>471261</xdr:rowOff>
    </xdr:to>
    <xdr:sp macro="" textlink="">
      <xdr:nvSpPr>
        <xdr:cNvPr id="299018" name="Text Box 10" hidden="1">
          <a:extLst>
            <a:ext uri="{FF2B5EF4-FFF2-40B4-BE49-F238E27FC236}">
              <a16:creationId xmlns:a16="http://schemas.microsoft.com/office/drawing/2014/main" id="{EB10DF0E-6CC2-439A-B40D-C22FEE1005E1}"/>
            </a:ext>
          </a:extLst>
        </xdr:cNvPr>
        <xdr:cNvSpPr txBox="1">
          <a:spLocks noChangeArrowheads="1"/>
        </xdr:cNvSpPr>
      </xdr:nvSpPr>
      <xdr:spPr bwMode="auto">
        <a:xfrm>
          <a:off x="17773650" y="15478125"/>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95992</xdr:colOff>
      <xdr:row>15</xdr:row>
      <xdr:rowOff>152400</xdr:rowOff>
    </xdr:from>
    <xdr:to>
      <xdr:col>19</xdr:col>
      <xdr:colOff>629392</xdr:colOff>
      <xdr:row>18</xdr:row>
      <xdr:rowOff>152400</xdr:rowOff>
    </xdr:to>
    <xdr:sp macro="" textlink="">
      <xdr:nvSpPr>
        <xdr:cNvPr id="299017" name="Text Box 9" hidden="1">
          <a:extLst>
            <a:ext uri="{FF2B5EF4-FFF2-40B4-BE49-F238E27FC236}">
              <a16:creationId xmlns:a16="http://schemas.microsoft.com/office/drawing/2014/main" id="{DF3FCEE2-5D06-44D7-84EB-A2FF4AA31E98}"/>
            </a:ext>
          </a:extLst>
        </xdr:cNvPr>
        <xdr:cNvSpPr txBox="1">
          <a:spLocks noChangeArrowheads="1"/>
        </xdr:cNvSpPr>
      </xdr:nvSpPr>
      <xdr:spPr bwMode="auto">
        <a:xfrm>
          <a:off x="17849850" y="3343275"/>
          <a:ext cx="12954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24</xdr:row>
      <xdr:rowOff>476250</xdr:rowOff>
    </xdr:from>
    <xdr:to>
      <xdr:col>1</xdr:col>
      <xdr:colOff>4726379</xdr:colOff>
      <xdr:row>26</xdr:row>
      <xdr:rowOff>152400</xdr:rowOff>
    </xdr:to>
    <xdr:sp macro="" textlink="">
      <xdr:nvSpPr>
        <xdr:cNvPr id="299016" name="Text Box 8" hidden="1">
          <a:extLst>
            <a:ext uri="{FF2B5EF4-FFF2-40B4-BE49-F238E27FC236}">
              <a16:creationId xmlns:a16="http://schemas.microsoft.com/office/drawing/2014/main" id="{31E1DEC3-3D5B-4A48-A538-02CD0A217DF0}"/>
            </a:ext>
          </a:extLst>
        </xdr:cNvPr>
        <xdr:cNvSpPr txBox="1">
          <a:spLocks noChangeArrowheads="1"/>
        </xdr:cNvSpPr>
      </xdr:nvSpPr>
      <xdr:spPr bwMode="auto">
        <a:xfrm>
          <a:off x="4133850" y="6115050"/>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66</xdr:row>
      <xdr:rowOff>29194</xdr:rowOff>
    </xdr:from>
    <xdr:to>
      <xdr:col>8</xdr:col>
      <xdr:colOff>249876</xdr:colOff>
      <xdr:row>66</xdr:row>
      <xdr:rowOff>29194</xdr:rowOff>
    </xdr:to>
    <xdr:sp macro="" textlink="">
      <xdr:nvSpPr>
        <xdr:cNvPr id="299029" name="Text Box 21" hidden="1">
          <a:extLst>
            <a:ext uri="{FF2B5EF4-FFF2-40B4-BE49-F238E27FC236}">
              <a16:creationId xmlns:a16="http://schemas.microsoft.com/office/drawing/2014/main" id="{C01C75E8-49E5-49D0-AE54-A995CFAC89F4}"/>
            </a:ext>
          </a:extLst>
        </xdr:cNvPr>
        <xdr:cNvSpPr txBox="1">
          <a:spLocks noChangeArrowheads="1"/>
        </xdr:cNvSpPr>
      </xdr:nvSpPr>
      <xdr:spPr bwMode="auto">
        <a:xfrm>
          <a:off x="9017000" y="15608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66</xdr:row>
      <xdr:rowOff>29194</xdr:rowOff>
    </xdr:from>
    <xdr:to>
      <xdr:col>11</xdr:col>
      <xdr:colOff>210292</xdr:colOff>
      <xdr:row>66</xdr:row>
      <xdr:rowOff>29194</xdr:rowOff>
    </xdr:to>
    <xdr:sp macro="" textlink="">
      <xdr:nvSpPr>
        <xdr:cNvPr id="299028" name="Text Box 20" hidden="1">
          <a:extLst>
            <a:ext uri="{FF2B5EF4-FFF2-40B4-BE49-F238E27FC236}">
              <a16:creationId xmlns:a16="http://schemas.microsoft.com/office/drawing/2014/main" id="{E087E503-842D-4D7D-B75F-FB78B050DD43}"/>
            </a:ext>
          </a:extLst>
        </xdr:cNvPr>
        <xdr:cNvSpPr txBox="1">
          <a:spLocks noChangeArrowheads="1"/>
        </xdr:cNvSpPr>
      </xdr:nvSpPr>
      <xdr:spPr bwMode="auto">
        <a:xfrm>
          <a:off x="11303000" y="15608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768350</xdr:colOff>
      <xdr:row>22</xdr:row>
      <xdr:rowOff>190500</xdr:rowOff>
    </xdr:from>
    <xdr:to>
      <xdr:col>17</xdr:col>
      <xdr:colOff>553192</xdr:colOff>
      <xdr:row>24</xdr:row>
      <xdr:rowOff>419100</xdr:rowOff>
    </xdr:to>
    <xdr:sp macro="" textlink="">
      <xdr:nvSpPr>
        <xdr:cNvPr id="299027" name="Text Box 19" hidden="1">
          <a:extLst>
            <a:ext uri="{FF2B5EF4-FFF2-40B4-BE49-F238E27FC236}">
              <a16:creationId xmlns:a16="http://schemas.microsoft.com/office/drawing/2014/main" id="{933DF242-8FD9-41B5-BC6E-1A6A8B35F07F}"/>
            </a:ext>
          </a:extLst>
        </xdr:cNvPr>
        <xdr:cNvSpPr txBox="1">
          <a:spLocks noChangeArrowheads="1"/>
        </xdr:cNvSpPr>
      </xdr:nvSpPr>
      <xdr:spPr bwMode="auto">
        <a:xfrm>
          <a:off x="16522700" y="53149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768350</xdr:colOff>
      <xdr:row>19</xdr:row>
      <xdr:rowOff>381000</xdr:rowOff>
    </xdr:from>
    <xdr:to>
      <xdr:col>17</xdr:col>
      <xdr:colOff>553192</xdr:colOff>
      <xdr:row>23</xdr:row>
      <xdr:rowOff>0</xdr:rowOff>
    </xdr:to>
    <xdr:sp macro="" textlink="">
      <xdr:nvSpPr>
        <xdr:cNvPr id="299026" name="Text Box 18" hidden="1">
          <a:extLst>
            <a:ext uri="{FF2B5EF4-FFF2-40B4-BE49-F238E27FC236}">
              <a16:creationId xmlns:a16="http://schemas.microsoft.com/office/drawing/2014/main" id="{6A532F64-892B-4773-8924-0DC57EAA40F5}"/>
            </a:ext>
          </a:extLst>
        </xdr:cNvPr>
        <xdr:cNvSpPr txBox="1">
          <a:spLocks noChangeArrowheads="1"/>
        </xdr:cNvSpPr>
      </xdr:nvSpPr>
      <xdr:spPr bwMode="auto">
        <a:xfrm>
          <a:off x="16522700" y="457200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768350</xdr:colOff>
      <xdr:row>65</xdr:row>
      <xdr:rowOff>471261</xdr:rowOff>
    </xdr:from>
    <xdr:to>
      <xdr:col>19</xdr:col>
      <xdr:colOff>591292</xdr:colOff>
      <xdr:row>65</xdr:row>
      <xdr:rowOff>471261</xdr:rowOff>
    </xdr:to>
    <xdr:sp macro="" textlink="">
      <xdr:nvSpPr>
        <xdr:cNvPr id="299025" name="Text Box 17" hidden="1">
          <a:extLst>
            <a:ext uri="{FF2B5EF4-FFF2-40B4-BE49-F238E27FC236}">
              <a16:creationId xmlns:a16="http://schemas.microsoft.com/office/drawing/2014/main" id="{C20793F8-B6F5-44F4-BD88-6139B98E7A68}"/>
            </a:ext>
          </a:extLst>
        </xdr:cNvPr>
        <xdr:cNvSpPr txBox="1">
          <a:spLocks noChangeArrowheads="1"/>
        </xdr:cNvSpPr>
      </xdr:nvSpPr>
      <xdr:spPr bwMode="auto">
        <a:xfrm>
          <a:off x="18046700" y="154559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95992</xdr:colOff>
      <xdr:row>15</xdr:row>
      <xdr:rowOff>152400</xdr:rowOff>
    </xdr:from>
    <xdr:to>
      <xdr:col>19</xdr:col>
      <xdr:colOff>629392</xdr:colOff>
      <xdr:row>18</xdr:row>
      <xdr:rowOff>152400</xdr:rowOff>
    </xdr:to>
    <xdr:sp macro="" textlink="">
      <xdr:nvSpPr>
        <xdr:cNvPr id="299024" name="Text Box 16" hidden="1">
          <a:extLst>
            <a:ext uri="{FF2B5EF4-FFF2-40B4-BE49-F238E27FC236}">
              <a16:creationId xmlns:a16="http://schemas.microsoft.com/office/drawing/2014/main" id="{FAF79D2E-A32F-4EE2-A454-9769297A93D8}"/>
            </a:ext>
          </a:extLst>
        </xdr:cNvPr>
        <xdr:cNvSpPr txBox="1">
          <a:spLocks noChangeArrowheads="1"/>
        </xdr:cNvSpPr>
      </xdr:nvSpPr>
      <xdr:spPr bwMode="auto">
        <a:xfrm>
          <a:off x="18122900" y="3333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24</xdr:row>
      <xdr:rowOff>476250</xdr:rowOff>
    </xdr:from>
    <xdr:to>
      <xdr:col>1</xdr:col>
      <xdr:colOff>4726379</xdr:colOff>
      <xdr:row>26</xdr:row>
      <xdr:rowOff>152400</xdr:rowOff>
    </xdr:to>
    <xdr:sp macro="" textlink="">
      <xdr:nvSpPr>
        <xdr:cNvPr id="299023" name="Text Box 15" hidden="1">
          <a:extLst>
            <a:ext uri="{FF2B5EF4-FFF2-40B4-BE49-F238E27FC236}">
              <a16:creationId xmlns:a16="http://schemas.microsoft.com/office/drawing/2014/main" id="{7C043F31-68E5-498C-AA82-74D5B42E623F}"/>
            </a:ext>
          </a:extLst>
        </xdr:cNvPr>
        <xdr:cNvSpPr txBox="1">
          <a:spLocks noChangeArrowheads="1"/>
        </xdr:cNvSpPr>
      </xdr:nvSpPr>
      <xdr:spPr bwMode="auto">
        <a:xfrm>
          <a:off x="4292600" y="6140450"/>
          <a:ext cx="127635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134092</xdr:colOff>
      <xdr:row>66</xdr:row>
      <xdr:rowOff>58388</xdr:rowOff>
    </xdr:from>
    <xdr:to>
      <xdr:col>8</xdr:col>
      <xdr:colOff>242949</xdr:colOff>
      <xdr:row>66</xdr:row>
      <xdr:rowOff>58388</xdr:rowOff>
    </xdr:to>
    <xdr:sp macro="" textlink="">
      <xdr:nvSpPr>
        <xdr:cNvPr id="299036" name="Text Box 28" hidden="1">
          <a:extLst>
            <a:ext uri="{FF2B5EF4-FFF2-40B4-BE49-F238E27FC236}">
              <a16:creationId xmlns:a16="http://schemas.microsoft.com/office/drawing/2014/main" id="{399819B4-63B2-4C2E-A12E-82E385610B26}"/>
            </a:ext>
          </a:extLst>
        </xdr:cNvPr>
        <xdr:cNvSpPr txBox="1">
          <a:spLocks noChangeArrowheads="1"/>
        </xdr:cNvSpPr>
      </xdr:nvSpPr>
      <xdr:spPr bwMode="auto">
        <a:xfrm>
          <a:off x="9004300" y="155829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127165</xdr:colOff>
      <xdr:row>66</xdr:row>
      <xdr:rowOff>58388</xdr:rowOff>
    </xdr:from>
    <xdr:to>
      <xdr:col>11</xdr:col>
      <xdr:colOff>203365</xdr:colOff>
      <xdr:row>66</xdr:row>
      <xdr:rowOff>58388</xdr:rowOff>
    </xdr:to>
    <xdr:sp macro="" textlink="">
      <xdr:nvSpPr>
        <xdr:cNvPr id="299035" name="Text Box 27" hidden="1">
          <a:extLst>
            <a:ext uri="{FF2B5EF4-FFF2-40B4-BE49-F238E27FC236}">
              <a16:creationId xmlns:a16="http://schemas.microsoft.com/office/drawing/2014/main" id="{7B25B8C6-8CA8-4524-8A92-6D95865C5C17}"/>
            </a:ext>
          </a:extLst>
        </xdr:cNvPr>
        <xdr:cNvSpPr txBox="1">
          <a:spLocks noChangeArrowheads="1"/>
        </xdr:cNvSpPr>
      </xdr:nvSpPr>
      <xdr:spPr bwMode="auto">
        <a:xfrm>
          <a:off x="11290300" y="155829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736765</xdr:colOff>
      <xdr:row>22</xdr:row>
      <xdr:rowOff>190500</xdr:rowOff>
    </xdr:from>
    <xdr:to>
      <xdr:col>17</xdr:col>
      <xdr:colOff>546265</xdr:colOff>
      <xdr:row>24</xdr:row>
      <xdr:rowOff>419100</xdr:rowOff>
    </xdr:to>
    <xdr:sp macro="" textlink="">
      <xdr:nvSpPr>
        <xdr:cNvPr id="299034" name="Text Box 26" hidden="1">
          <a:extLst>
            <a:ext uri="{FF2B5EF4-FFF2-40B4-BE49-F238E27FC236}">
              <a16:creationId xmlns:a16="http://schemas.microsoft.com/office/drawing/2014/main" id="{B622A327-F58C-45AA-B45E-2EAB2034AE26}"/>
            </a:ext>
          </a:extLst>
        </xdr:cNvPr>
        <xdr:cNvSpPr txBox="1">
          <a:spLocks noChangeArrowheads="1"/>
        </xdr:cNvSpPr>
      </xdr:nvSpPr>
      <xdr:spPr bwMode="auto">
        <a:xfrm>
          <a:off x="16471900" y="531495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736765</xdr:colOff>
      <xdr:row>19</xdr:row>
      <xdr:rowOff>381000</xdr:rowOff>
    </xdr:from>
    <xdr:to>
      <xdr:col>17</xdr:col>
      <xdr:colOff>546265</xdr:colOff>
      <xdr:row>23</xdr:row>
      <xdr:rowOff>0</xdr:rowOff>
    </xdr:to>
    <xdr:sp macro="" textlink="">
      <xdr:nvSpPr>
        <xdr:cNvPr id="299033" name="Text Box 25" hidden="1">
          <a:extLst>
            <a:ext uri="{FF2B5EF4-FFF2-40B4-BE49-F238E27FC236}">
              <a16:creationId xmlns:a16="http://schemas.microsoft.com/office/drawing/2014/main" id="{CE4DDC36-7821-424A-8E7E-0907A6AFA839}"/>
            </a:ext>
          </a:extLst>
        </xdr:cNvPr>
        <xdr:cNvSpPr txBox="1">
          <a:spLocks noChangeArrowheads="1"/>
        </xdr:cNvSpPr>
      </xdr:nvSpPr>
      <xdr:spPr bwMode="auto">
        <a:xfrm>
          <a:off x="16471900" y="4572000"/>
          <a:ext cx="13335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89065</xdr:colOff>
      <xdr:row>15</xdr:row>
      <xdr:rowOff>152400</xdr:rowOff>
    </xdr:from>
    <xdr:to>
      <xdr:col>19</xdr:col>
      <xdr:colOff>622465</xdr:colOff>
      <xdr:row>18</xdr:row>
      <xdr:rowOff>152400</xdr:rowOff>
    </xdr:to>
    <xdr:sp macro="" textlink="">
      <xdr:nvSpPr>
        <xdr:cNvPr id="299031" name="Text Box 23" hidden="1">
          <a:extLst>
            <a:ext uri="{FF2B5EF4-FFF2-40B4-BE49-F238E27FC236}">
              <a16:creationId xmlns:a16="http://schemas.microsoft.com/office/drawing/2014/main" id="{53646557-6862-4D30-8D35-1A1FB8DC0488}"/>
            </a:ext>
          </a:extLst>
        </xdr:cNvPr>
        <xdr:cNvSpPr txBox="1">
          <a:spLocks noChangeArrowheads="1"/>
        </xdr:cNvSpPr>
      </xdr:nvSpPr>
      <xdr:spPr bwMode="auto">
        <a:xfrm>
          <a:off x="18110200" y="3333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24</xdr:row>
      <xdr:rowOff>457200</xdr:rowOff>
    </xdr:from>
    <xdr:to>
      <xdr:col>1</xdr:col>
      <xdr:colOff>4719452</xdr:colOff>
      <xdr:row>26</xdr:row>
      <xdr:rowOff>152400</xdr:rowOff>
    </xdr:to>
    <xdr:sp macro="" textlink="">
      <xdr:nvSpPr>
        <xdr:cNvPr id="299030" name="Text Box 22" hidden="1">
          <a:extLst>
            <a:ext uri="{FF2B5EF4-FFF2-40B4-BE49-F238E27FC236}">
              <a16:creationId xmlns:a16="http://schemas.microsoft.com/office/drawing/2014/main" id="{33645079-28BC-4576-A56A-BDAF11ED0110}"/>
            </a:ext>
          </a:extLst>
        </xdr:cNvPr>
        <xdr:cNvSpPr txBox="1">
          <a:spLocks noChangeArrowheads="1"/>
        </xdr:cNvSpPr>
      </xdr:nvSpPr>
      <xdr:spPr bwMode="auto">
        <a:xfrm>
          <a:off x="4229100" y="6121400"/>
          <a:ext cx="13271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3486150</xdr:colOff>
      <xdr:row>84</xdr:row>
      <xdr:rowOff>97187</xdr:rowOff>
    </xdr:from>
    <xdr:to>
      <xdr:col>1</xdr:col>
      <xdr:colOff>4757552</xdr:colOff>
      <xdr:row>84</xdr:row>
      <xdr:rowOff>97187</xdr:rowOff>
    </xdr:to>
    <xdr:sp macro="" textlink="">
      <xdr:nvSpPr>
        <xdr:cNvPr id="299045" name="Text Box 37" hidden="1">
          <a:extLst>
            <a:ext uri="{FF2B5EF4-FFF2-40B4-BE49-F238E27FC236}">
              <a16:creationId xmlns:a16="http://schemas.microsoft.com/office/drawing/2014/main" id="{21738633-7086-423A-9D22-F9662922E6FC}"/>
            </a:ext>
          </a:extLst>
        </xdr:cNvPr>
        <xdr:cNvSpPr txBox="1">
          <a:spLocks noChangeArrowheads="1"/>
        </xdr:cNvSpPr>
      </xdr:nvSpPr>
      <xdr:spPr bwMode="auto">
        <a:xfrm>
          <a:off x="4248150" y="20421600"/>
          <a:ext cx="13462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127165</xdr:colOff>
      <xdr:row>61</xdr:row>
      <xdr:rowOff>2393</xdr:rowOff>
    </xdr:from>
    <xdr:to>
      <xdr:col>20</xdr:col>
      <xdr:colOff>660565</xdr:colOff>
      <xdr:row>65</xdr:row>
      <xdr:rowOff>26720</xdr:rowOff>
    </xdr:to>
    <xdr:sp macro="" textlink="">
      <xdr:nvSpPr>
        <xdr:cNvPr id="299046" name="Text Box 38" hidden="1">
          <a:extLst>
            <a:ext uri="{FF2B5EF4-FFF2-40B4-BE49-F238E27FC236}">
              <a16:creationId xmlns:a16="http://schemas.microsoft.com/office/drawing/2014/main" id="{ADD25145-6168-4E72-89E5-A3A438F40E35}"/>
            </a:ext>
          </a:extLst>
        </xdr:cNvPr>
        <xdr:cNvSpPr txBox="1">
          <a:spLocks noChangeArrowheads="1"/>
        </xdr:cNvSpPr>
      </xdr:nvSpPr>
      <xdr:spPr bwMode="auto">
        <a:xfrm>
          <a:off x="18910300" y="14173200"/>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127165</xdr:colOff>
      <xdr:row>61</xdr:row>
      <xdr:rowOff>2393</xdr:rowOff>
    </xdr:from>
    <xdr:to>
      <xdr:col>24</xdr:col>
      <xdr:colOff>660565</xdr:colOff>
      <xdr:row>65</xdr:row>
      <xdr:rowOff>26720</xdr:rowOff>
    </xdr:to>
    <xdr:sp macro="" textlink="">
      <xdr:nvSpPr>
        <xdr:cNvPr id="299047" name="Text Box 39" hidden="1">
          <a:extLst>
            <a:ext uri="{FF2B5EF4-FFF2-40B4-BE49-F238E27FC236}">
              <a16:creationId xmlns:a16="http://schemas.microsoft.com/office/drawing/2014/main" id="{39C80203-6992-4E71-83AE-745B344F33D7}"/>
            </a:ext>
          </a:extLst>
        </xdr:cNvPr>
        <xdr:cNvSpPr txBox="1">
          <a:spLocks noChangeArrowheads="1"/>
        </xdr:cNvSpPr>
      </xdr:nvSpPr>
      <xdr:spPr bwMode="auto">
        <a:xfrm>
          <a:off x="21958300" y="14173200"/>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127165</xdr:colOff>
      <xdr:row>61</xdr:row>
      <xdr:rowOff>2393</xdr:rowOff>
    </xdr:from>
    <xdr:to>
      <xdr:col>28</xdr:col>
      <xdr:colOff>660565</xdr:colOff>
      <xdr:row>65</xdr:row>
      <xdr:rowOff>26720</xdr:rowOff>
    </xdr:to>
    <xdr:sp macro="" textlink="">
      <xdr:nvSpPr>
        <xdr:cNvPr id="299048" name="Text Box 40" hidden="1">
          <a:extLst>
            <a:ext uri="{FF2B5EF4-FFF2-40B4-BE49-F238E27FC236}">
              <a16:creationId xmlns:a16="http://schemas.microsoft.com/office/drawing/2014/main" id="{4C7E5085-5C2B-4F2D-936E-DA7D20D47D08}"/>
            </a:ext>
          </a:extLst>
        </xdr:cNvPr>
        <xdr:cNvSpPr txBox="1">
          <a:spLocks noChangeArrowheads="1"/>
        </xdr:cNvSpPr>
      </xdr:nvSpPr>
      <xdr:spPr bwMode="auto">
        <a:xfrm>
          <a:off x="25006300" y="14173200"/>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134092</xdr:colOff>
      <xdr:row>66</xdr:row>
      <xdr:rowOff>58388</xdr:rowOff>
    </xdr:from>
    <xdr:to>
      <xdr:col>8</xdr:col>
      <xdr:colOff>242949</xdr:colOff>
      <xdr:row>66</xdr:row>
      <xdr:rowOff>58388</xdr:rowOff>
    </xdr:to>
    <xdr:sp macro="" textlink="">
      <xdr:nvSpPr>
        <xdr:cNvPr id="299058" name="Text Box 50" hidden="1">
          <a:extLst>
            <a:ext uri="{FF2B5EF4-FFF2-40B4-BE49-F238E27FC236}">
              <a16:creationId xmlns:a16="http://schemas.microsoft.com/office/drawing/2014/main" id="{E56C2B9F-DBBC-401A-95EB-56FE448109E4}"/>
            </a:ext>
          </a:extLst>
        </xdr:cNvPr>
        <xdr:cNvSpPr txBox="1">
          <a:spLocks noChangeArrowheads="1"/>
        </xdr:cNvSpPr>
      </xdr:nvSpPr>
      <xdr:spPr bwMode="auto">
        <a:xfrm>
          <a:off x="8734425" y="15621000"/>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127165</xdr:colOff>
      <xdr:row>66</xdr:row>
      <xdr:rowOff>58388</xdr:rowOff>
    </xdr:from>
    <xdr:to>
      <xdr:col>11</xdr:col>
      <xdr:colOff>203365</xdr:colOff>
      <xdr:row>66</xdr:row>
      <xdr:rowOff>58388</xdr:rowOff>
    </xdr:to>
    <xdr:sp macro="" textlink="">
      <xdr:nvSpPr>
        <xdr:cNvPr id="299057" name="Text Box 49" hidden="1">
          <a:extLst>
            <a:ext uri="{FF2B5EF4-FFF2-40B4-BE49-F238E27FC236}">
              <a16:creationId xmlns:a16="http://schemas.microsoft.com/office/drawing/2014/main" id="{180E7C2F-B5AB-4B2F-86EE-62B520B33503}"/>
            </a:ext>
          </a:extLst>
        </xdr:cNvPr>
        <xdr:cNvSpPr txBox="1">
          <a:spLocks noChangeArrowheads="1"/>
        </xdr:cNvSpPr>
      </xdr:nvSpPr>
      <xdr:spPr bwMode="auto">
        <a:xfrm>
          <a:off x="10982325" y="156210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736765</xdr:colOff>
      <xdr:row>22</xdr:row>
      <xdr:rowOff>190500</xdr:rowOff>
    </xdr:from>
    <xdr:to>
      <xdr:col>17</xdr:col>
      <xdr:colOff>546265</xdr:colOff>
      <xdr:row>24</xdr:row>
      <xdr:rowOff>419100</xdr:rowOff>
    </xdr:to>
    <xdr:sp macro="" textlink="">
      <xdr:nvSpPr>
        <xdr:cNvPr id="299056" name="Text Box 48" hidden="1">
          <a:extLst>
            <a:ext uri="{FF2B5EF4-FFF2-40B4-BE49-F238E27FC236}">
              <a16:creationId xmlns:a16="http://schemas.microsoft.com/office/drawing/2014/main" id="{6D762BA8-5008-4773-880D-F2E6AFA7C36A}"/>
            </a:ext>
          </a:extLst>
        </xdr:cNvPr>
        <xdr:cNvSpPr txBox="1">
          <a:spLocks noChangeArrowheads="1"/>
        </xdr:cNvSpPr>
      </xdr:nvSpPr>
      <xdr:spPr bwMode="auto">
        <a:xfrm>
          <a:off x="16163925" y="5295900"/>
          <a:ext cx="13335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736765</xdr:colOff>
      <xdr:row>19</xdr:row>
      <xdr:rowOff>381000</xdr:rowOff>
    </xdr:from>
    <xdr:to>
      <xdr:col>17</xdr:col>
      <xdr:colOff>546265</xdr:colOff>
      <xdr:row>23</xdr:row>
      <xdr:rowOff>0</xdr:rowOff>
    </xdr:to>
    <xdr:sp macro="" textlink="">
      <xdr:nvSpPr>
        <xdr:cNvPr id="299055" name="Text Box 47" hidden="1">
          <a:extLst>
            <a:ext uri="{FF2B5EF4-FFF2-40B4-BE49-F238E27FC236}">
              <a16:creationId xmlns:a16="http://schemas.microsoft.com/office/drawing/2014/main" id="{230EB62E-4C78-41E6-B5C1-734CA29DD0DD}"/>
            </a:ext>
          </a:extLst>
        </xdr:cNvPr>
        <xdr:cNvSpPr txBox="1">
          <a:spLocks noChangeArrowheads="1"/>
        </xdr:cNvSpPr>
      </xdr:nvSpPr>
      <xdr:spPr bwMode="auto">
        <a:xfrm>
          <a:off x="16163925" y="4572000"/>
          <a:ext cx="13335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89065</xdr:colOff>
      <xdr:row>15</xdr:row>
      <xdr:rowOff>152400</xdr:rowOff>
    </xdr:from>
    <xdr:to>
      <xdr:col>19</xdr:col>
      <xdr:colOff>622465</xdr:colOff>
      <xdr:row>18</xdr:row>
      <xdr:rowOff>152400</xdr:rowOff>
    </xdr:to>
    <xdr:sp macro="" textlink="">
      <xdr:nvSpPr>
        <xdr:cNvPr id="299054" name="Text Box 46" hidden="1">
          <a:extLst>
            <a:ext uri="{FF2B5EF4-FFF2-40B4-BE49-F238E27FC236}">
              <a16:creationId xmlns:a16="http://schemas.microsoft.com/office/drawing/2014/main" id="{1BAB6882-EA83-4697-9ECB-A90D89E44E35}"/>
            </a:ext>
          </a:extLst>
        </xdr:cNvPr>
        <xdr:cNvSpPr txBox="1">
          <a:spLocks noChangeArrowheads="1"/>
        </xdr:cNvSpPr>
      </xdr:nvSpPr>
      <xdr:spPr bwMode="auto">
        <a:xfrm>
          <a:off x="17802225" y="3343275"/>
          <a:ext cx="12954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24</xdr:row>
      <xdr:rowOff>457200</xdr:rowOff>
    </xdr:from>
    <xdr:to>
      <xdr:col>1</xdr:col>
      <xdr:colOff>4719452</xdr:colOff>
      <xdr:row>26</xdr:row>
      <xdr:rowOff>152400</xdr:rowOff>
    </xdr:to>
    <xdr:sp macro="" textlink="">
      <xdr:nvSpPr>
        <xdr:cNvPr id="299053" name="Text Box 45" hidden="1">
          <a:extLst>
            <a:ext uri="{FF2B5EF4-FFF2-40B4-BE49-F238E27FC236}">
              <a16:creationId xmlns:a16="http://schemas.microsoft.com/office/drawing/2014/main" id="{82BC4430-CB01-4C05-8F04-42531DC8AD52}"/>
            </a:ext>
          </a:extLst>
        </xdr:cNvPr>
        <xdr:cNvSpPr txBox="1">
          <a:spLocks noChangeArrowheads="1"/>
        </xdr:cNvSpPr>
      </xdr:nvSpPr>
      <xdr:spPr bwMode="auto">
        <a:xfrm>
          <a:off x="4229100" y="6096000"/>
          <a:ext cx="1133475"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3486150</xdr:colOff>
      <xdr:row>84</xdr:row>
      <xdr:rowOff>97187</xdr:rowOff>
    </xdr:from>
    <xdr:to>
      <xdr:col>1</xdr:col>
      <xdr:colOff>4757552</xdr:colOff>
      <xdr:row>84</xdr:row>
      <xdr:rowOff>97187</xdr:rowOff>
    </xdr:to>
    <xdr:sp macro="" textlink="">
      <xdr:nvSpPr>
        <xdr:cNvPr id="299052" name="Text Box 44" hidden="1">
          <a:extLst>
            <a:ext uri="{FF2B5EF4-FFF2-40B4-BE49-F238E27FC236}">
              <a16:creationId xmlns:a16="http://schemas.microsoft.com/office/drawing/2014/main" id="{E4BEFD25-3D72-4434-802A-69937C1E5F8D}"/>
            </a:ext>
          </a:extLst>
        </xdr:cNvPr>
        <xdr:cNvSpPr txBox="1">
          <a:spLocks noChangeArrowheads="1"/>
        </xdr:cNvSpPr>
      </xdr:nvSpPr>
      <xdr:spPr bwMode="auto">
        <a:xfrm>
          <a:off x="4248150" y="20488275"/>
          <a:ext cx="11525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127165</xdr:colOff>
      <xdr:row>61</xdr:row>
      <xdr:rowOff>2393</xdr:rowOff>
    </xdr:from>
    <xdr:to>
      <xdr:col>20</xdr:col>
      <xdr:colOff>660565</xdr:colOff>
      <xdr:row>65</xdr:row>
      <xdr:rowOff>26720</xdr:rowOff>
    </xdr:to>
    <xdr:sp macro="" textlink="">
      <xdr:nvSpPr>
        <xdr:cNvPr id="299051" name="Text Box 43" hidden="1">
          <a:extLst>
            <a:ext uri="{FF2B5EF4-FFF2-40B4-BE49-F238E27FC236}">
              <a16:creationId xmlns:a16="http://schemas.microsoft.com/office/drawing/2014/main" id="{0C9C38DE-FC5A-4AA3-AE62-97AF37FB57A5}"/>
            </a:ext>
          </a:extLst>
        </xdr:cNvPr>
        <xdr:cNvSpPr txBox="1">
          <a:spLocks noChangeArrowheads="1"/>
        </xdr:cNvSpPr>
      </xdr:nvSpPr>
      <xdr:spPr bwMode="auto">
        <a:xfrm>
          <a:off x="18602325" y="1420177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127165</xdr:colOff>
      <xdr:row>61</xdr:row>
      <xdr:rowOff>2393</xdr:rowOff>
    </xdr:from>
    <xdr:to>
      <xdr:col>24</xdr:col>
      <xdr:colOff>660565</xdr:colOff>
      <xdr:row>65</xdr:row>
      <xdr:rowOff>26720</xdr:rowOff>
    </xdr:to>
    <xdr:sp macro="" textlink="">
      <xdr:nvSpPr>
        <xdr:cNvPr id="299050" name="Text Box 42" hidden="1">
          <a:extLst>
            <a:ext uri="{FF2B5EF4-FFF2-40B4-BE49-F238E27FC236}">
              <a16:creationId xmlns:a16="http://schemas.microsoft.com/office/drawing/2014/main" id="{1CAACE1E-3B7F-49A2-9E19-8887E7880B19}"/>
            </a:ext>
          </a:extLst>
        </xdr:cNvPr>
        <xdr:cNvSpPr txBox="1">
          <a:spLocks noChangeArrowheads="1"/>
        </xdr:cNvSpPr>
      </xdr:nvSpPr>
      <xdr:spPr bwMode="auto">
        <a:xfrm>
          <a:off x="21650325" y="1420177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127165</xdr:colOff>
      <xdr:row>61</xdr:row>
      <xdr:rowOff>2393</xdr:rowOff>
    </xdr:from>
    <xdr:to>
      <xdr:col>28</xdr:col>
      <xdr:colOff>660565</xdr:colOff>
      <xdr:row>65</xdr:row>
      <xdr:rowOff>26720</xdr:rowOff>
    </xdr:to>
    <xdr:sp macro="" textlink="">
      <xdr:nvSpPr>
        <xdr:cNvPr id="299049" name="Text Box 41" hidden="1">
          <a:extLst>
            <a:ext uri="{FF2B5EF4-FFF2-40B4-BE49-F238E27FC236}">
              <a16:creationId xmlns:a16="http://schemas.microsoft.com/office/drawing/2014/main" id="{AD678E4F-8D2C-4402-A598-8C4C3F7D9628}"/>
            </a:ext>
          </a:extLst>
        </xdr:cNvPr>
        <xdr:cNvSpPr txBox="1">
          <a:spLocks noChangeArrowheads="1"/>
        </xdr:cNvSpPr>
      </xdr:nvSpPr>
      <xdr:spPr bwMode="auto">
        <a:xfrm>
          <a:off x="24698325" y="1420177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184315</xdr:colOff>
      <xdr:row>10</xdr:row>
      <xdr:rowOff>114300</xdr:rowOff>
    </xdr:from>
    <xdr:to>
      <xdr:col>22</xdr:col>
      <xdr:colOff>736765</xdr:colOff>
      <xdr:row>13</xdr:row>
      <xdr:rowOff>323850</xdr:rowOff>
    </xdr:to>
    <xdr:sp macro="" textlink="">
      <xdr:nvSpPr>
        <xdr:cNvPr id="299059" name="Text Box 51" hidden="1">
          <a:extLst>
            <a:ext uri="{FF2B5EF4-FFF2-40B4-BE49-F238E27FC236}">
              <a16:creationId xmlns:a16="http://schemas.microsoft.com/office/drawing/2014/main" id="{042DF6A9-E0A9-4CFD-81D7-8BE4A67E3F7D}"/>
            </a:ext>
          </a:extLst>
        </xdr:cNvPr>
        <xdr:cNvSpPr txBox="1">
          <a:spLocks noChangeArrowheads="1"/>
        </xdr:cNvSpPr>
      </xdr:nvSpPr>
      <xdr:spPr bwMode="auto">
        <a:xfrm>
          <a:off x="20183475" y="2047875"/>
          <a:ext cx="13144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nsalwati/Downloads/monthly_state_employmen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2">
          <cell r="B2">
            <v>5154</v>
          </cell>
          <cell r="H2">
            <v>5241</v>
          </cell>
          <cell r="I2">
            <v>5226</v>
          </cell>
          <cell r="J2">
            <v>5224</v>
          </cell>
          <cell r="K2">
            <v>5224</v>
          </cell>
          <cell r="L2">
            <v>5220</v>
          </cell>
          <cell r="M2">
            <v>5237</v>
          </cell>
        </row>
        <row r="3">
          <cell r="B3">
            <v>13748</v>
          </cell>
          <cell r="C3">
            <v>13760</v>
          </cell>
          <cell r="D3">
            <v>13801</v>
          </cell>
          <cell r="E3">
            <v>13842</v>
          </cell>
          <cell r="F3">
            <v>13856</v>
          </cell>
          <cell r="G3">
            <v>13889</v>
          </cell>
          <cell r="H3">
            <v>13948</v>
          </cell>
          <cell r="I3">
            <v>13984</v>
          </cell>
          <cell r="J3">
            <v>14002</v>
          </cell>
          <cell r="K3">
            <v>13990</v>
          </cell>
          <cell r="L3">
            <v>14010</v>
          </cell>
          <cell r="M3">
            <v>14028</v>
          </cell>
        </row>
        <row r="4">
          <cell r="B4">
            <v>328517</v>
          </cell>
          <cell r="C4">
            <v>320118</v>
          </cell>
          <cell r="D4">
            <v>319991</v>
          </cell>
          <cell r="E4">
            <v>321220</v>
          </cell>
          <cell r="F4">
            <v>319056</v>
          </cell>
          <cell r="G4">
            <v>315198</v>
          </cell>
          <cell r="H4">
            <v>318559</v>
          </cell>
          <cell r="I4">
            <v>323086</v>
          </cell>
          <cell r="J4">
            <v>324024</v>
          </cell>
          <cell r="K4">
            <v>325954</v>
          </cell>
          <cell r="L4">
            <v>325873</v>
          </cell>
          <cell r="M4">
            <v>323714</v>
          </cell>
        </row>
      </sheetData>
    </sheetDataSet>
  </externalBook>
</externalLink>
</file>

<file path=xl/persons/person.xml><?xml version="1.0" encoding="utf-8"?>
<personList xmlns="http://schemas.microsoft.com/office/spreadsheetml/2018/threadedcomments" xmlns:x="http://schemas.openxmlformats.org/spreadsheetml/2006/main">
  <person displayName="Nasiha Salwati" id="{104078EE-2393-4C21-9029-18A325FBDB70}" userId="S::NSalwati@brookings.edu::56697e1b-7df9-4616-9709-1ef1f12cb369" providerId="AD"/>
  <person displayName="Sophia Campbell" id="{58CF8BEC-4104-46F7-BE4F-2C9403635492}" userId="S::SCampbell@brookings.edu::08ba02a6-9c19-44f8-b6b8-8043641915ad" providerId="AD"/>
  <person displayName="Elijah Asdourian" id="{609654FB-393E-4954-B3A3-EDB231775774}" userId="S::EAsdourian@brookings.edu::05735e4b-1dea-47b6-8667-a6d50e66dfd7" providerId="AD"/>
  <person displayName="Lorae Stojanovic" id="{2C68A5A1-706F-4A3E-93A3-741BBABEC4EA}" userId="S::LStojanovic@brookings.edu::cf5406ac-934d-4a58-b1cc-e481841cfe10" providerId="AD"/>
  <person displayName="Manuel Alcala Kovalski" id="{6F934F46-906E-4DFC-AA15-8C66AF925C04}" userId="S::malcalakovalski@brookings.edu::65ca0f03-2f5c-48fe-8ae6-628c3a907f64" providerId="AD"/>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orae Stojanovic" refreshedDate="45043.430503703705" createdVersion="7" refreshedVersion="7" minRefreshableVersion="3" recordCount="72" xr:uid="{B77C5B51-7D2A-4D29-B220-29C5221BA17D}">
  <cacheSource type="worksheet">
    <worksheetSource ref="B28:C100" sheet="Unemployment Insurance - lorae"/>
  </cacheSource>
  <cacheFields count="4">
    <cacheField name="Monthly Unemployment Rate from the BLS" numFmtId="14">
      <sharedItems containsSemiMixedTypes="0" containsNonDate="0" containsDate="1" containsString="0" minDate="2021-01-01T00:00:00" maxDate="2026-12-02T00:00:00" count="72">
        <d v="2021-01-01T00:00:00"/>
        <d v="2021-02-01T00:00:00"/>
        <d v="2021-03-01T00:00:00"/>
        <d v="2021-04-01T00:00:00"/>
        <d v="2021-05-01T00:00:00"/>
        <d v="2021-06-01T00:00:00"/>
        <d v="2021-07-01T00:00:00"/>
        <d v="2021-08-01T00:00:00"/>
        <d v="2021-09-01T00:00:00"/>
        <d v="2021-10-01T00:00:00"/>
        <d v="2021-11-01T00:00:00"/>
        <d v="2021-12-01T00:00:00"/>
        <d v="2022-01-01T00:00:00"/>
        <d v="2022-02-01T00:00:00"/>
        <d v="2022-03-01T00:00:00"/>
        <d v="2022-04-01T00:00:00"/>
        <d v="2022-05-01T00:00:00"/>
        <d v="2022-06-01T00:00:00"/>
        <d v="2022-07-01T00:00:00"/>
        <d v="2022-08-01T00:00:00"/>
        <d v="2022-09-01T00:00:00"/>
        <d v="2022-10-01T00:00:00"/>
        <d v="2022-11-01T00:00:00"/>
        <d v="2022-12-01T00:00:00"/>
        <d v="2023-01-01T00:00:00"/>
        <d v="2023-02-01T00:00:00"/>
        <d v="2023-03-01T00:00:00"/>
        <d v="2023-04-01T00:00:00"/>
        <d v="2023-05-01T00:00:00"/>
        <d v="2023-06-01T00:00:00"/>
        <d v="2023-07-01T00:00:00"/>
        <d v="2023-08-01T00:00:00"/>
        <d v="2023-09-01T00:00:00"/>
        <d v="2023-10-01T00:00:00"/>
        <d v="2023-11-01T00:00:00"/>
        <d v="2023-12-01T00:00:00"/>
        <d v="2024-01-01T00:00:00"/>
        <d v="2024-02-01T00:00:00"/>
        <d v="2024-03-01T00:00:00"/>
        <d v="2024-04-01T00:00:00"/>
        <d v="2024-05-01T00:00:00"/>
        <d v="2024-06-01T00:00:00"/>
        <d v="2024-07-01T00:00:00"/>
        <d v="2024-08-01T00:00:00"/>
        <d v="2024-09-01T00:00:00"/>
        <d v="2024-10-01T00:00:00"/>
        <d v="2024-11-01T00:00:00"/>
        <d v="2024-12-01T00:00:00"/>
        <d v="2025-01-01T00:00:00"/>
        <d v="2025-02-01T00:00:00"/>
        <d v="2025-03-01T00:00:00"/>
        <d v="2025-04-01T00:00:00"/>
        <d v="2025-05-01T00:00:00"/>
        <d v="2025-06-01T00:00:00"/>
        <d v="2025-07-01T00:00:00"/>
        <d v="2025-08-01T00:00:00"/>
        <d v="2025-09-01T00:00:00"/>
        <d v="2025-10-01T00:00:00"/>
        <d v="2025-11-01T00:00:00"/>
        <d v="2025-12-01T00:00:00"/>
        <d v="2026-01-01T00:00:00"/>
        <d v="2026-02-01T00:00:00"/>
        <d v="2026-03-01T00:00:00"/>
        <d v="2026-04-01T00:00:00"/>
        <d v="2026-05-01T00:00:00"/>
        <d v="2026-06-01T00:00:00"/>
        <d v="2026-07-01T00:00:00"/>
        <d v="2026-08-01T00:00:00"/>
        <d v="2026-09-01T00:00:00"/>
        <d v="2026-10-01T00:00:00"/>
        <d v="2026-11-01T00:00:00"/>
        <d v="2026-12-01T00:00:00"/>
      </sharedItems>
      <fieldGroup par="3" base="0">
        <rangePr groupBy="months" startDate="2021-01-01T00:00:00" endDate="2026-12-02T00:00:00"/>
        <groupItems count="14">
          <s v="&lt;1/1/2021"/>
          <s v="Jan"/>
          <s v="Feb"/>
          <s v="Mar"/>
          <s v="Apr"/>
          <s v="May"/>
          <s v="Jun"/>
          <s v="Jul"/>
          <s v="Aug"/>
          <s v="Sep"/>
          <s v="Oct"/>
          <s v="Nov"/>
          <s v="Dec"/>
          <s v="&gt;12/2/2026"/>
        </groupItems>
      </fieldGroup>
    </cacheField>
    <cacheField name="Monthly UR" numFmtId="0">
      <sharedItems containsString="0" containsBlank="1" containsNumber="1" minValue="3.4" maxValue="6.3"/>
    </cacheField>
    <cacheField name="Quarters" numFmtId="0" databaseField="0">
      <fieldGroup base="0">
        <rangePr groupBy="quarters" startDate="2021-01-01T00:00:00" endDate="2026-12-02T00:00:00"/>
        <groupItems count="6">
          <s v="&lt;1/1/2021"/>
          <s v="Qtr1"/>
          <s v="Qtr2"/>
          <s v="Qtr3"/>
          <s v="Qtr4"/>
          <s v="&gt;12/2/2026"/>
        </groupItems>
      </fieldGroup>
    </cacheField>
    <cacheField name="Years" numFmtId="0" databaseField="0">
      <fieldGroup base="0">
        <rangePr groupBy="years" startDate="2021-01-01T00:00:00" endDate="2026-12-02T00:00:00"/>
        <groupItems count="8">
          <s v="&lt;1/1/2021"/>
          <s v="2021"/>
          <s v="2022"/>
          <s v="2023"/>
          <s v="2024"/>
          <s v="2025"/>
          <s v="2026"/>
          <s v="&gt;12/2/2026"/>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2">
  <r>
    <x v="0"/>
    <n v="6.3"/>
  </r>
  <r>
    <x v="1"/>
    <n v="6.2"/>
  </r>
  <r>
    <x v="2"/>
    <n v="6"/>
  </r>
  <r>
    <x v="3"/>
    <n v="6.1"/>
  </r>
  <r>
    <x v="4"/>
    <n v="5.8"/>
  </r>
  <r>
    <x v="5"/>
    <n v="5.4"/>
  </r>
  <r>
    <x v="6"/>
    <n v="5.4"/>
  </r>
  <r>
    <x v="7"/>
    <n v="5.2"/>
  </r>
  <r>
    <x v="8"/>
    <n v="4.8"/>
  </r>
  <r>
    <x v="9"/>
    <n v="4.5999999999999996"/>
  </r>
  <r>
    <x v="10"/>
    <n v="4.2"/>
  </r>
  <r>
    <x v="11"/>
    <n v="3.9"/>
  </r>
  <r>
    <x v="12"/>
    <n v="4"/>
  </r>
  <r>
    <x v="13"/>
    <n v="3.8"/>
  </r>
  <r>
    <x v="14"/>
    <n v="3.6"/>
  </r>
  <r>
    <x v="15"/>
    <n v="3.6"/>
  </r>
  <r>
    <x v="16"/>
    <n v="3.6"/>
  </r>
  <r>
    <x v="17"/>
    <n v="3.6"/>
  </r>
  <r>
    <x v="18"/>
    <n v="3.5"/>
  </r>
  <r>
    <x v="19"/>
    <n v="3.7"/>
  </r>
  <r>
    <x v="20"/>
    <n v="3.5"/>
  </r>
  <r>
    <x v="21"/>
    <n v="3.7"/>
  </r>
  <r>
    <x v="22"/>
    <n v="3.6"/>
  </r>
  <r>
    <x v="23"/>
    <n v="3.5"/>
  </r>
  <r>
    <x v="24"/>
    <n v="3.4"/>
  </r>
  <r>
    <x v="25"/>
    <n v="3.6"/>
  </r>
  <r>
    <x v="26"/>
    <n v="3.5"/>
  </r>
  <r>
    <x v="27"/>
    <m/>
  </r>
  <r>
    <x v="28"/>
    <m/>
  </r>
  <r>
    <x v="29"/>
    <m/>
  </r>
  <r>
    <x v="30"/>
    <m/>
  </r>
  <r>
    <x v="31"/>
    <m/>
  </r>
  <r>
    <x v="32"/>
    <m/>
  </r>
  <r>
    <x v="33"/>
    <m/>
  </r>
  <r>
    <x v="34"/>
    <m/>
  </r>
  <r>
    <x v="35"/>
    <m/>
  </r>
  <r>
    <x v="36"/>
    <m/>
  </r>
  <r>
    <x v="37"/>
    <m/>
  </r>
  <r>
    <x v="38"/>
    <m/>
  </r>
  <r>
    <x v="39"/>
    <m/>
  </r>
  <r>
    <x v="40"/>
    <m/>
  </r>
  <r>
    <x v="41"/>
    <m/>
  </r>
  <r>
    <x v="42"/>
    <m/>
  </r>
  <r>
    <x v="43"/>
    <m/>
  </r>
  <r>
    <x v="44"/>
    <m/>
  </r>
  <r>
    <x v="45"/>
    <m/>
  </r>
  <r>
    <x v="46"/>
    <m/>
  </r>
  <r>
    <x v="47"/>
    <m/>
  </r>
  <r>
    <x v="48"/>
    <m/>
  </r>
  <r>
    <x v="49"/>
    <m/>
  </r>
  <r>
    <x v="50"/>
    <m/>
  </r>
  <r>
    <x v="51"/>
    <m/>
  </r>
  <r>
    <x v="52"/>
    <m/>
  </r>
  <r>
    <x v="53"/>
    <m/>
  </r>
  <r>
    <x v="54"/>
    <m/>
  </r>
  <r>
    <x v="55"/>
    <m/>
  </r>
  <r>
    <x v="56"/>
    <m/>
  </r>
  <r>
    <x v="57"/>
    <m/>
  </r>
  <r>
    <x v="58"/>
    <m/>
  </r>
  <r>
    <x v="59"/>
    <m/>
  </r>
  <r>
    <x v="60"/>
    <m/>
  </r>
  <r>
    <x v="61"/>
    <m/>
  </r>
  <r>
    <x v="62"/>
    <m/>
  </r>
  <r>
    <x v="63"/>
    <m/>
  </r>
  <r>
    <x v="64"/>
    <m/>
  </r>
  <r>
    <x v="65"/>
    <m/>
  </r>
  <r>
    <x v="66"/>
    <m/>
  </r>
  <r>
    <x v="67"/>
    <m/>
  </r>
  <r>
    <x v="68"/>
    <m/>
  </r>
  <r>
    <x v="69"/>
    <m/>
  </r>
  <r>
    <x v="70"/>
    <m/>
  </r>
  <r>
    <x v="71"/>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7BB3DFE-359A-4237-8982-1AC031D74EAF}" name="PivotTable1"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location ref="E49:F79" firstHeaderRow="1" firstDataRow="1" firstDataCol="1"/>
  <pivotFields count="4">
    <pivotField axis="axisRow" numFmtId="14" showAll="0" defaultSubtotal="0">
      <items count="14">
        <item x="0"/>
        <item x="1"/>
        <item x="2"/>
        <item x="3"/>
        <item x="4"/>
        <item x="5"/>
        <item x="6"/>
        <item x="7"/>
        <item x="8"/>
        <item x="9"/>
        <item x="10"/>
        <item x="11"/>
        <item x="12"/>
        <item x="13"/>
      </items>
    </pivotField>
    <pivotField dataField="1" showAll="0" defaultSubtotal="0"/>
    <pivotField axis="axisRow" showAll="0" defaultSubtotal="0">
      <items count="6">
        <item sd="0" x="0"/>
        <item sd="0" x="1"/>
        <item sd="0" x="2"/>
        <item sd="0" x="3"/>
        <item sd="0" x="4"/>
        <item x="5"/>
      </items>
    </pivotField>
    <pivotField axis="axisRow" showAll="0" defaultSubtotal="0">
      <items count="8">
        <item sd="0" x="0"/>
        <item x="1"/>
        <item x="2"/>
        <item x="3"/>
        <item x="4"/>
        <item x="5"/>
        <item x="6"/>
        <item x="7"/>
      </items>
    </pivotField>
  </pivotFields>
  <rowFields count="3">
    <field x="3"/>
    <field x="2"/>
    <field x="0"/>
  </rowFields>
  <rowItems count="30">
    <i>
      <x v="1"/>
    </i>
    <i r="1">
      <x v="1"/>
    </i>
    <i r="1">
      <x v="2"/>
    </i>
    <i r="1">
      <x v="3"/>
    </i>
    <i r="1">
      <x v="4"/>
    </i>
    <i>
      <x v="2"/>
    </i>
    <i r="1">
      <x v="1"/>
    </i>
    <i r="1">
      <x v="2"/>
    </i>
    <i r="1">
      <x v="3"/>
    </i>
    <i r="1">
      <x v="4"/>
    </i>
    <i>
      <x v="3"/>
    </i>
    <i r="1">
      <x v="1"/>
    </i>
    <i r="1">
      <x v="2"/>
    </i>
    <i r="1">
      <x v="3"/>
    </i>
    <i r="1">
      <x v="4"/>
    </i>
    <i>
      <x v="4"/>
    </i>
    <i r="1">
      <x v="1"/>
    </i>
    <i r="1">
      <x v="2"/>
    </i>
    <i r="1">
      <x v="3"/>
    </i>
    <i r="1">
      <x v="4"/>
    </i>
    <i>
      <x v="5"/>
    </i>
    <i r="1">
      <x v="1"/>
    </i>
    <i r="1">
      <x v="2"/>
    </i>
    <i r="1">
      <x v="3"/>
    </i>
    <i r="1">
      <x v="4"/>
    </i>
    <i>
      <x v="6"/>
    </i>
    <i r="1">
      <x v="1"/>
    </i>
    <i r="1">
      <x v="2"/>
    </i>
    <i r="1">
      <x v="3"/>
    </i>
    <i r="1">
      <x v="4"/>
    </i>
  </rowItems>
  <colItems count="1">
    <i/>
  </colItems>
  <dataFields count="1">
    <dataField name="Average of Monthly UR" fld="1" subtotal="average" baseField="3" baseItem="2"/>
  </dataFields>
  <formats count="31">
    <format dxfId="80">
      <pivotArea field="3" type="button" dataOnly="0" labelOnly="1" outline="0" axis="axisRow" fieldPosition="0"/>
    </format>
    <format dxfId="79">
      <pivotArea dataOnly="0" labelOnly="1" outline="0" axis="axisValues" fieldPosition="0"/>
    </format>
    <format dxfId="78">
      <pivotArea collapsedLevelsAreSubtotals="1" fieldPosition="0">
        <references count="2">
          <reference field="2" count="1">
            <x v="1"/>
          </reference>
          <reference field="3" count="1" selected="0">
            <x v="1"/>
          </reference>
        </references>
      </pivotArea>
    </format>
    <format dxfId="77">
      <pivotArea collapsedLevelsAreSubtotals="1" fieldPosition="0">
        <references count="2">
          <reference field="2" count="1">
            <x v="2"/>
          </reference>
          <reference field="3" count="1" selected="0">
            <x v="1"/>
          </reference>
        </references>
      </pivotArea>
    </format>
    <format dxfId="76">
      <pivotArea collapsedLevelsAreSubtotals="1" fieldPosition="0">
        <references count="2">
          <reference field="2" count="1">
            <x v="3"/>
          </reference>
          <reference field="3" count="1" selected="0">
            <x v="1"/>
          </reference>
        </references>
      </pivotArea>
    </format>
    <format dxfId="75">
      <pivotArea collapsedLevelsAreSubtotals="1" fieldPosition="0">
        <references count="2">
          <reference field="2" count="1">
            <x v="4"/>
          </reference>
          <reference field="3" count="1" selected="0">
            <x v="1"/>
          </reference>
        </references>
      </pivotArea>
    </format>
    <format dxfId="74">
      <pivotArea collapsedLevelsAreSubtotals="1" fieldPosition="0">
        <references count="1">
          <reference field="3" count="1">
            <x v="2"/>
          </reference>
        </references>
      </pivotArea>
    </format>
    <format dxfId="73">
      <pivotArea collapsedLevelsAreSubtotals="1" fieldPosition="0">
        <references count="2">
          <reference field="2" count="1">
            <x v="1"/>
          </reference>
          <reference field="3" count="1" selected="0">
            <x v="2"/>
          </reference>
        </references>
      </pivotArea>
    </format>
    <format dxfId="72">
      <pivotArea collapsedLevelsAreSubtotals="1" fieldPosition="0">
        <references count="2">
          <reference field="2" count="1">
            <x v="2"/>
          </reference>
          <reference field="3" count="1" selected="0">
            <x v="2"/>
          </reference>
        </references>
      </pivotArea>
    </format>
    <format dxfId="71">
      <pivotArea collapsedLevelsAreSubtotals="1" fieldPosition="0">
        <references count="2">
          <reference field="2" count="1">
            <x v="3"/>
          </reference>
          <reference field="3" count="1" selected="0">
            <x v="2"/>
          </reference>
        </references>
      </pivotArea>
    </format>
    <format dxfId="70">
      <pivotArea collapsedLevelsAreSubtotals="1" fieldPosition="0">
        <references count="2">
          <reference field="2" count="1">
            <x v="4"/>
          </reference>
          <reference field="3" count="1" selected="0">
            <x v="2"/>
          </reference>
        </references>
      </pivotArea>
    </format>
    <format dxfId="69">
      <pivotArea collapsedLevelsAreSubtotals="1" fieldPosition="0">
        <references count="1">
          <reference field="3" count="1">
            <x v="3"/>
          </reference>
        </references>
      </pivotArea>
    </format>
    <format dxfId="68">
      <pivotArea collapsedLevelsAreSubtotals="1" fieldPosition="0">
        <references count="2">
          <reference field="2" count="1">
            <x v="1"/>
          </reference>
          <reference field="3" count="1" selected="0">
            <x v="3"/>
          </reference>
        </references>
      </pivotArea>
    </format>
    <format dxfId="67">
      <pivotArea collapsedLevelsAreSubtotals="1" fieldPosition="0">
        <references count="2">
          <reference field="2" count="1">
            <x v="2"/>
          </reference>
          <reference field="3" count="1" selected="0">
            <x v="3"/>
          </reference>
        </references>
      </pivotArea>
    </format>
    <format dxfId="66">
      <pivotArea collapsedLevelsAreSubtotals="1" fieldPosition="0">
        <references count="2">
          <reference field="2" count="1">
            <x v="3"/>
          </reference>
          <reference field="3" count="1" selected="0">
            <x v="3"/>
          </reference>
        </references>
      </pivotArea>
    </format>
    <format dxfId="65">
      <pivotArea collapsedLevelsAreSubtotals="1" fieldPosition="0">
        <references count="2">
          <reference field="2" count="1">
            <x v="4"/>
          </reference>
          <reference field="3" count="1" selected="0">
            <x v="3"/>
          </reference>
        </references>
      </pivotArea>
    </format>
    <format dxfId="64">
      <pivotArea collapsedLevelsAreSubtotals="1" fieldPosition="0">
        <references count="1">
          <reference field="3" count="1">
            <x v="4"/>
          </reference>
        </references>
      </pivotArea>
    </format>
    <format dxfId="63">
      <pivotArea collapsedLevelsAreSubtotals="1" fieldPosition="0">
        <references count="2">
          <reference field="2" count="1">
            <x v="1"/>
          </reference>
          <reference field="3" count="1" selected="0">
            <x v="4"/>
          </reference>
        </references>
      </pivotArea>
    </format>
    <format dxfId="62">
      <pivotArea collapsedLevelsAreSubtotals="1" fieldPosition="0">
        <references count="2">
          <reference field="2" count="1">
            <x v="2"/>
          </reference>
          <reference field="3" count="1" selected="0">
            <x v="4"/>
          </reference>
        </references>
      </pivotArea>
    </format>
    <format dxfId="61">
      <pivotArea collapsedLevelsAreSubtotals="1" fieldPosition="0">
        <references count="2">
          <reference field="2" count="1">
            <x v="3"/>
          </reference>
          <reference field="3" count="1" selected="0">
            <x v="4"/>
          </reference>
        </references>
      </pivotArea>
    </format>
    <format dxfId="60">
      <pivotArea collapsedLevelsAreSubtotals="1" fieldPosition="0">
        <references count="2">
          <reference field="2" count="1">
            <x v="4"/>
          </reference>
          <reference field="3" count="1" selected="0">
            <x v="4"/>
          </reference>
        </references>
      </pivotArea>
    </format>
    <format dxfId="59">
      <pivotArea collapsedLevelsAreSubtotals="1" fieldPosition="0">
        <references count="1">
          <reference field="3" count="1">
            <x v="5"/>
          </reference>
        </references>
      </pivotArea>
    </format>
    <format dxfId="58">
      <pivotArea collapsedLevelsAreSubtotals="1" fieldPosition="0">
        <references count="2">
          <reference field="2" count="1">
            <x v="1"/>
          </reference>
          <reference field="3" count="1" selected="0">
            <x v="5"/>
          </reference>
        </references>
      </pivotArea>
    </format>
    <format dxfId="57">
      <pivotArea collapsedLevelsAreSubtotals="1" fieldPosition="0">
        <references count="2">
          <reference field="2" count="1">
            <x v="2"/>
          </reference>
          <reference field="3" count="1" selected="0">
            <x v="5"/>
          </reference>
        </references>
      </pivotArea>
    </format>
    <format dxfId="56">
      <pivotArea collapsedLevelsAreSubtotals="1" fieldPosition="0">
        <references count="2">
          <reference field="2" count="1">
            <x v="3"/>
          </reference>
          <reference field="3" count="1" selected="0">
            <x v="5"/>
          </reference>
        </references>
      </pivotArea>
    </format>
    <format dxfId="55">
      <pivotArea collapsedLevelsAreSubtotals="1" fieldPosition="0">
        <references count="2">
          <reference field="2" count="1">
            <x v="4"/>
          </reference>
          <reference field="3" count="1" selected="0">
            <x v="5"/>
          </reference>
        </references>
      </pivotArea>
    </format>
    <format dxfId="54">
      <pivotArea collapsedLevelsAreSubtotals="1" fieldPosition="0">
        <references count="1">
          <reference field="3" count="1">
            <x v="6"/>
          </reference>
        </references>
      </pivotArea>
    </format>
    <format dxfId="53">
      <pivotArea collapsedLevelsAreSubtotals="1" fieldPosition="0">
        <references count="2">
          <reference field="2" count="1">
            <x v="1"/>
          </reference>
          <reference field="3" count="1" selected="0">
            <x v="6"/>
          </reference>
        </references>
      </pivotArea>
    </format>
    <format dxfId="52">
      <pivotArea collapsedLevelsAreSubtotals="1" fieldPosition="0">
        <references count="2">
          <reference field="2" count="1">
            <x v="2"/>
          </reference>
          <reference field="3" count="1" selected="0">
            <x v="6"/>
          </reference>
        </references>
      </pivotArea>
    </format>
    <format dxfId="51">
      <pivotArea collapsedLevelsAreSubtotals="1" fieldPosition="0">
        <references count="2">
          <reference field="2" count="1">
            <x v="3"/>
          </reference>
          <reference field="3" count="1" selected="0">
            <x v="6"/>
          </reference>
        </references>
      </pivotArea>
    </format>
    <format dxfId="50">
      <pivotArea collapsedLevelsAreSubtotals="1" fieldPosition="0">
        <references count="2">
          <reference field="2" count="1">
            <x v="4"/>
          </reference>
          <reference field="3" count="1" selected="0">
            <x v="6"/>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FDF87BD-F3DA-4174-9821-F8EF530C3874}" name="PivotTable1"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location ref="E28:F58" firstHeaderRow="1" firstDataRow="1" firstDataCol="1"/>
  <pivotFields count="4">
    <pivotField axis="axisRow" numFmtId="14" showAll="0" defaultSubtotal="0">
      <items count="14">
        <item x="0"/>
        <item x="1"/>
        <item x="2"/>
        <item x="3"/>
        <item x="4"/>
        <item x="5"/>
        <item x="6"/>
        <item x="7"/>
        <item x="8"/>
        <item x="9"/>
        <item x="10"/>
        <item x="11"/>
        <item x="12"/>
        <item x="13"/>
      </items>
    </pivotField>
    <pivotField dataField="1" showAll="0" defaultSubtotal="0"/>
    <pivotField axis="axisRow" showAll="0" defaultSubtotal="0">
      <items count="6">
        <item sd="0" x="0"/>
        <item sd="0" x="1"/>
        <item sd="0" x="2"/>
        <item sd="0" x="3"/>
        <item sd="0" x="4"/>
        <item x="5"/>
      </items>
    </pivotField>
    <pivotField axis="axisRow" showAll="0" defaultSubtotal="0">
      <items count="8">
        <item sd="0" x="0"/>
        <item x="1"/>
        <item x="2"/>
        <item x="3"/>
        <item x="4"/>
        <item x="5"/>
        <item x="6"/>
        <item x="7"/>
      </items>
    </pivotField>
  </pivotFields>
  <rowFields count="3">
    <field x="3"/>
    <field x="2"/>
    <field x="0"/>
  </rowFields>
  <rowItems count="30">
    <i>
      <x v="1"/>
    </i>
    <i r="1">
      <x v="1"/>
    </i>
    <i r="1">
      <x v="2"/>
    </i>
    <i r="1">
      <x v="3"/>
    </i>
    <i r="1">
      <x v="4"/>
    </i>
    <i>
      <x v="2"/>
    </i>
    <i r="1">
      <x v="1"/>
    </i>
    <i r="1">
      <x v="2"/>
    </i>
    <i r="1">
      <x v="3"/>
    </i>
    <i r="1">
      <x v="4"/>
    </i>
    <i>
      <x v="3"/>
    </i>
    <i r="1">
      <x v="1"/>
    </i>
    <i r="1">
      <x v="2"/>
    </i>
    <i r="1">
      <x v="3"/>
    </i>
    <i r="1">
      <x v="4"/>
    </i>
    <i>
      <x v="4"/>
    </i>
    <i r="1">
      <x v="1"/>
    </i>
    <i r="1">
      <x v="2"/>
    </i>
    <i r="1">
      <x v="3"/>
    </i>
    <i r="1">
      <x v="4"/>
    </i>
    <i>
      <x v="5"/>
    </i>
    <i r="1">
      <x v="1"/>
    </i>
    <i r="1">
      <x v="2"/>
    </i>
    <i r="1">
      <x v="3"/>
    </i>
    <i r="1">
      <x v="4"/>
    </i>
    <i>
      <x v="6"/>
    </i>
    <i r="1">
      <x v="1"/>
    </i>
    <i r="1">
      <x v="2"/>
    </i>
    <i r="1">
      <x v="3"/>
    </i>
    <i r="1">
      <x v="4"/>
    </i>
  </rowItems>
  <colItems count="1">
    <i/>
  </colItems>
  <dataFields count="1">
    <dataField name="Average of Monthly UR" fld="1" subtotal="average" baseField="3" baseItem="2"/>
  </dataFields>
  <formats count="31">
    <format dxfId="49">
      <pivotArea field="3" type="button" dataOnly="0" labelOnly="1" outline="0" axis="axisRow" fieldPosition="0"/>
    </format>
    <format dxfId="48">
      <pivotArea dataOnly="0" labelOnly="1" outline="0" axis="axisValues" fieldPosition="0"/>
    </format>
    <format dxfId="47">
      <pivotArea collapsedLevelsAreSubtotals="1" fieldPosition="0">
        <references count="2">
          <reference field="2" count="1">
            <x v="1"/>
          </reference>
          <reference field="3" count="1" selected="0">
            <x v="1"/>
          </reference>
        </references>
      </pivotArea>
    </format>
    <format dxfId="46">
      <pivotArea collapsedLevelsAreSubtotals="1" fieldPosition="0">
        <references count="2">
          <reference field="2" count="1">
            <x v="2"/>
          </reference>
          <reference field="3" count="1" selected="0">
            <x v="1"/>
          </reference>
        </references>
      </pivotArea>
    </format>
    <format dxfId="45">
      <pivotArea collapsedLevelsAreSubtotals="1" fieldPosition="0">
        <references count="2">
          <reference field="2" count="1">
            <x v="3"/>
          </reference>
          <reference field="3" count="1" selected="0">
            <x v="1"/>
          </reference>
        </references>
      </pivotArea>
    </format>
    <format dxfId="44">
      <pivotArea collapsedLevelsAreSubtotals="1" fieldPosition="0">
        <references count="2">
          <reference field="2" count="1">
            <x v="4"/>
          </reference>
          <reference field="3" count="1" selected="0">
            <x v="1"/>
          </reference>
        </references>
      </pivotArea>
    </format>
    <format dxfId="43">
      <pivotArea collapsedLevelsAreSubtotals="1" fieldPosition="0">
        <references count="1">
          <reference field="3" count="1">
            <x v="2"/>
          </reference>
        </references>
      </pivotArea>
    </format>
    <format dxfId="42">
      <pivotArea collapsedLevelsAreSubtotals="1" fieldPosition="0">
        <references count="2">
          <reference field="2" count="1">
            <x v="1"/>
          </reference>
          <reference field="3" count="1" selected="0">
            <x v="2"/>
          </reference>
        </references>
      </pivotArea>
    </format>
    <format dxfId="41">
      <pivotArea collapsedLevelsAreSubtotals="1" fieldPosition="0">
        <references count="2">
          <reference field="2" count="1">
            <x v="2"/>
          </reference>
          <reference field="3" count="1" selected="0">
            <x v="2"/>
          </reference>
        </references>
      </pivotArea>
    </format>
    <format dxfId="40">
      <pivotArea collapsedLevelsAreSubtotals="1" fieldPosition="0">
        <references count="2">
          <reference field="2" count="1">
            <x v="3"/>
          </reference>
          <reference field="3" count="1" selected="0">
            <x v="2"/>
          </reference>
        </references>
      </pivotArea>
    </format>
    <format dxfId="39">
      <pivotArea collapsedLevelsAreSubtotals="1" fieldPosition="0">
        <references count="2">
          <reference field="2" count="1">
            <x v="4"/>
          </reference>
          <reference field="3" count="1" selected="0">
            <x v="2"/>
          </reference>
        </references>
      </pivotArea>
    </format>
    <format dxfId="38">
      <pivotArea collapsedLevelsAreSubtotals="1" fieldPosition="0">
        <references count="1">
          <reference field="3" count="1">
            <x v="3"/>
          </reference>
        </references>
      </pivotArea>
    </format>
    <format dxfId="37">
      <pivotArea collapsedLevelsAreSubtotals="1" fieldPosition="0">
        <references count="2">
          <reference field="2" count="1">
            <x v="1"/>
          </reference>
          <reference field="3" count="1" selected="0">
            <x v="3"/>
          </reference>
        </references>
      </pivotArea>
    </format>
    <format dxfId="36">
      <pivotArea collapsedLevelsAreSubtotals="1" fieldPosition="0">
        <references count="2">
          <reference field="2" count="1">
            <x v="2"/>
          </reference>
          <reference field="3" count="1" selected="0">
            <x v="3"/>
          </reference>
        </references>
      </pivotArea>
    </format>
    <format dxfId="35">
      <pivotArea collapsedLevelsAreSubtotals="1" fieldPosition="0">
        <references count="2">
          <reference field="2" count="1">
            <x v="3"/>
          </reference>
          <reference field="3" count="1" selected="0">
            <x v="3"/>
          </reference>
        </references>
      </pivotArea>
    </format>
    <format dxfId="34">
      <pivotArea collapsedLevelsAreSubtotals="1" fieldPosition="0">
        <references count="2">
          <reference field="2" count="1">
            <x v="4"/>
          </reference>
          <reference field="3" count="1" selected="0">
            <x v="3"/>
          </reference>
        </references>
      </pivotArea>
    </format>
    <format dxfId="33">
      <pivotArea collapsedLevelsAreSubtotals="1" fieldPosition="0">
        <references count="1">
          <reference field="3" count="1">
            <x v="4"/>
          </reference>
        </references>
      </pivotArea>
    </format>
    <format dxfId="32">
      <pivotArea collapsedLevelsAreSubtotals="1" fieldPosition="0">
        <references count="2">
          <reference field="2" count="1">
            <x v="1"/>
          </reference>
          <reference field="3" count="1" selected="0">
            <x v="4"/>
          </reference>
        </references>
      </pivotArea>
    </format>
    <format dxfId="31">
      <pivotArea collapsedLevelsAreSubtotals="1" fieldPosition="0">
        <references count="2">
          <reference field="2" count="1">
            <x v="2"/>
          </reference>
          <reference field="3" count="1" selected="0">
            <x v="4"/>
          </reference>
        </references>
      </pivotArea>
    </format>
    <format dxfId="30">
      <pivotArea collapsedLevelsAreSubtotals="1" fieldPosition="0">
        <references count="2">
          <reference field="2" count="1">
            <x v="3"/>
          </reference>
          <reference field="3" count="1" selected="0">
            <x v="4"/>
          </reference>
        </references>
      </pivotArea>
    </format>
    <format dxfId="29">
      <pivotArea collapsedLevelsAreSubtotals="1" fieldPosition="0">
        <references count="2">
          <reference field="2" count="1">
            <x v="4"/>
          </reference>
          <reference field="3" count="1" selected="0">
            <x v="4"/>
          </reference>
        </references>
      </pivotArea>
    </format>
    <format dxfId="28">
      <pivotArea collapsedLevelsAreSubtotals="1" fieldPosition="0">
        <references count="1">
          <reference field="3" count="1">
            <x v="5"/>
          </reference>
        </references>
      </pivotArea>
    </format>
    <format dxfId="27">
      <pivotArea collapsedLevelsAreSubtotals="1" fieldPosition="0">
        <references count="2">
          <reference field="2" count="1">
            <x v="1"/>
          </reference>
          <reference field="3" count="1" selected="0">
            <x v="5"/>
          </reference>
        </references>
      </pivotArea>
    </format>
    <format dxfId="26">
      <pivotArea collapsedLevelsAreSubtotals="1" fieldPosition="0">
        <references count="2">
          <reference field="2" count="1">
            <x v="2"/>
          </reference>
          <reference field="3" count="1" selected="0">
            <x v="5"/>
          </reference>
        </references>
      </pivotArea>
    </format>
    <format dxfId="25">
      <pivotArea collapsedLevelsAreSubtotals="1" fieldPosition="0">
        <references count="2">
          <reference field="2" count="1">
            <x v="3"/>
          </reference>
          <reference field="3" count="1" selected="0">
            <x v="5"/>
          </reference>
        </references>
      </pivotArea>
    </format>
    <format dxfId="24">
      <pivotArea collapsedLevelsAreSubtotals="1" fieldPosition="0">
        <references count="2">
          <reference field="2" count="1">
            <x v="4"/>
          </reference>
          <reference field="3" count="1" selected="0">
            <x v="5"/>
          </reference>
        </references>
      </pivotArea>
    </format>
    <format dxfId="23">
      <pivotArea collapsedLevelsAreSubtotals="1" fieldPosition="0">
        <references count="1">
          <reference field="3" count="1">
            <x v="6"/>
          </reference>
        </references>
      </pivotArea>
    </format>
    <format dxfId="22">
      <pivotArea collapsedLevelsAreSubtotals="1" fieldPosition="0">
        <references count="2">
          <reference field="2" count="1">
            <x v="1"/>
          </reference>
          <reference field="3" count="1" selected="0">
            <x v="6"/>
          </reference>
        </references>
      </pivotArea>
    </format>
    <format dxfId="21">
      <pivotArea collapsedLevelsAreSubtotals="1" fieldPosition="0">
        <references count="2">
          <reference field="2" count="1">
            <x v="2"/>
          </reference>
          <reference field="3" count="1" selected="0">
            <x v="6"/>
          </reference>
        </references>
      </pivotArea>
    </format>
    <format dxfId="20">
      <pivotArea collapsedLevelsAreSubtotals="1" fieldPosition="0">
        <references count="2">
          <reference field="2" count="1">
            <x v="3"/>
          </reference>
          <reference field="3" count="1" selected="0">
            <x v="6"/>
          </reference>
        </references>
      </pivotArea>
    </format>
    <format dxfId="19">
      <pivotArea collapsedLevelsAreSubtotals="1" fieldPosition="0">
        <references count="2">
          <reference field="2" count="1">
            <x v="4"/>
          </reference>
          <reference field="3" count="1" selected="0">
            <x v="6"/>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53E6EBD-DE38-4D49-A30A-FBD05BFC04A2}" name="Table1" displayName="Table1" ref="A2:D50" totalsRowShown="0" headerRowDxfId="18" dataDxfId="17">
  <autoFilter ref="A2:D50" xr:uid="{AFE7EBBA-0E52-684B-AE3F-DAE47002C36D}"/>
  <tableColumns count="4">
    <tableColumn id="1" xr3:uid="{1CBC7486-21F3-4D68-AEAB-B260D3DC1265}" name="Provision" dataDxfId="16"/>
    <tableColumn id="2" xr3:uid="{B72D09CC-D35A-4A45-8D8D-9C97129E01A1}" name="Ten year cost (annualized)" dataDxfId="15"/>
    <tableColumn id="4" xr3:uid="{A8BE311C-E3F6-4043-8119-413ED4A13011}" name="Column1" dataDxfId="14"/>
    <tableColumn id="5" xr3:uid="{A41ECCE3-5E03-45CB-9B64-5E91C95099AB}" name="Column2" dataDxfId="13"/>
  </tableColumns>
  <tableStyleInfo name="TableStyleMedium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L10" dT="2023-01-27T19:07:20.15" personId="{609654FB-393E-4954-B3A3-EDB231775774}" id="{E01C7D51-1793-4A61-9FD5-357953FC571D}">
    <text>Q10, Q11, and Q12 mpcs were changed from 0% to 3.0%</text>
  </threadedComment>
</ThreadedComments>
</file>

<file path=xl/threadedComments/threadedComment10.xml><?xml version="1.0" encoding="utf-8"?>
<ThreadedComments xmlns="http://schemas.microsoft.com/office/spreadsheetml/2018/threadedcomments" xmlns:x="http://schemas.openxmlformats.org/spreadsheetml/2006/main">
  <threadedComment ref="B52" dT="2022-12-08T15:25:37.53" personId="{104078EE-2393-4C21-9029-18A325FBDB70}" id="{3D2D0DDD-7B5A-43DF-B8EA-F946232323B5}">
    <text>These series are in inst/extdata/projections.xlsx. See the dictionary sheet in that workbook to locate these in CBO. When there's a new baseline, update projections.xlsx and pull in the variables here as well.</text>
  </threadedComment>
</ThreadedComments>
</file>

<file path=xl/threadedComments/threadedComment11.xml><?xml version="1.0" encoding="utf-8"?>
<ThreadedComments xmlns="http://schemas.microsoft.com/office/spreadsheetml/2018/threadedcomments" xmlns:x="http://schemas.openxmlformats.org/spreadsheetml/2006/main">
  <threadedComment ref="R8" dT="2022-10-27T18:55:12.78" personId="{609654FB-393E-4954-B3A3-EDB231775774}" id="{C1427567-6345-422C-950F-10556EB5D1E6}">
    <text>The levels are a lot lower!</text>
  </threadedComment>
  <threadedComment ref="D11" dT="2023-01-26T20:34:31.09" personId="{609654FB-393E-4954-B3A3-EDB231775774}" id="{B5B608FF-A23A-451F-86C6-28ACC63CADC5}">
    <text>This row, along with rows 14, 16, and 19 need their forecast periods to be updated quarterly</text>
  </threadedComment>
  <threadedComment ref="U26" dT="2023-04-27T03:01:01.42" personId="{2C68A5A1-706F-4A3E-93A3-741BBABEC4EA}" id="{4AAC6232-3E4B-4973-BC84-7713D4977FB9}">
    <text>This cell is dark green. Should I override it by dragging across?</text>
  </threadedComment>
  <threadedComment ref="U32" dT="2023-03-31T18:43:20.47" personId="{104078EE-2393-4C21-9029-18A325FBDB70}" id="{243F39CE-3C6A-4AE1-8287-465CC79E4879}">
    <text>This # has come in higher in the monthly personal income, so we're likely going to miss it when Q1 comes out. We've decided to wait to discuss with Louise before changing this forecast.
As it stands, it's about 200 higher than the numbers that are coming in on the MPI, so this should be revisited in April.</text>
  </threadedComment>
  <threadedComment ref="P33" dT="2023-01-26T20:34:31.09" personId="{609654FB-393E-4954-B3A3-EDB231775774}" id="{47AA49B4-DCE6-46E1-8830-816689FA1935}">
    <text>This row, along with rows 14, 16, and 19 need their forecast periods to be updated quarterly</text>
  </threadedComment>
  <threadedComment ref="D76" dT="2023-02-15T20:39:04.10" personId="{609654FB-393E-4954-B3A3-EDB231775774}" id="{54F6D9F3-8868-417E-999A-B95E2C1FC589}">
    <text>February 2023 CBO Budget Projections Table 1-1 Row 11</text>
  </threadedComment>
  <threadedComment ref="D77" dT="2023-02-15T20:40:59.29" personId="{609654FB-393E-4954-B3A3-EDB231775774}" id="{1FB99C5A-E921-4C2B-94A6-469F8368DE8C}">
    <text>February 2023 Budget Projections Table 1-1 Row 12</text>
  </threadedComment>
  <threadedComment ref="D79" dT="2023-02-15T20:49:24.23" personId="{609654FB-393E-4954-B3A3-EDB231775774}" id="{CE0F5DCB-3CCE-4E3D-A6E4-2AC8A4A5F19D}">
    <text>February 2023 CBO Budget Projections Table 1-6 Row 14</text>
  </threadedComment>
  <threadedComment ref="D80" dT="2023-02-15T20:50:01.14" personId="{609654FB-393E-4954-B3A3-EDB231775774}" id="{B0E96582-484F-445D-8FF5-3592B5A172FA}">
    <text>February 2023 CBO Budget Projections Table 1-6 Row 16</text>
  </threadedComment>
  <threadedComment ref="D81" dT="2023-02-15T20:51:09.94" personId="{609654FB-393E-4954-B3A3-EDB231775774}" id="{E6B5A35A-07FA-4F2B-9A9E-866D21A47917}">
    <text>February 2023 CBO Budget Projections Table 1-1 Row 13</text>
  </threadedComment>
  <threadedComment ref="D99" dT="2023-02-15T20:53:24.39" personId="{609654FB-393E-4954-B3A3-EDB231775774}" id="{BAC4C9C5-057D-4522-9D5B-345501733B13}">
    <text>February 2023 CBO Economic Projections Fiscal Year Table row 92</text>
  </threadedComment>
  <threadedComment ref="D100" dT="2023-02-15T20:55:16.88" personId="{609654FB-393E-4954-B3A3-EDB231775774}" id="{903D683D-E956-41A0-87A0-4A0ACF2A3EC0}">
    <text>February 2023 CBO Economic Projections Fiscal Year Table row 96</text>
  </threadedComment>
  <threadedComment ref="D101" dT="2023-02-15T20:56:03.85" personId="{609654FB-393E-4954-B3A3-EDB231775774}" id="{3EBCE0D2-6A48-4CE9-BC8C-5855F5261D1F}">
    <text>February 2023 CBO Economic Projections, Fiscal Year Table row 116</text>
  </threadedComment>
  <threadedComment ref="D102" dT="2023-02-15T20:57:01.88" personId="{609654FB-393E-4954-B3A3-EDB231775774}" id="{48184811-5BD0-438A-8E38-4FDE0C8DFA8F}">
    <text>February 2023 CBO Economic Projections Fiscal Year Table row 110</text>
  </threadedComment>
  <threadedComment ref="D123" dT="2023-02-15T21:14:11.24" personId="{609654FB-393E-4954-B3A3-EDB231775774}" id="{D2748782-D0E6-49AC-8A19-1F2FBF9255CC}">
    <text>February 2023 CBO Economic Projections Quarterly Table, row 96</text>
  </threadedComment>
  <threadedComment ref="D124" dT="2023-02-15T21:14:52.42" personId="{609654FB-393E-4954-B3A3-EDB231775774}" id="{A46F7C4F-6912-4219-A6BF-9B291D29572E}">
    <text>February 2023 CBO Economic Projections quarterly tables, row 98</text>
  </threadedComment>
  <threadedComment ref="D125" dT="2023-02-15T21:15:38.27" personId="{609654FB-393E-4954-B3A3-EDB231775774}" id="{76E953CB-BD49-43CF-8F2D-8BFB47D725D7}">
    <text>February 2023 CBO Economic Projections quarterly table, row 116</text>
  </threadedComment>
  <threadedComment ref="D126" dT="2023-02-15T21:16:25.78" personId="{609654FB-393E-4954-B3A3-EDB231775774}" id="{8FB584A5-2B54-4AD8-94A1-F46A717E4FE5}">
    <text>February 2023 CBO Economic Projections quarterly table row 112</text>
  </threadedComment>
  <threadedComment ref="U149" dT="2023-04-27T03:02:33.18" personId="{2C68A5A1-706F-4A3E-93A3-741BBABEC4EA}" id="{65B2F617-D738-4757-983D-98D9DB3870FB}">
    <text>I can't drag these over because of circular references.</text>
  </threadedComment>
  <threadedComment ref="D173" dT="2022-07-27T16:01:10.90" personId="{104078EE-2393-4C21-9029-18A325FBDB70}" id="{3DA40B3D-4A5D-452E-A72D-B2030842DDB4}">
    <text>May 2022 CBO Ten Year Economic Projections, Quarterly Table, Row 96</text>
  </threadedComment>
  <threadedComment ref="D175" dT="2022-07-27T16:01:37.37" personId="{104078EE-2393-4C21-9029-18A325FBDB70}" id="{D99B9B54-6076-41EB-BC07-437AE218B08B}">
    <text>May 2022 CBO Ten Year Economic Projections, Quarterly Table, Row 98</text>
  </threadedComment>
  <threadedComment ref="D177" dT="2022-07-27T16:02:04.85" personId="{104078EE-2393-4C21-9029-18A325FBDB70}" id="{623F5CCB-51DE-44FD-917A-D45F49A14B56}">
    <text>May 2022 CBO Ten Year Economic Projections, Quarterly Table, Row 116</text>
  </threadedComment>
  <threadedComment ref="D179" dT="2022-03-31T15:05:09.08" personId="{104078EE-2393-4C21-9029-18A325FBDB70}" id="{76D39B51-9B45-4C9D-BC1F-F3C52C7844F2}">
    <text>May 2022 CBO Ten Year Economic Projections, Quarterly Table, Row 112</text>
  </threadedComment>
  <threadedComment ref="D185" dT="2022-07-27T16:01:10.90" personId="{104078EE-2393-4C21-9029-18A325FBDB70}" id="{261212D0-3270-4BCA-9A94-F5349DB2897B}">
    <text>May 2022 CBO Ten Year Economic Projections, Quarterly Table, Row 96</text>
  </threadedComment>
  <threadedComment ref="D187" dT="2022-07-27T16:01:37.37" personId="{104078EE-2393-4C21-9029-18A325FBDB70}" id="{093CFE5E-1370-4B7D-A6E3-831D81F9257A}">
    <text>May 2022 CBO Ten Year Economic Projections, Quarterly Table, Row 98</text>
  </threadedComment>
  <threadedComment ref="D189" dT="2022-07-27T16:02:04.85" personId="{104078EE-2393-4C21-9029-18A325FBDB70}" id="{8471787A-6E7E-4D0B-B7B0-44BB3DD67EEC}">
    <text>May 2022 CBO Ten Year Economic Projections, Quarterly Table, Row 116</text>
  </threadedComment>
  <threadedComment ref="D191" dT="2022-03-31T15:05:09.08" personId="{104078EE-2393-4C21-9029-18A325FBDB70}" id="{C0761490-DB03-459E-80D6-455B0C07D430}">
    <text>May 2022 CBO Ten Year Economic Projections, Quarterly Table, Row 112</text>
  </threadedComment>
</ThreadedComments>
</file>

<file path=xl/threadedComments/threadedComment12.xml><?xml version="1.0" encoding="utf-8"?>
<ThreadedComments xmlns="http://schemas.microsoft.com/office/spreadsheetml/2018/threadedcomments" xmlns:x="http://schemas.openxmlformats.org/spreadsheetml/2006/main">
  <threadedComment ref="B4" dT="2021-06-08T17:55:11.90" personId="{6F934F46-906E-4DFC-AA15-8C66AF925C04}" id="{932956EA-9A05-4B8D-ABE8-9A5A953CB2B6}">
    <text>CRFB assumes 8% of forgivable loans will bee repaid, So they actually have $261 in their score</text>
  </threadedComment>
</ThreadedComments>
</file>

<file path=xl/threadedComments/threadedComment13.xml><?xml version="1.0" encoding="utf-8"?>
<ThreadedComments xmlns="http://schemas.microsoft.com/office/spreadsheetml/2018/threadedcomments" xmlns:x="http://schemas.openxmlformats.org/spreadsheetml/2006/main">
  <threadedComment ref="L5" dT="2021-06-22T12:09:07.79" personId="{58CF8BEC-4104-46F7-BE4F-2C9403635492}" id="{DC73AD49-B7D6-4667-A66E-8EE403D2E997}">
    <text>BEA categorizes rental assistance as capital transfer payments. 203 was disbursed in 2021Q1; 100 of that was from the December legislation, 103 of that was from ARP.</text>
  </threadedComment>
  <threadedComment ref="O5" dT="2021-08-27T14:15:21.89" personId="{58CF8BEC-4104-46F7-BE4F-2C9403635492}" id="{DF115210-C3D9-4849-892E-0C642306D5B7}">
    <text>We changed the CBO score to reflect that more money was going out in 2021 than anticipated as of July 2021</text>
  </threadedComment>
</ThreadedComments>
</file>

<file path=xl/threadedComments/threadedComment2.xml><?xml version="1.0" encoding="utf-8"?>
<ThreadedComments xmlns="http://schemas.microsoft.com/office/spreadsheetml/2018/threadedcomments" xmlns:x="http://schemas.openxmlformats.org/spreadsheetml/2006/main">
  <threadedComment ref="W19" dT="2022-10-27T17:27:46.67" personId="{609654FB-393E-4954-B3A3-EDB231775774}" id="{8BCD2D6E-E5B2-4670-B5B5-84790E4FF7D9}">
    <text>We've hard coded these in as zeros. Do we want to keep that?</text>
  </threadedComment>
  <threadedComment ref="B22" dT="2022-07-27T15:11:58.57" personId="{104078EE-2393-4C21-9029-18A325FBDB70}" id="{D9A1C32B-382A-44CE-B60A-7CEFD093B9EC}">
    <text>May 2022, CBO Ten Year Economic Projections, Quarterly Table, Row 68</text>
  </threadedComment>
  <threadedComment ref="B22" dT="2023-02-15T19:26:55.88" personId="{609654FB-393E-4954-B3A3-EDB231775774}" id="{77410686-626C-4FA2-BC72-C063762FFDCE}" parentId="{D9A1C32B-382A-44CE-B60A-7CEFD093B9EC}">
    <text>This is now Feb 2023 CBO Ten Year Economic Projections, Quarterly Table, Row 68, from 2023 Q1 onwards</text>
  </threadedComment>
  <threadedComment ref="S23" dT="2023-02-16T15:37:10.59" personId="{104078EE-2393-4C21-9029-18A325FBDB70}" id="{2738E40F-5E63-45A6-A7D0-04539F543CE4}">
    <text>Cannot pull forward -- make sure to update the formula from the monthly ur from BLS below</text>
  </threadedComment>
  <threadedComment ref="W38" dT="2022-10-27T17:27:46.67" personId="{609654FB-393E-4954-B3A3-EDB231775774}" id="{0473C0E7-DE2B-40B0-BF4F-7A2570691114}">
    <text>We've hard coded these in as zeros. Do we want to keep that?</text>
  </threadedComment>
  <threadedComment ref="B41" dT="2022-07-27T15:11:58.57" personId="{104078EE-2393-4C21-9029-18A325FBDB70}" id="{F0491475-4A43-40D1-AD53-54816BF84468}">
    <text>May 2022, CBO Ten Year Economic Projections, Quarterly Table, Row 68</text>
  </threadedComment>
  <threadedComment ref="B41" dT="2023-02-15T19:26:55.88" personId="{609654FB-393E-4954-B3A3-EDB231775774}" id="{F3E17B8D-3E38-43BD-B399-7FA0C18C42BF}" parentId="{F0491475-4A43-40D1-AD53-54816BF84468}">
    <text>This is now Feb 2023 CBO Ten Year Economic Projections, Quarterly Table, Row 68, from 2023 Q1 onwards</text>
  </threadedComment>
  <threadedComment ref="S42" dT="2023-02-16T15:37:10.59" personId="{104078EE-2393-4C21-9029-18A325FBDB70}" id="{09D713F4-49EF-4073-923F-9EC26FE84282}">
    <text>Cannot pull forward -- make sure to update the formula from the monthly ur from BLS below</text>
  </threadedComment>
</ThreadedComments>
</file>

<file path=xl/threadedComments/threadedComment3.xml><?xml version="1.0" encoding="utf-8"?>
<ThreadedComments xmlns="http://schemas.microsoft.com/office/spreadsheetml/2018/threadedcomments" xmlns:x="http://schemas.openxmlformats.org/spreadsheetml/2006/main">
  <threadedComment ref="W19" dT="2022-10-27T17:27:46.67" personId="{609654FB-393E-4954-B3A3-EDB231775774}" id="{D946413E-762D-4FFC-9209-11EBCBD51016}">
    <text>We've hard coded these in as zeros. Do we want to keep that?</text>
  </threadedComment>
  <threadedComment ref="B22" dT="2022-07-27T15:11:58.57" personId="{104078EE-2393-4C21-9029-18A325FBDB70}" id="{E1041433-BA01-41BE-A250-949526A70696}">
    <text>May 2022, CBO Ten Year Economic Projections, Quarterly Table, Row 68</text>
  </threadedComment>
  <threadedComment ref="B22" dT="2023-02-15T19:26:55.88" personId="{609654FB-393E-4954-B3A3-EDB231775774}" id="{56B6D2B6-AB90-49FD-8AFC-C67646CD2BAC}" parentId="{E1041433-BA01-41BE-A250-949526A70696}">
    <text>This is now Feb 2023 CBO Ten Year Economic Projections, Quarterly Table, Row 68, from 2023 Q1 onwards</text>
  </threadedComment>
  <threadedComment ref="S23" dT="2023-02-16T15:37:10.59" personId="{104078EE-2393-4C21-9029-18A325FBDB70}" id="{094D651B-B0D2-4E5E-BE0F-3F7EDDB28A27}">
    <text>Cannot pull forward -- make sure to update the formula from the monthly ur from BLS below</text>
  </threadedComment>
</ThreadedComments>
</file>

<file path=xl/threadedComments/threadedComment4.xml><?xml version="1.0" encoding="utf-8"?>
<ThreadedComments xmlns="http://schemas.microsoft.com/office/spreadsheetml/2018/threadedcomments" xmlns:x="http://schemas.openxmlformats.org/spreadsheetml/2006/main">
  <threadedComment ref="J12" dT="2023-02-16T18:11:03.85" personId="{609654FB-393E-4954-B3A3-EDB231775774}" id="{F234B5B6-B19D-4AC0-9DB4-A48A2D200CCC}">
    <text>This series is continued in row 19, "Coronavirus Fiscal Recovery Fund." It is not a mistake that there are blanks here!!</text>
  </threadedComment>
  <threadedComment ref="U13" dT="2023-04-28T16:00:59.73" personId="{2C68A5A1-706F-4A3E-93A3-741BBABEC4EA}" id="{8D2135C1-1504-4F9B-942F-01E6B6321912}">
    <text>Despite the fact that BEA has stopped reporting this as a separate line item, we've decided to still include it in our calculations because we believe that our assumptions about the ESF diminishing are close to the truth.</text>
  </threadedComment>
  <threadedComment ref="S60" dT="2022-09-30T19:04:36.69" personId="{104078EE-2393-4C21-9029-18A325FBDB70}" id="{52B73EBC-59DE-4AFE-A4BC-5DCFD4E527B4}">
    <text>Add factor to match data</text>
  </threadedComment>
  <threadedComment ref="C88" dT="2021-06-14T11:28:38.43" personId="{58CF8BEC-4104-46F7-BE4F-2C9403635492}" id="{BB2BD600-D27D-45BD-8287-F361E12EE9C4}">
    <text>https://www.cbo.gov/system/files/2020-04/hr748.pdf</text>
  </threadedComment>
  <threadedComment ref="C89" dT="2021-06-14T16:29:41.30" personId="{58CF8BEC-4104-46F7-BE4F-2C9403635492}" id="{EC883E67-97AD-460D-B658-F12FDD429342}">
    <text>The total Education Stabilization Fund is 30 billion; we lower by 8 billion to account for parts of the fund that go to private universities (which we wouldn't classify as a grant to state and local governments).</text>
  </threadedComment>
  <threadedComment ref="C90" dT="2021-06-11T14:09:21.80" personId="{58CF8BEC-4104-46F7-BE4F-2C9403635492}" id="{57CD4897-BB4E-42F1-89BB-E63A5874F81B}">
    <text>Total provider relief fund is 100, but we assume that 27% is in the form of grants based on the BEA data that came in.</text>
  </threadedComment>
  <threadedComment ref="B114" dT="2023-02-16T18:16:09.17" personId="{609654FB-393E-4954-B3A3-EDB231775774}" id="{9D68663E-7375-4798-AF31-C3B40AF84CDB}">
    <text>This is a policy update since May 2022 CBO update, but the Grants number was not updated by CBO. So do we delete this line or is it still included?</text>
  </threadedComment>
  <threadedComment ref="J116" dT="2022-09-30T19:04:58.57" personId="{104078EE-2393-4C21-9029-18A325FBDB70}" id="{4D719FE1-A97C-46FC-9D71-7ECFBB4F6D87}">
    <text>Using data -- not a different spending pattern</text>
  </threadedComment>
  <threadedComment ref="B127" dT="2023-02-16T18:16:09.17" personId="{609654FB-393E-4954-B3A3-EDB231775774}" id="{FB35C3A5-FAF0-40A0-A59C-2A2E105BE996}">
    <text>This is a policy update since May 2022 CBO update, but the Grants number was not updated by CBO. So do we delete this line or is it still included?</text>
  </threadedComment>
  <threadedComment ref="R140" dT="2022-07-28T17:27:50.97" personId="{104078EE-2393-4C21-9029-18A325FBDB70}" id="{E702D61C-4760-4164-BD3F-5AB302CA98ED}">
    <text>Using previous forecast because of reallocation by the BEA</text>
  </threadedComment>
  <threadedComment ref="S140" dT="2022-10-27T14:12:06.27" personId="{609654FB-393E-4954-B3A3-EDB231775774}" id="{776019CE-8128-450F-A25E-EF6C5707CFC6}">
    <text>Don't pull again</text>
  </threadedComment>
  <threadedComment ref="B141" dT="2023-02-16T18:17:56.28" personId="{609654FB-393E-4954-B3A3-EDB231775774}" id="{EF6EC7A7-A475-49DC-B77E-29BB35266C5E}">
    <text>Similar question to row 85</text>
  </threadedComment>
</ThreadedComments>
</file>

<file path=xl/threadedComments/threadedComment5.xml><?xml version="1.0" encoding="utf-8"?>
<ThreadedComments xmlns="http://schemas.microsoft.com/office/spreadsheetml/2018/threadedcomments" xmlns:x="http://schemas.openxmlformats.org/spreadsheetml/2006/main">
  <threadedComment ref="B9" dT="2022-07-27T15:16:37.13" personId="{104078EE-2393-4C21-9029-18A325FBDB70}" id="{976B723C-4211-4969-882A-4B89C4902055}">
    <text>May 2022 CBO economic projections row 127 quarterly table</text>
  </threadedComment>
  <threadedComment ref="B9" dT="2023-02-15T19:40:23.85" personId="{609654FB-393E-4954-B3A3-EDB231775774}" id="{5D4FEFF0-1A89-4604-A6EE-A9921838BC6F}" parentId="{976B723C-4211-4969-882A-4B89C4902055}">
    <text>This is now February 2023 CBO economic projections row 127 quarterly table</text>
  </threadedComment>
  <threadedComment ref="B10" dT="2022-07-27T15:17:23.40" personId="{104078EE-2393-4C21-9029-18A325FBDB70}" id="{02F35ABE-CA0E-4752-B4BE-50C4C795E703}">
    <text>May 2022 CBO economic projections row 128 quarterly table</text>
  </threadedComment>
  <threadedComment ref="B10" dT="2023-02-15T19:42:15.43" personId="{609654FB-393E-4954-B3A3-EDB231775774}" id="{1133CB4B-569A-43E1-B7BE-00E25FCCA35F}" parentId="{02F35ABE-CA0E-4752-B4BE-50C4C795E703}">
    <text>This is now February 2023 CBO economic projections row 128 quarterly table</text>
  </threadedComment>
  <threadedComment ref="B37" dT="2022-06-30T18:28:35.88" personId="{104078EE-2393-4C21-9029-18A325FBDB70}" id="{3D5BBFAC-4E76-4F2A-B34F-264D54111B07}">
    <text>May 2022 CBO economic projections row 129 quarterly table</text>
  </threadedComment>
  <threadedComment ref="B37" dT="2023-02-15T19:43:47.77" personId="{609654FB-393E-4954-B3A3-EDB231775774}" id="{D2ED8084-9DED-49AE-9C39-DE899BA6DBE4}" parentId="{3D5BBFAC-4E76-4F2A-B34F-264D54111B07}">
    <text>This is now February 2023 CBO economic projections row 129 quarterly table</text>
  </threadedComment>
  <threadedComment ref="U38" dT="2023-04-27T02:54:00.99" personId="{2C68A5A1-706F-4A3E-93A3-741BBABEC4EA}" id="{83D811F6-0D96-4C08-95F4-56B25068EEA9}">
    <text>Is something wrong here? Why is it -100?</text>
  </threadedComment>
</ThreadedComments>
</file>

<file path=xl/threadedComments/threadedComment6.xml><?xml version="1.0" encoding="utf-8"?>
<ThreadedComments xmlns="http://schemas.microsoft.com/office/spreadsheetml/2018/threadedcomments" xmlns:x="http://schemas.openxmlformats.org/spreadsheetml/2006/main">
  <threadedComment ref="R19" dT="2022-07-28T13:44:35.53" personId="{104078EE-2393-4C21-9029-18A325FBDB70}" id="{3E7AAE05-9E76-4CF3-873B-76FF197F21FE}">
    <text>We had these coming in at 21 and 6 respectively</text>
  </threadedComment>
  <threadedComment ref="U20" dT="2023-01-26T22:05:47.03" personId="{609654FB-393E-4954-B3A3-EDB231775774}" id="{7767431F-C6C3-4B53-95B9-8445F0C48EAA}">
    <text>Hard coded to account for higher data. Rest of forecast formulas maintained.</text>
  </threadedComment>
  <threadedComment ref="U20" dT="2023-04-27T02:54:55.77" personId="{2C68A5A1-706F-4A3E-93A3-741BBABEC4EA}" id="{998CA545-DCFC-4510-BDFE-BA5E7B8AABB4}" parentId="{7767431F-C6C3-4B53-95B9-8445F0C48EAA}">
    <text>Didn't drag over b/c hard coded</text>
  </threadedComment>
  <threadedComment ref="R22" dT="2022-04-28T19:15:48.71" personId="{104078EE-2393-4C21-9029-18A325FBDB70}" id="{B5E978D5-CE65-4AE2-8DD7-1EF95BA9E399}">
    <text>There was no total amount authorized for this program, and the SBA has stopped accepting applications as of January 2022.
https://www.sba.gov/funding-programs/loans/covid-19-relief-options/covid-19-economic-injury-disaster-loan/about-targeted-eidl-advance-supplemental-targeted-advance</text>
  </threadedComment>
  <threadedComment ref="P25" dT="2022-01-28T16:13:54.75" personId="{58CF8BEC-4104-46F7-BE4F-2C9403635492}" id="{DB908DB8-ED36-4713-AE3C-B9DFD0F93D1E}">
    <text>This is used to keep line 12 (non-leg subsidies) at a consistent level</text>
  </threadedComment>
  <threadedComment ref="B26" dT="2023-02-16T18:27:27.41" personId="{609654FB-393E-4954-B3A3-EDB231775774}" id="{531C2B30-B748-4992-BA59-32A200D8CA7B}">
    <text>This row and the next are policy lines since the May 2022 CBO update, but we don't get a CBO line for Total Federal Subsidies. So do we delete these rows?</text>
  </threadedComment>
  <threadedComment ref="R45" dT="2022-10-27T17:21:31.98" personId="{609654FB-393E-4954-B3A3-EDB231775774}" id="{02CD4DDF-2C52-45CC-A7C0-F81AC2D1A26A}">
    <text>Flag because ARP subsidies come in 100 lower based on ARP score, non-ARP subsidies now much higher going forward.</text>
  </threadedComment>
  <threadedComment ref="S46" dT="2022-07-28T13:50:14.43" personId="{104078EE-2393-4C21-9029-18A325FBDB70}" id="{7010EE95-CECC-419E-AEDA-DD810575C98C}">
    <text>Should we forecast a negative number for this item?</text>
  </threadedComment>
</ThreadedComments>
</file>

<file path=xl/threadedComments/threadedComment7.xml><?xml version="1.0" encoding="utf-8"?>
<ThreadedComments xmlns="http://schemas.microsoft.com/office/spreadsheetml/2018/threadedcomments" xmlns:x="http://schemas.openxmlformats.org/spreadsheetml/2006/main">
  <threadedComment ref="V12" dT="2023-01-27T19:01:20.87" personId="{609654FB-393E-4954-B3A3-EDB231775774}" id="{6F7D0E44-45B2-4003-8249-3888890A6B9B}">
    <text>End of public health emergency,  April 2023, so FMAP share goes down.</text>
  </threadedComment>
  <threadedComment ref="V16" dT="2023-01-27T19:01:20.87" personId="{609654FB-393E-4954-B3A3-EDB231775774}" id="{D4EE9B6B-23C3-4504-A8C7-B8A1C3F6D675}">
    <text>End of public health emergency,  April 2023, so FMAP share goes down.</text>
  </threadedComment>
  <threadedComment ref="B17" dT="2022-05-26T13:51:07.76" personId="{104078EE-2393-4C21-9029-18A325FBDB70}" id="{C3958D6E-5D0B-4757-8548-DC4AB51469BE}">
    <text>May 2022 CBO 10-year budget projections Table 3-2 Mandatory Outlays Projected in CBO's baseline, adjusted to exclude effects of timing shifts, Row 18</text>
  </threadedComment>
  <threadedComment ref="B17" dT="2023-02-15T19:53:13.46" personId="{609654FB-393E-4954-B3A3-EDB231775774}" id="{33C21F0C-3560-41CE-A5DD-3B71DEE775BD}" parentId="{C3958D6E-5D0B-4757-8548-DC4AB51469BE}">
    <text>This is now February 2023 CBO 10-year budget projections table 1-4 Mandatory Outlays Adjusted to Exclude the Effect of Timing Shifts, row 15, starting from 2022</text>
  </threadedComment>
</ThreadedComments>
</file>

<file path=xl/threadedComments/threadedComment8.xml><?xml version="1.0" encoding="utf-8"?>
<ThreadedComments xmlns="http://schemas.microsoft.com/office/spreadsheetml/2018/threadedcomments" xmlns:x="http://schemas.openxmlformats.org/spreadsheetml/2006/main">
  <threadedComment ref="B18" dT="2022-05-26T13:55:21.44" personId="{104078EE-2393-4C21-9029-18A325FBDB70}" id="{FBCF6AFF-3308-4DB2-931F-AB1BC267CB41}">
    <text>May 2022 CBO 10-year budget projections Table 3-2 Mandatory Outlays Projected in CBO's baseline, adjusted to exclude effects of timing shifts, Row 17</text>
  </threadedComment>
  <threadedComment ref="B18" dT="2023-02-15T19:57:12.17" personId="{609654FB-393E-4954-B3A3-EDB231775774}" id="{0DAFD942-1E4E-471B-90D4-59ABEF291821}" parentId="{FBCF6AFF-3308-4DB2-931F-AB1BC267CB41}">
    <text>This is now February 2023 10-year budget projections table 1-4 Mandatory Outlays adjusted to exclude effect of timing shifts, row 14, from 2022</text>
  </threadedComment>
</ThreadedComments>
</file>

<file path=xl/threadedComments/threadedComment9.xml><?xml version="1.0" encoding="utf-8"?>
<ThreadedComments xmlns="http://schemas.microsoft.com/office/spreadsheetml/2018/threadedcomments" xmlns:x="http://schemas.openxmlformats.org/spreadsheetml/2006/main">
  <threadedComment ref="V12" dT="2023-04-27T02:58:38.96" personId="{2C68A5A1-706F-4A3E-93A3-741BBABEC4EA}" id="{36E0E18E-822C-4DD6-8410-5E4C883D1836}">
    <text>Why are the projected #s so different from the historical #s?</text>
  </threadedComment>
  <threadedComment ref="T17" dT="2023-01-26T22:24:09.34" personId="{609654FB-393E-4954-B3A3-EDB231775774}" id="{3012ED06-42B4-440E-92A9-D4BCE51A80AC}">
    <text>Hard coded, formulas otherwise maintained.</text>
  </threadedComment>
  <threadedComment ref="S21" dT="2022-10-27T17:47:53.13" personId="{609654FB-393E-4954-B3A3-EDB231775774}" id="{581A763D-69E7-4316-A641-33877C6ED334}">
    <text>This didn't get automatically pulled in by Haver. Run Haver pull tomorrow.</text>
  </threadedComment>
  <threadedComment ref="S24" dT="2022-10-27T17:37:59.67" personId="{609654FB-393E-4954-B3A3-EDB231775774}" id="{88370A64-FBDF-4CF1-9910-136364F7D354}">
    <text>Another prediction ARP will crash. Do we still want this?</text>
  </threadedComment>
  <threadedComment ref="B26" dT="2023-02-16T19:02:57.27" personId="{609654FB-393E-4954-B3A3-EDB231775774}" id="{9CD67460-E1CB-4B53-9C37-E18E4A204770}">
    <text>Same issue as previous--we have policies but they don't feed into anything we get from the CBO. So what do we do?</text>
  </threadedComment>
  <threadedComment ref="B51" dT="2023-02-16T19:02:57.27" personId="{609654FB-393E-4954-B3A3-EDB231775774}" id="{A31EA57F-7996-44C1-AB78-CC91DB6F6574}">
    <text>Same issue as previous--we have policies but they don't feed into anything we get from the CBO. So what do we do?</text>
  </threadedComment>
  <threadedComment ref="J84" dT="2021-11-02T13:23:36.94" personId="{58CF8BEC-4104-46F7-BE4F-2C9403635492}" id="{8624CBF8-0C25-4544-B55E-7210BBE07E41}">
    <text>Formula changes to grow by counterfactual pre-covid growth rate</text>
  </threadedComment>
  <threadedComment ref="M84" dT="2021-11-02T13:26:53.83" personId="{58CF8BEC-4104-46F7-BE4F-2C9403635492}" id="{B38BAE8E-DF30-49E2-9F96-90A1041E4DF0}">
    <text>Accounting for step up in social security</text>
  </threadedComment>
  <threadedComment ref="M84" dT="2022-07-28T10:16:22.56" personId="{104078EE-2393-4C21-9029-18A325FBDB70}" id="{E0C007BA-F33F-4062-A357-370316E1FFF4}" parentId="{B38BAE8E-DF30-49E2-9F96-90A1041E4DF0}">
    <text>every Q1</text>
  </threadedComment>
  <threadedComment ref="U84" dT="2022-10-28T13:56:35.19" personId="{609654FB-393E-4954-B3A3-EDB231775774}" id="{96427D88-0329-491C-A939-11D66B55F1C3}" done="1">
    <text>COLA adjustment questions.</text>
  </threadedComment>
  <threadedComment ref="Y84" dT="2022-10-28T13:56:35.19" personId="{609654FB-393E-4954-B3A3-EDB231775774}" id="{8AABB420-F73D-4E8A-8DF7-F245078D4E11}">
    <text>COLA adjustment questions.</text>
  </threadedComment>
  <threadedComment ref="AC84" dT="2022-10-28T13:56:35.19" personId="{609654FB-393E-4954-B3A3-EDB231775774}" id="{41707468-7438-4BC6-B704-F002DDD23F47}">
    <text>COLA adjustment questions.</text>
  </threadedComment>
  <threadedComment ref="U97" dT="2022-10-28T13:56:35.19" personId="{609654FB-393E-4954-B3A3-EDB231775774}" id="{768266C3-5F6F-4B4B-A0F2-5FE77F7C9D9D}" done="1">
    <text>COLA adjustment questions.</text>
  </threadedComment>
  <threadedComment ref="Y97" dT="2022-10-28T13:56:35.19" personId="{609654FB-393E-4954-B3A3-EDB231775774}" id="{CEF813AA-D4CC-411F-B865-86A64AC5EEB6}">
    <text>COLA adjustment questions.</text>
  </threadedComment>
  <threadedComment ref="AC97" dT="2022-10-28T13:56:35.19" personId="{609654FB-393E-4954-B3A3-EDB231775774}" id="{DDFF41A6-D6EC-4A60-A3F9-0AF92DDF8C11}">
    <text>COLA adjustment questions.</text>
  </threadedComment>
  <threadedComment ref="B109" dT="2023-02-24T16:39:02.09" personId="{104078EE-2393-4C21-9029-18A325FBDB70}" id="{6AF7CFB2-704D-4104-831C-CFDBBA2AEEEB}">
    <text>CBO Feb 2023 budget projections table 1-4, social security subtotal</text>
  </threadedComment>
</ThreadedComments>
</file>

<file path=xl/worksheets/_rels/sheet10.xml.rels><?xml version="1.0" encoding="UTF-8" standalone="yes"?>
<Relationships xmlns="http://schemas.openxmlformats.org/package/2006/relationships"><Relationship Id="rId1" Type="http://schemas.openxmlformats.org/officeDocument/2006/relationships/hyperlink" Target="https://apps.bea.gov/iTable/?reqid=19&amp;step=2&amp;isuri=1&amp;categories=survey" TargetMode="External"/></Relationships>
</file>

<file path=xl/worksheets/_rels/sheet1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 Id="rId4" Type="http://schemas.microsoft.com/office/2017/10/relationships/threadedComment" Target="../threadedComments/threadedComment1.xml"/></Relationships>
</file>

<file path=xl/worksheets/_rels/sheet14.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6" Type="http://schemas.microsoft.com/office/2017/10/relationships/threadedComment" Target="../threadedComments/threadedComment2.xml"/><Relationship Id="rId5" Type="http://schemas.openxmlformats.org/officeDocument/2006/relationships/comments" Target="../comments2.xml"/><Relationship Id="rId4" Type="http://schemas.openxmlformats.org/officeDocument/2006/relationships/vmlDrawing" Target="../drawings/vmlDrawing2.vml"/></Relationships>
</file>

<file path=xl/worksheets/_rels/sheet1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ivotTable" Target="../pivotTables/pivotTable2.xml"/><Relationship Id="rId5" Type="http://schemas.microsoft.com/office/2017/10/relationships/threadedComment" Target="../threadedComments/threadedComment3.xml"/><Relationship Id="rId4" Type="http://schemas.openxmlformats.org/officeDocument/2006/relationships/comments" Target="../comments3.xml"/></Relationships>
</file>

<file path=xl/worksheets/_rels/sheet16.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2.bin"/><Relationship Id="rId5" Type="http://schemas.microsoft.com/office/2017/10/relationships/threadedComment" Target="../threadedComments/threadedComment4.xml"/><Relationship Id="rId4" Type="http://schemas.openxmlformats.org/officeDocument/2006/relationships/comments" Target="../comments4.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5.xml"/><Relationship Id="rId4" Type="http://schemas.microsoft.com/office/2017/10/relationships/threadedComment" Target="../threadedComments/threadedComment5.xml"/></Relationships>
</file>

<file path=xl/worksheets/_rels/sheet1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6.xml"/><Relationship Id="rId4" Type="http://schemas.microsoft.com/office/2017/10/relationships/threadedComment" Target="../threadedComments/threadedComment6.xml"/></Relationships>
</file>

<file path=xl/worksheets/_rels/sheet19.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7.xml"/><Relationship Id="rId4" Type="http://schemas.microsoft.com/office/2017/10/relationships/threadedComment" Target="../threadedComments/threadedComment7.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bea.gov/news/current-releases" TargetMode="External"/></Relationships>
</file>

<file path=xl/worksheets/_rels/sheet20.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8.xml"/><Relationship Id="rId4" Type="http://schemas.microsoft.com/office/2017/10/relationships/threadedComment" Target="../threadedComments/threadedComment8.xml"/></Relationships>
</file>

<file path=xl/worksheets/_rels/sheet22.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drawing" Target="../drawings/drawing9.xml"/><Relationship Id="rId1" Type="http://schemas.openxmlformats.org/officeDocument/2006/relationships/printerSettings" Target="../printerSettings/printerSettings3.bin"/><Relationship Id="rId5" Type="http://schemas.microsoft.com/office/2017/10/relationships/threadedComment" Target="../threadedComments/threadedComment9.xml"/><Relationship Id="rId4" Type="http://schemas.openxmlformats.org/officeDocument/2006/relationships/comments" Target="../comments9.xml"/></Relationships>
</file>

<file path=xl/worksheets/_rels/sheet23.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drawing" Target="../drawings/drawing10.xml"/><Relationship Id="rId4" Type="http://schemas.microsoft.com/office/2017/10/relationships/threadedComment" Target="../threadedComments/threadedComment10.xml"/></Relationships>
</file>

<file path=xl/worksheets/_rels/sheet24.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drawing" Target="../drawings/drawing11.xml"/><Relationship Id="rId4" Type="http://schemas.microsoft.com/office/2017/10/relationships/threadedComment" Target="../threadedComments/threadedComment11.xml"/></Relationships>
</file>

<file path=xl/worksheets/_rels/sheet25.xml.rels><?xml version="1.0" encoding="UTF-8" standalone="yes"?>
<Relationships xmlns="http://schemas.openxmlformats.org/package/2006/relationships"><Relationship Id="rId1" Type="http://schemas.openxmlformats.org/officeDocument/2006/relationships/hyperlink" Target="https://www.americanactionforum.org/research/tracker-paycheck-protection-program-loans/" TargetMode="Externa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7.xml.rels><?xml version="1.0" encoding="UTF-8" standalone="yes"?>
<Relationships xmlns="http://schemas.openxmlformats.org/package/2006/relationships"><Relationship Id="rId1" Type="http://schemas.openxmlformats.org/officeDocument/2006/relationships/hyperlink" Target="https://www.bea.gov/sites/default/files/2021-05/effects-of-selected-federal-pandemic-response-programs-on-personal-income-april-2021.pdf" TargetMode="External"/></Relationships>
</file>

<file path=xl/worksheets/_rels/sheet28.xml.rels><?xml version="1.0" encoding="UTF-8" standalone="yes"?>
<Relationships xmlns="http://schemas.openxmlformats.org/package/2006/relationships"><Relationship Id="rId1" Type="http://schemas.openxmlformats.org/officeDocument/2006/relationships/hyperlink" Target="http://www.cbo.gov/publication/56517" TargetMode="External"/></Relationships>
</file>

<file path=xl/worksheets/_rels/sheet29.xml.rels><?xml version="1.0" encoding="UTF-8" standalone="yes"?>
<Relationships xmlns="http://schemas.openxmlformats.org/package/2006/relationships"><Relationship Id="rId3" Type="http://schemas.openxmlformats.org/officeDocument/2006/relationships/hyperlink" Target="https://www.benefits.gov/benefit/5868" TargetMode="External"/><Relationship Id="rId2" Type="http://schemas.openxmlformats.org/officeDocument/2006/relationships/hyperlink" Target="https://www.apta.com/advocacy-legislation-policy/legislative-updates-alerts/updates/inflation-reduction-act-public-transit-tax-credits-and-new-investments/" TargetMode="External"/><Relationship Id="rId1" Type="http://schemas.openxmlformats.org/officeDocument/2006/relationships/hyperlink" Target="https://www.rd.usda.gov/programs-services/energy-programs/rural-energy-america-program-renewable-energy-systems-energy-efficiency-improvement-guaranteed-loans" TargetMode="External"/><Relationship Id="rId4" Type="http://schemas.openxmlformats.org/officeDocument/2006/relationships/hyperlink" Target="https://www.cbo.gov/system/files/2022-09/PL117-169_9-7-22.pdf"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bea.gov/news/current-releases" TargetMode="External"/></Relationships>
</file>

<file path=xl/worksheets/_rels/sheet30.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2.vml"/><Relationship Id="rId1" Type="http://schemas.openxmlformats.org/officeDocument/2006/relationships/drawing" Target="../drawings/drawing13.xml"/><Relationship Id="rId5" Type="http://schemas.microsoft.com/office/2017/10/relationships/threadedComment" Target="../threadedComments/threadedComment12.xml"/><Relationship Id="rId4" Type="http://schemas.openxmlformats.org/officeDocument/2006/relationships/comments" Target="../comments12.xml"/></Relationships>
</file>

<file path=xl/worksheets/_rels/sheet31.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drawing" Target="../drawings/drawing14.xml"/><Relationship Id="rId4" Type="http://schemas.microsoft.com/office/2017/10/relationships/threadedComment" Target="../threadedComments/threadedComment13.xml"/></Relationships>
</file>

<file path=xl/worksheets/_rels/sheet9.xml.rels><?xml version="1.0" encoding="UTF-8" standalone="yes"?>
<Relationships xmlns="http://schemas.openxmlformats.org/package/2006/relationships"><Relationship Id="rId3" Type="http://schemas.openxmlformats.org/officeDocument/2006/relationships/hyperlink" Target="https://www.bea.gov/help/faq/1415" TargetMode="External"/><Relationship Id="rId7" Type="http://schemas.openxmlformats.org/officeDocument/2006/relationships/hyperlink" Target="https://www.bea.gov/help/faq/1409" TargetMode="External"/><Relationship Id="rId2" Type="http://schemas.openxmlformats.org/officeDocument/2006/relationships/hyperlink" Target="https://www.bea.gov/help/faq/121" TargetMode="External"/><Relationship Id="rId1" Type="http://schemas.openxmlformats.org/officeDocument/2006/relationships/hyperlink" Target="https://www.bea.gov/help/faq/1407" TargetMode="External"/><Relationship Id="rId6" Type="http://schemas.openxmlformats.org/officeDocument/2006/relationships/hyperlink" Target="https://www.bea.gov/help/faq/121" TargetMode="External"/><Relationship Id="rId5" Type="http://schemas.openxmlformats.org/officeDocument/2006/relationships/hyperlink" Target="https://www.bea.gov/help/faq/1407" TargetMode="External"/><Relationship Id="rId4" Type="http://schemas.openxmlformats.org/officeDocument/2006/relationships/hyperlink" Target="https://www.bea.gov/help/faq/140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0:Q43"/>
  <sheetViews>
    <sheetView topLeftCell="A6" zoomScale="82" zoomScaleNormal="82" workbookViewId="0">
      <selection activeCell="C26" sqref="C26"/>
    </sheetView>
  </sheetViews>
  <sheetFormatPr defaultColWidth="11.453125" defaultRowHeight="14.5" x14ac:dyDescent="0.35"/>
  <cols>
    <col min="2" max="2" width="34.1796875" customWidth="1"/>
    <col min="17" max="17" width="38.453125" customWidth="1"/>
  </cols>
  <sheetData>
    <row r="10" spans="2:17" x14ac:dyDescent="0.35">
      <c r="B10" s="1562" t="s">
        <v>0</v>
      </c>
      <c r="C10" s="1563"/>
      <c r="D10" s="1563"/>
      <c r="E10" s="1563"/>
      <c r="F10" s="1563"/>
      <c r="G10" s="1563"/>
      <c r="H10" s="1563"/>
      <c r="I10" s="1563"/>
      <c r="J10" s="1563"/>
      <c r="K10" s="1563"/>
      <c r="L10" s="1563"/>
      <c r="M10" s="1563"/>
      <c r="N10" s="1563"/>
      <c r="O10" s="1563"/>
      <c r="P10" s="1563"/>
      <c r="Q10" s="1564"/>
    </row>
    <row r="11" spans="2:17" x14ac:dyDescent="0.35">
      <c r="B11" s="1565"/>
      <c r="C11" s="1566"/>
      <c r="D11" s="1566"/>
      <c r="E11" s="1566"/>
      <c r="F11" s="1566"/>
      <c r="G11" s="1566"/>
      <c r="H11" s="1566"/>
      <c r="I11" s="1566"/>
      <c r="J11" s="1566"/>
      <c r="K11" s="1566"/>
      <c r="L11" s="1566"/>
      <c r="M11" s="1566"/>
      <c r="N11" s="1566"/>
      <c r="O11" s="1566"/>
      <c r="P11" s="1566"/>
      <c r="Q11" s="1567"/>
    </row>
    <row r="12" spans="2:17" x14ac:dyDescent="0.35">
      <c r="B12" s="4" t="s">
        <v>1</v>
      </c>
      <c r="C12" s="13"/>
      <c r="D12" s="13"/>
      <c r="E12" s="13"/>
      <c r="F12" s="13"/>
      <c r="G12" s="13"/>
      <c r="H12" s="13"/>
      <c r="I12" s="13"/>
      <c r="J12" s="13"/>
      <c r="K12" s="13"/>
      <c r="L12" s="13"/>
      <c r="M12" s="13"/>
      <c r="N12" s="13"/>
      <c r="O12" s="13"/>
      <c r="P12" s="13"/>
      <c r="Q12" s="11"/>
    </row>
    <row r="13" spans="2:17" x14ac:dyDescent="0.35">
      <c r="B13" s="3" t="s">
        <v>2</v>
      </c>
      <c r="C13" s="1568" t="s">
        <v>3</v>
      </c>
      <c r="D13" s="1568"/>
      <c r="E13" s="1568"/>
      <c r="F13" s="1568"/>
      <c r="G13" s="1568"/>
      <c r="H13" s="1568"/>
      <c r="I13" s="1568"/>
      <c r="J13" s="1568"/>
      <c r="K13" s="1568"/>
      <c r="L13" s="1568"/>
      <c r="M13" s="1568"/>
      <c r="N13" s="1568"/>
      <c r="O13" s="1568"/>
      <c r="P13" s="1568"/>
      <c r="Q13" s="1569"/>
    </row>
    <row r="14" spans="2:17" x14ac:dyDescent="0.35">
      <c r="B14" s="3" t="s">
        <v>4</v>
      </c>
      <c r="C14" s="12" t="s">
        <v>5</v>
      </c>
      <c r="D14" s="12"/>
      <c r="E14" s="12"/>
      <c r="F14" s="12"/>
      <c r="G14" s="12"/>
      <c r="H14" s="12"/>
      <c r="I14" s="12"/>
      <c r="J14" s="12"/>
      <c r="K14" s="12"/>
      <c r="L14" s="12"/>
      <c r="M14" s="12"/>
      <c r="N14" s="12"/>
      <c r="O14" s="12"/>
      <c r="P14" s="12"/>
      <c r="Q14" s="6"/>
    </row>
    <row r="15" spans="2:17" x14ac:dyDescent="0.35">
      <c r="B15" s="3" t="s">
        <v>6</v>
      </c>
      <c r="C15" s="12" t="s">
        <v>7</v>
      </c>
      <c r="D15" s="12"/>
      <c r="E15" s="12"/>
      <c r="F15" s="12"/>
      <c r="G15" s="12"/>
      <c r="H15" s="12"/>
      <c r="I15" s="12"/>
      <c r="J15" s="12"/>
      <c r="K15" s="12"/>
      <c r="L15" s="12"/>
      <c r="M15" s="12"/>
      <c r="N15" s="12"/>
      <c r="O15" s="12"/>
      <c r="P15" s="12"/>
      <c r="Q15" s="6"/>
    </row>
    <row r="16" spans="2:17" x14ac:dyDescent="0.35">
      <c r="B16" s="3" t="s">
        <v>8</v>
      </c>
      <c r="C16" s="12" t="s">
        <v>837</v>
      </c>
      <c r="D16" s="12"/>
      <c r="E16" s="12"/>
      <c r="F16" s="12"/>
      <c r="G16" s="12"/>
      <c r="H16" s="12"/>
      <c r="I16" s="12"/>
      <c r="J16" s="12"/>
      <c r="K16" s="12"/>
      <c r="L16" s="12"/>
      <c r="M16" s="12"/>
      <c r="N16" s="12"/>
      <c r="O16" s="12"/>
      <c r="P16" s="12"/>
      <c r="Q16" s="6"/>
    </row>
    <row r="17" spans="2:17" x14ac:dyDescent="0.35">
      <c r="B17" s="3" t="s">
        <v>9</v>
      </c>
      <c r="C17" s="12" t="s">
        <v>10</v>
      </c>
      <c r="D17" s="12"/>
      <c r="E17" s="12"/>
      <c r="F17" s="12"/>
      <c r="G17" s="12"/>
      <c r="H17" s="12"/>
      <c r="I17" s="12"/>
      <c r="J17" s="12"/>
      <c r="K17" s="12"/>
      <c r="L17" s="12"/>
      <c r="M17" s="12"/>
      <c r="N17" s="12"/>
      <c r="O17" s="12"/>
      <c r="P17" s="12"/>
      <c r="Q17" s="6"/>
    </row>
    <row r="18" spans="2:17" x14ac:dyDescent="0.35">
      <c r="B18" s="3" t="s">
        <v>838</v>
      </c>
      <c r="C18" s="12" t="s">
        <v>11</v>
      </c>
      <c r="D18" s="12"/>
      <c r="E18" s="12"/>
      <c r="F18" s="12"/>
      <c r="G18" s="12"/>
      <c r="H18" s="12"/>
      <c r="I18" s="12"/>
      <c r="J18" s="12"/>
      <c r="K18" s="12"/>
      <c r="L18" s="12"/>
      <c r="M18" s="12"/>
      <c r="N18" s="12"/>
      <c r="O18" s="12"/>
      <c r="P18" s="12"/>
      <c r="Q18" s="6"/>
    </row>
    <row r="19" spans="2:17" x14ac:dyDescent="0.35">
      <c r="B19" s="3" t="s">
        <v>12</v>
      </c>
      <c r="C19" s="12" t="s">
        <v>839</v>
      </c>
      <c r="D19" s="12"/>
      <c r="E19" s="12"/>
      <c r="F19" s="12"/>
      <c r="G19" s="12"/>
      <c r="H19" s="12"/>
      <c r="I19" s="12"/>
      <c r="J19" s="12"/>
      <c r="K19" s="12"/>
      <c r="L19" s="12"/>
      <c r="M19" s="12"/>
      <c r="N19" s="12"/>
      <c r="O19" s="12"/>
      <c r="P19" s="12"/>
      <c r="Q19" s="6"/>
    </row>
    <row r="20" spans="2:17" ht="30.75" customHeight="1" x14ac:dyDescent="0.35">
      <c r="B20" s="3" t="s">
        <v>13</v>
      </c>
      <c r="C20" s="1560" t="s">
        <v>14</v>
      </c>
      <c r="D20" s="1560"/>
      <c r="E20" s="1560"/>
      <c r="F20" s="1560"/>
      <c r="G20" s="1560"/>
      <c r="H20" s="1560"/>
      <c r="I20" s="1560"/>
      <c r="J20" s="1560"/>
      <c r="K20" s="1560"/>
      <c r="L20" s="1560"/>
      <c r="M20" s="1560"/>
      <c r="N20" s="1560"/>
      <c r="O20" s="1560"/>
      <c r="P20" s="1560"/>
      <c r="Q20" s="1561"/>
    </row>
    <row r="21" spans="2:17" x14ac:dyDescent="0.35">
      <c r="B21" s="3" t="s">
        <v>15</v>
      </c>
      <c r="C21" s="12" t="s">
        <v>16</v>
      </c>
      <c r="D21" s="12"/>
      <c r="E21" s="12"/>
      <c r="F21" s="12"/>
      <c r="G21" s="12"/>
      <c r="H21" s="12"/>
      <c r="I21" s="12"/>
      <c r="J21" s="12"/>
      <c r="K21" s="12"/>
      <c r="L21" s="12"/>
      <c r="M21" s="12"/>
      <c r="N21" s="12"/>
      <c r="O21" s="12"/>
      <c r="P21" s="12"/>
      <c r="Q21" s="6"/>
    </row>
    <row r="22" spans="2:17" ht="32.25" customHeight="1" x14ac:dyDescent="0.35">
      <c r="B22" s="1" t="s">
        <v>841</v>
      </c>
      <c r="C22" s="1560" t="s">
        <v>840</v>
      </c>
      <c r="D22" s="1560"/>
      <c r="E22" s="1560"/>
      <c r="F22" s="1560"/>
      <c r="G22" s="1560"/>
      <c r="H22" s="1560"/>
      <c r="I22" s="1560"/>
      <c r="J22" s="1560"/>
      <c r="K22" s="1560"/>
      <c r="L22" s="1560"/>
      <c r="M22" s="1560"/>
      <c r="N22" s="1560"/>
      <c r="O22" s="1560"/>
      <c r="P22" s="1560"/>
      <c r="Q22" s="1561"/>
    </row>
    <row r="23" spans="2:17" ht="31.4" customHeight="1" x14ac:dyDescent="0.35">
      <c r="B23" s="3" t="s">
        <v>17</v>
      </c>
      <c r="C23" s="1560" t="s">
        <v>842</v>
      </c>
      <c r="D23" s="1560"/>
      <c r="E23" s="1560"/>
      <c r="F23" s="1560"/>
      <c r="G23" s="1560"/>
      <c r="H23" s="1560"/>
      <c r="I23" s="1560"/>
      <c r="J23" s="1560"/>
      <c r="K23" s="1560"/>
      <c r="L23" s="1560"/>
      <c r="M23" s="1560"/>
      <c r="N23" s="1560"/>
      <c r="O23" s="1560"/>
      <c r="P23" s="1560"/>
      <c r="Q23" s="1561"/>
    </row>
    <row r="24" spans="2:17" x14ac:dyDescent="0.35">
      <c r="B24" s="3" t="s">
        <v>18</v>
      </c>
      <c r="C24" s="12" t="s">
        <v>19</v>
      </c>
      <c r="D24" s="12"/>
      <c r="E24" s="12"/>
      <c r="F24" s="12"/>
      <c r="G24" s="12"/>
      <c r="H24" s="12"/>
      <c r="I24" s="12"/>
      <c r="J24" s="12"/>
      <c r="K24" s="12"/>
      <c r="L24" s="12"/>
      <c r="M24" s="12"/>
      <c r="N24" s="12"/>
      <c r="O24" s="12"/>
      <c r="P24" s="12"/>
      <c r="Q24" s="6"/>
    </row>
    <row r="25" spans="2:17" x14ac:dyDescent="0.35">
      <c r="B25" s="3" t="s">
        <v>20</v>
      </c>
      <c r="C25" s="12" t="s">
        <v>21</v>
      </c>
      <c r="D25" s="12"/>
      <c r="E25" s="12"/>
      <c r="F25" s="12"/>
      <c r="G25" s="12"/>
      <c r="H25" s="12"/>
      <c r="I25" s="12"/>
      <c r="J25" s="12"/>
      <c r="K25" s="12"/>
      <c r="L25" s="12"/>
      <c r="M25" s="12"/>
      <c r="N25" s="12"/>
      <c r="O25" s="12"/>
      <c r="P25" s="12"/>
      <c r="Q25" s="6"/>
    </row>
    <row r="26" spans="2:17" x14ac:dyDescent="0.35">
      <c r="B26" s="3" t="s">
        <v>22</v>
      </c>
      <c r="C26" s="12" t="s">
        <v>23</v>
      </c>
      <c r="D26" s="12"/>
      <c r="E26" s="12"/>
      <c r="F26" s="12"/>
      <c r="G26" s="12"/>
      <c r="H26" s="12"/>
      <c r="I26" s="12"/>
      <c r="J26" s="12"/>
      <c r="K26" s="12"/>
      <c r="L26" s="12"/>
      <c r="M26" s="12"/>
      <c r="N26" s="12"/>
      <c r="O26" s="12"/>
      <c r="P26" s="12"/>
      <c r="Q26" s="6"/>
    </row>
    <row r="27" spans="2:17" x14ac:dyDescent="0.35">
      <c r="B27" s="3" t="s">
        <v>24</v>
      </c>
      <c r="C27" s="12" t="s">
        <v>843</v>
      </c>
      <c r="D27" s="12"/>
      <c r="E27" s="12"/>
      <c r="F27" s="12"/>
      <c r="G27" s="12"/>
      <c r="H27" s="12"/>
      <c r="I27" s="12"/>
      <c r="J27" s="12"/>
      <c r="K27" s="12"/>
      <c r="L27" s="12"/>
      <c r="M27" s="12"/>
      <c r="N27" s="12"/>
      <c r="O27" s="12"/>
      <c r="P27" s="12"/>
      <c r="Q27" s="6"/>
    </row>
    <row r="28" spans="2:17" x14ac:dyDescent="0.35">
      <c r="B28" s="3" t="s">
        <v>25</v>
      </c>
      <c r="C28" s="12" t="s">
        <v>844</v>
      </c>
      <c r="D28" s="12"/>
      <c r="E28" s="12"/>
      <c r="F28" s="12"/>
      <c r="G28" s="12"/>
      <c r="H28" s="12"/>
      <c r="I28" s="12"/>
      <c r="J28" s="12"/>
      <c r="K28" s="12"/>
      <c r="L28" s="12"/>
      <c r="M28" s="12"/>
      <c r="N28" s="12"/>
      <c r="O28" s="12"/>
      <c r="P28" s="12"/>
      <c r="Q28" s="6"/>
    </row>
    <row r="29" spans="2:17" x14ac:dyDescent="0.35">
      <c r="B29" s="3" t="s">
        <v>26</v>
      </c>
      <c r="C29" s="12" t="s">
        <v>27</v>
      </c>
      <c r="D29" s="12"/>
      <c r="E29" s="12"/>
      <c r="F29" s="12"/>
      <c r="G29" s="12"/>
      <c r="H29" s="12"/>
      <c r="I29" s="12"/>
      <c r="J29" s="12"/>
      <c r="K29" s="12"/>
      <c r="L29" s="12"/>
      <c r="M29" s="12"/>
      <c r="N29" s="12"/>
      <c r="O29" s="12"/>
      <c r="P29" s="12"/>
      <c r="Q29" s="6"/>
    </row>
    <row r="30" spans="2:17" x14ac:dyDescent="0.35">
      <c r="B30" s="3"/>
      <c r="C30" s="12"/>
      <c r="D30" s="12"/>
      <c r="E30" s="12"/>
      <c r="F30" s="12"/>
      <c r="G30" s="12"/>
      <c r="H30" s="12"/>
      <c r="I30" s="12"/>
      <c r="J30" s="12"/>
      <c r="K30" s="12"/>
      <c r="L30" s="12"/>
      <c r="M30" s="12"/>
      <c r="N30" s="12"/>
      <c r="O30" s="12"/>
      <c r="P30" s="12"/>
      <c r="Q30" s="6"/>
    </row>
    <row r="31" spans="2:17" x14ac:dyDescent="0.35">
      <c r="B31" s="5" t="s">
        <v>28</v>
      </c>
      <c r="C31" s="12"/>
      <c r="D31" s="12"/>
      <c r="E31" s="12"/>
      <c r="F31" s="12"/>
      <c r="G31" s="12"/>
      <c r="H31" s="12"/>
      <c r="I31" s="12"/>
      <c r="J31" s="12"/>
      <c r="K31" s="12"/>
      <c r="L31" s="12"/>
      <c r="M31" s="12"/>
      <c r="N31" s="12"/>
      <c r="O31" s="12"/>
      <c r="P31" s="12"/>
      <c r="Q31" s="6"/>
    </row>
    <row r="32" spans="2:17" x14ac:dyDescent="0.35">
      <c r="B32" s="3" t="s">
        <v>29</v>
      </c>
      <c r="C32" s="12"/>
      <c r="D32" s="12"/>
      <c r="E32" s="12"/>
      <c r="F32" s="12"/>
      <c r="G32" s="12"/>
      <c r="H32" s="12"/>
      <c r="I32" s="12"/>
      <c r="J32" s="12"/>
      <c r="K32" s="12"/>
      <c r="L32" s="12"/>
      <c r="M32" s="12"/>
      <c r="N32" s="12"/>
      <c r="O32" s="12"/>
      <c r="P32" s="12"/>
      <c r="Q32" s="6"/>
    </row>
    <row r="33" spans="2:17" ht="30.75" customHeight="1" x14ac:dyDescent="0.35">
      <c r="B33" s="1559" t="s">
        <v>845</v>
      </c>
      <c r="C33" s="1560"/>
      <c r="D33" s="1560"/>
      <c r="E33" s="1560"/>
      <c r="F33" s="1560"/>
      <c r="G33" s="1560"/>
      <c r="H33" s="1560"/>
      <c r="I33" s="1560"/>
      <c r="J33" s="1560"/>
      <c r="K33" s="1560"/>
      <c r="L33" s="1560"/>
      <c r="M33" s="1560"/>
      <c r="N33" s="1560"/>
      <c r="O33" s="1560"/>
      <c r="P33" s="1560"/>
      <c r="Q33" s="1561"/>
    </row>
    <row r="34" spans="2:17" x14ac:dyDescent="0.35">
      <c r="B34" s="9" t="s">
        <v>30</v>
      </c>
      <c r="C34" s="12"/>
      <c r="D34" s="12"/>
      <c r="E34" s="12"/>
      <c r="F34" s="12"/>
      <c r="G34" s="12"/>
      <c r="H34" s="12"/>
      <c r="I34" s="12"/>
      <c r="J34" s="12"/>
      <c r="K34" s="12"/>
      <c r="L34" s="12"/>
      <c r="M34" s="12"/>
      <c r="N34" s="12"/>
      <c r="O34" s="12"/>
      <c r="P34" s="12"/>
      <c r="Q34" s="6"/>
    </row>
    <row r="35" spans="2:17" x14ac:dyDescent="0.35">
      <c r="B35" s="3" t="s">
        <v>31</v>
      </c>
      <c r="C35" s="12"/>
      <c r="D35" s="12"/>
      <c r="E35" s="12"/>
      <c r="F35" s="12"/>
      <c r="G35" s="12"/>
      <c r="H35" s="12"/>
      <c r="I35" s="12"/>
      <c r="J35" s="12"/>
      <c r="K35" s="12"/>
      <c r="L35" s="12"/>
      <c r="M35" s="12"/>
      <c r="N35" s="12"/>
      <c r="O35" s="12"/>
      <c r="P35" s="12"/>
      <c r="Q35" s="6"/>
    </row>
    <row r="36" spans="2:17" x14ac:dyDescent="0.35">
      <c r="B36" s="2" t="s">
        <v>32</v>
      </c>
      <c r="C36" s="7"/>
      <c r="D36" s="7"/>
      <c r="E36" s="7"/>
      <c r="F36" s="7"/>
      <c r="G36" s="7"/>
      <c r="H36" s="7"/>
      <c r="I36" s="7"/>
      <c r="J36" s="7"/>
      <c r="K36" s="7"/>
      <c r="L36" s="7"/>
      <c r="M36" s="7"/>
      <c r="N36" s="7"/>
      <c r="O36" s="7"/>
      <c r="P36" s="7"/>
      <c r="Q36" s="8"/>
    </row>
    <row r="39" spans="2:17" x14ac:dyDescent="0.35">
      <c r="B39" s="10"/>
      <c r="C39" s="10"/>
      <c r="D39" s="10"/>
      <c r="E39" s="10"/>
      <c r="F39" s="10"/>
      <c r="G39" s="10"/>
      <c r="H39" s="10"/>
      <c r="I39" s="10"/>
      <c r="J39" s="10"/>
      <c r="K39" s="10"/>
      <c r="L39" s="10"/>
      <c r="M39" s="10"/>
      <c r="N39" s="10"/>
      <c r="O39" s="10"/>
      <c r="P39" s="10"/>
      <c r="Q39" s="10"/>
    </row>
    <row r="40" spans="2:17" x14ac:dyDescent="0.35">
      <c r="B40" s="10"/>
      <c r="C40" s="10"/>
      <c r="D40" s="10"/>
      <c r="E40" s="10"/>
      <c r="F40" s="10"/>
      <c r="G40" s="10"/>
      <c r="H40" s="10"/>
      <c r="I40" s="10"/>
      <c r="J40" s="10"/>
      <c r="K40" s="10"/>
      <c r="L40" s="10"/>
      <c r="M40" s="10"/>
      <c r="N40" s="10"/>
      <c r="O40" s="10"/>
      <c r="P40" s="10"/>
      <c r="Q40" s="10"/>
    </row>
    <row r="41" spans="2:17" x14ac:dyDescent="0.35">
      <c r="B41" s="10"/>
      <c r="C41" s="10"/>
      <c r="D41" s="10"/>
      <c r="E41" s="10"/>
      <c r="F41" s="10"/>
      <c r="G41" s="10"/>
      <c r="H41" s="10"/>
      <c r="I41" s="10"/>
      <c r="J41" s="10"/>
      <c r="K41" s="10"/>
      <c r="L41" s="10"/>
      <c r="M41" s="10"/>
      <c r="N41" s="10"/>
      <c r="O41" s="10"/>
      <c r="P41" s="10"/>
      <c r="Q41" s="10"/>
    </row>
    <row r="42" spans="2:17" x14ac:dyDescent="0.35">
      <c r="B42" s="10"/>
      <c r="C42" s="10"/>
      <c r="D42" s="10"/>
      <c r="E42" s="10"/>
      <c r="F42" s="10"/>
      <c r="G42" s="10"/>
      <c r="H42" s="10"/>
      <c r="I42" s="10"/>
      <c r="J42" s="10"/>
      <c r="K42" s="10"/>
      <c r="L42" s="10"/>
      <c r="M42" s="10"/>
      <c r="N42" s="10"/>
      <c r="O42" s="10"/>
      <c r="P42" s="10"/>
      <c r="Q42" s="10"/>
    </row>
    <row r="43" spans="2:17" x14ac:dyDescent="0.35">
      <c r="B43" s="10"/>
      <c r="C43" s="10"/>
      <c r="D43" s="10"/>
      <c r="E43" s="10"/>
      <c r="F43" s="10"/>
      <c r="G43" s="10"/>
      <c r="H43" s="10"/>
      <c r="I43" s="10"/>
      <c r="J43" s="10"/>
      <c r="K43" s="10"/>
      <c r="L43" s="10"/>
      <c r="M43" s="10"/>
      <c r="N43" s="10"/>
      <c r="O43" s="10"/>
      <c r="P43" s="10"/>
      <c r="Q43" s="10"/>
    </row>
  </sheetData>
  <mergeCells count="6">
    <mergeCell ref="B33:Q33"/>
    <mergeCell ref="B10:Q11"/>
    <mergeCell ref="C13:Q13"/>
    <mergeCell ref="C22:Q22"/>
    <mergeCell ref="C20:Q20"/>
    <mergeCell ref="C23:Q23"/>
  </mergeCells>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S57"/>
  <sheetViews>
    <sheetView workbookViewId="0">
      <selection activeCell="T51" sqref="T51"/>
    </sheetView>
  </sheetViews>
  <sheetFormatPr defaultColWidth="11.453125" defaultRowHeight="14.5" x14ac:dyDescent="0.35"/>
  <cols>
    <col min="1" max="1" width="6.1796875" customWidth="1"/>
    <col min="2" max="2" width="42.54296875" customWidth="1"/>
    <col min="3" max="3" width="8" customWidth="1"/>
    <col min="4" max="5" width="8.81640625" customWidth="1"/>
    <col min="6" max="6" width="9.453125" customWidth="1"/>
    <col min="7" max="16" width="8.81640625" customWidth="1"/>
    <col min="17" max="17" width="9.81640625" customWidth="1"/>
    <col min="18" max="18" width="9.453125" customWidth="1"/>
    <col min="19" max="19" width="8.81640625" customWidth="1"/>
    <col min="20" max="20" width="9.81640625" customWidth="1"/>
    <col min="21" max="23" width="9.453125" customWidth="1"/>
    <col min="24" max="24" width="8.81640625" customWidth="1"/>
    <col min="25" max="26" width="9.453125" customWidth="1"/>
  </cols>
  <sheetData>
    <row r="1" spans="1:32" ht="18.649999999999999" customHeight="1" x14ac:dyDescent="0.45">
      <c r="A1" s="1613" t="s">
        <v>1750</v>
      </c>
      <c r="B1" s="1614"/>
      <c r="C1" s="1614"/>
      <c r="D1" s="1614"/>
      <c r="E1" s="1614"/>
      <c r="F1" s="1614"/>
      <c r="G1" s="1614"/>
      <c r="H1" s="1614"/>
      <c r="I1" s="1614"/>
      <c r="J1" s="1614"/>
      <c r="K1" s="1614"/>
      <c r="L1" s="1614"/>
      <c r="M1" s="1614"/>
      <c r="N1" s="1614"/>
      <c r="O1" s="1614"/>
      <c r="P1" s="1614"/>
      <c r="Q1" s="1614"/>
      <c r="R1" s="1614"/>
      <c r="S1" s="1614"/>
      <c r="T1" s="1614"/>
      <c r="U1" s="1614"/>
      <c r="V1" s="1614"/>
      <c r="W1" s="1614"/>
      <c r="X1" s="1614"/>
      <c r="Y1" s="1614"/>
      <c r="Z1" s="1614"/>
    </row>
    <row r="2" spans="1:32" ht="17.149999999999999" customHeight="1" x14ac:dyDescent="0.4">
      <c r="A2" s="1615" t="s">
        <v>1751</v>
      </c>
      <c r="B2" s="1614"/>
      <c r="C2" s="1614"/>
      <c r="D2" s="1614"/>
      <c r="E2" s="1614"/>
      <c r="F2" s="1614"/>
      <c r="G2" s="1614"/>
      <c r="H2" s="1614"/>
      <c r="I2" s="1614"/>
      <c r="J2" s="1614"/>
      <c r="K2" s="1614"/>
      <c r="L2" s="1614"/>
      <c r="M2" s="1614"/>
      <c r="N2" s="1614"/>
      <c r="O2" s="1614"/>
      <c r="P2" s="1614"/>
      <c r="Q2" s="1614"/>
      <c r="R2" s="1614"/>
      <c r="S2" s="1614"/>
      <c r="T2" s="1614"/>
      <c r="U2" s="1614"/>
      <c r="V2" s="1614"/>
      <c r="W2" s="1614"/>
      <c r="X2" s="1614"/>
      <c r="Y2" s="1614"/>
      <c r="Z2" s="1614"/>
    </row>
    <row r="3" spans="1:32" x14ac:dyDescent="0.35">
      <c r="A3" s="1614" t="s">
        <v>1752</v>
      </c>
      <c r="B3" s="1614"/>
      <c r="C3" s="1614"/>
      <c r="D3" s="1614"/>
      <c r="E3" s="1614"/>
      <c r="F3" s="1614"/>
      <c r="G3" s="1614"/>
      <c r="H3" s="1614"/>
      <c r="I3" s="1614"/>
      <c r="J3" s="1614"/>
      <c r="K3" s="1614"/>
      <c r="L3" s="1614"/>
      <c r="M3" s="1614"/>
      <c r="N3" s="1614"/>
      <c r="O3" s="1614"/>
      <c r="P3" s="1614"/>
      <c r="Q3" s="1614"/>
      <c r="R3" s="1614"/>
      <c r="S3" s="1614"/>
      <c r="T3" s="1614"/>
      <c r="U3" s="1614"/>
      <c r="V3" s="1614"/>
      <c r="W3" s="1614"/>
      <c r="X3" s="1614"/>
      <c r="Y3" s="1614"/>
      <c r="Z3" s="1614"/>
    </row>
    <row r="4" spans="1:32" x14ac:dyDescent="0.35">
      <c r="A4" s="1614" t="s">
        <v>1806</v>
      </c>
      <c r="B4" s="1614"/>
      <c r="C4" s="1614"/>
      <c r="D4" s="1614"/>
      <c r="E4" s="1614"/>
      <c r="F4" s="1614"/>
      <c r="G4" s="1614"/>
      <c r="H4" s="1614"/>
      <c r="I4" s="1614"/>
      <c r="J4" s="1614"/>
      <c r="K4" s="1614"/>
      <c r="L4" s="1614"/>
      <c r="M4" s="1614"/>
      <c r="N4" s="1614"/>
      <c r="O4" s="1614"/>
      <c r="P4" s="1614"/>
      <c r="Q4" s="1614"/>
      <c r="R4" s="1614"/>
      <c r="S4" s="1614"/>
      <c r="T4" s="1614"/>
      <c r="U4" s="1614"/>
      <c r="V4" s="1614"/>
      <c r="W4" s="1614"/>
      <c r="X4" s="1614"/>
      <c r="Y4" s="1614"/>
      <c r="Z4" s="1614"/>
    </row>
    <row r="5" spans="1:32" x14ac:dyDescent="0.35">
      <c r="A5" s="110" t="s">
        <v>1836</v>
      </c>
      <c r="B5" s="35"/>
      <c r="C5" s="35"/>
      <c r="D5" s="35"/>
      <c r="E5" s="35"/>
      <c r="F5" s="35"/>
      <c r="G5" s="35"/>
      <c r="H5" s="35"/>
      <c r="I5" s="35"/>
      <c r="J5" s="35"/>
      <c r="K5" s="35"/>
      <c r="L5" s="35"/>
      <c r="M5" s="35"/>
      <c r="N5" s="35"/>
      <c r="O5" s="35"/>
      <c r="P5" s="35"/>
      <c r="Q5" s="35"/>
      <c r="R5" s="35"/>
      <c r="S5" s="35"/>
      <c r="T5" s="35"/>
      <c r="U5" s="35"/>
      <c r="V5" s="35"/>
      <c r="W5" s="35"/>
      <c r="X5" s="35"/>
      <c r="Y5" s="35"/>
    </row>
    <row r="6" spans="1:32" x14ac:dyDescent="0.35">
      <c r="A6" s="1620" t="s">
        <v>821</v>
      </c>
      <c r="B6" s="1620" t="s">
        <v>1798</v>
      </c>
      <c r="C6" s="1621" t="s">
        <v>1807</v>
      </c>
      <c r="D6" s="1621"/>
      <c r="E6" s="1621"/>
      <c r="F6" s="1621"/>
      <c r="G6" s="1621"/>
      <c r="H6" s="1621"/>
      <c r="I6" s="1621"/>
      <c r="J6" s="1621"/>
      <c r="K6" s="1621"/>
      <c r="L6" s="1621"/>
      <c r="M6" s="1621"/>
      <c r="N6" s="1621"/>
      <c r="O6" s="1621" t="s">
        <v>1753</v>
      </c>
      <c r="P6" s="1621"/>
      <c r="Q6" s="1621"/>
      <c r="R6" s="1621"/>
      <c r="S6" s="1621"/>
      <c r="T6" s="1621"/>
      <c r="U6" s="1621"/>
      <c r="V6" s="1621"/>
      <c r="W6" s="1621"/>
      <c r="X6" s="1621"/>
      <c r="Y6" s="1621"/>
      <c r="Z6" s="1621"/>
      <c r="AA6" s="1622" t="s">
        <v>1905</v>
      </c>
      <c r="AB6" s="1622"/>
      <c r="AC6" s="1622"/>
      <c r="AD6" s="1504" t="s">
        <v>1794</v>
      </c>
      <c r="AE6" s="1505"/>
      <c r="AF6" s="1506"/>
    </row>
    <row r="7" spans="1:32" x14ac:dyDescent="0.35">
      <c r="A7" s="1620"/>
      <c r="B7" s="1620"/>
      <c r="C7" s="1503" t="s">
        <v>1754</v>
      </c>
      <c r="D7" s="1503" t="s">
        <v>1755</v>
      </c>
      <c r="E7" s="1503" t="s">
        <v>1756</v>
      </c>
      <c r="F7" s="1503" t="s">
        <v>1757</v>
      </c>
      <c r="G7" s="1503" t="s">
        <v>1758</v>
      </c>
      <c r="H7" s="1503" t="s">
        <v>1759</v>
      </c>
      <c r="I7" s="1503" t="s">
        <v>1760</v>
      </c>
      <c r="J7" s="1503" t="s">
        <v>1761</v>
      </c>
      <c r="K7" s="1503" t="s">
        <v>1762</v>
      </c>
      <c r="L7" s="1503" t="s">
        <v>1763</v>
      </c>
      <c r="M7" s="1503" t="s">
        <v>1764</v>
      </c>
      <c r="N7" s="1503" t="s">
        <v>1765</v>
      </c>
      <c r="O7" s="1503" t="s">
        <v>1754</v>
      </c>
      <c r="P7" s="1503" t="s">
        <v>1755</v>
      </c>
      <c r="Q7" s="1503" t="s">
        <v>1756</v>
      </c>
      <c r="R7" s="1503" t="s">
        <v>1757</v>
      </c>
      <c r="S7" s="1515" t="s">
        <v>1758</v>
      </c>
      <c r="T7" s="1515" t="s">
        <v>1759</v>
      </c>
      <c r="U7" s="1515" t="s">
        <v>1760</v>
      </c>
      <c r="V7" s="1515" t="s">
        <v>1761</v>
      </c>
      <c r="W7" s="1515" t="s">
        <v>1762</v>
      </c>
      <c r="X7" s="1512" t="s">
        <v>1763</v>
      </c>
      <c r="Y7" s="1512" t="s">
        <v>1764</v>
      </c>
      <c r="Z7" s="1512" t="s">
        <v>1765</v>
      </c>
      <c r="AA7" s="1508" t="s">
        <v>1754</v>
      </c>
      <c r="AB7" s="1508" t="s">
        <v>1755</v>
      </c>
      <c r="AC7" s="1508" t="s">
        <v>1756</v>
      </c>
      <c r="AD7" s="1503" t="s">
        <v>1757</v>
      </c>
      <c r="AE7" s="1503" t="s">
        <v>1758</v>
      </c>
      <c r="AF7" s="1508" t="s">
        <v>1759</v>
      </c>
    </row>
    <row r="8" spans="1:32" x14ac:dyDescent="0.35">
      <c r="A8" s="111" t="s">
        <v>1766</v>
      </c>
      <c r="B8" s="74" t="s">
        <v>1767</v>
      </c>
      <c r="C8" s="74">
        <v>112.583</v>
      </c>
      <c r="D8" s="74">
        <v>112.961</v>
      </c>
      <c r="E8" s="74">
        <v>113.63200000000001</v>
      </c>
      <c r="F8" s="74">
        <v>114.238</v>
      </c>
      <c r="G8" s="74">
        <v>114.819</v>
      </c>
      <c r="H8" s="74">
        <v>115.458</v>
      </c>
      <c r="I8" s="74">
        <v>115.986</v>
      </c>
      <c r="J8" s="74">
        <v>116.444</v>
      </c>
      <c r="K8" s="74">
        <v>116.80800000000001</v>
      </c>
      <c r="L8" s="74">
        <v>117.479</v>
      </c>
      <c r="M8" s="74">
        <v>118.2</v>
      </c>
      <c r="N8" s="74">
        <v>118.84099999999999</v>
      </c>
      <c r="O8" s="74">
        <v>119.46899999999999</v>
      </c>
      <c r="P8" s="74">
        <v>120.178</v>
      </c>
      <c r="Q8" s="74">
        <v>121.321</v>
      </c>
      <c r="R8" s="74">
        <v>121.563</v>
      </c>
      <c r="S8" s="1516">
        <v>122.3</v>
      </c>
      <c r="T8" s="1516">
        <v>123.512</v>
      </c>
      <c r="U8" s="1516">
        <v>123.39700000000001</v>
      </c>
      <c r="V8" s="1516">
        <v>123.72799999999999</v>
      </c>
      <c r="W8" s="1516">
        <v>124.154</v>
      </c>
      <c r="X8" s="1513">
        <v>124.676</v>
      </c>
      <c r="Y8" s="1513">
        <v>124.889</v>
      </c>
      <c r="Z8" s="1513">
        <v>125.14100000000001</v>
      </c>
      <c r="AA8" s="1509">
        <v>125.898</v>
      </c>
      <c r="AB8" s="1509">
        <v>126.277</v>
      </c>
      <c r="AC8" s="1509">
        <v>126.373</v>
      </c>
      <c r="AD8" s="47">
        <f>AC8*(1+AD30)^(1/12)</f>
        <v>126.60754039415305</v>
      </c>
      <c r="AE8" s="47">
        <f>AD8*(1+AE30)^(1/12)</f>
        <v>126.84251608062715</v>
      </c>
      <c r="AF8" s="47">
        <f>AE8*(1+AF30)^(1/12)</f>
        <v>127.07792786729767</v>
      </c>
    </row>
    <row r="9" spans="1:32" x14ac:dyDescent="0.35">
      <c r="A9" s="111" t="s">
        <v>1768</v>
      </c>
      <c r="B9" s="74" t="s">
        <v>1769</v>
      </c>
      <c r="C9" s="74">
        <v>95.314999999999998</v>
      </c>
      <c r="D9" s="74">
        <v>95.686999999999998</v>
      </c>
      <c r="E9" s="74">
        <v>96.406000000000006</v>
      </c>
      <c r="F9" s="74">
        <v>97.102000000000004</v>
      </c>
      <c r="G9" s="74">
        <v>97.861000000000004</v>
      </c>
      <c r="H9" s="74">
        <v>98.683999999999997</v>
      </c>
      <c r="I9" s="74">
        <v>99.159000000000006</v>
      </c>
      <c r="J9" s="74">
        <v>99.754999999999995</v>
      </c>
      <c r="K9" s="74">
        <v>100.149</v>
      </c>
      <c r="L9" s="74">
        <v>101.224</v>
      </c>
      <c r="M9" s="74">
        <v>101.938</v>
      </c>
      <c r="N9" s="74">
        <v>102.608</v>
      </c>
      <c r="O9" s="74">
        <v>103.54</v>
      </c>
      <c r="P9" s="74">
        <v>104.79</v>
      </c>
      <c r="Q9" s="74">
        <v>106.631</v>
      </c>
      <c r="R9" s="74">
        <v>106.443</v>
      </c>
      <c r="S9" s="1516">
        <v>107.414</v>
      </c>
      <c r="T9" s="1516">
        <v>109.154</v>
      </c>
      <c r="U9" s="1516">
        <v>108.682</v>
      </c>
      <c r="V9" s="1516">
        <v>108.316</v>
      </c>
      <c r="W9" s="1516">
        <v>108.20699999999999</v>
      </c>
      <c r="X9" s="1513">
        <v>108.621</v>
      </c>
      <c r="Y9" s="1513">
        <v>108.361</v>
      </c>
      <c r="Z9" s="1513">
        <v>107.81399999999999</v>
      </c>
      <c r="AA9" s="1509">
        <v>108.435</v>
      </c>
      <c r="AB9" s="1509">
        <v>108.596</v>
      </c>
      <c r="AC9" s="1509">
        <v>108.35599999999999</v>
      </c>
      <c r="AD9" s="47"/>
      <c r="AE9" s="35"/>
      <c r="AF9" s="123"/>
    </row>
    <row r="10" spans="1:32" x14ac:dyDescent="0.35">
      <c r="A10" s="111" t="s">
        <v>1770</v>
      </c>
      <c r="B10" s="111" t="s">
        <v>1771</v>
      </c>
      <c r="C10" s="111">
        <v>86.924000000000007</v>
      </c>
      <c r="D10" s="111">
        <v>86.869</v>
      </c>
      <c r="E10" s="111">
        <v>87.171999999999997</v>
      </c>
      <c r="F10" s="111">
        <v>88.608000000000004</v>
      </c>
      <c r="G10" s="111">
        <v>90.114999999999995</v>
      </c>
      <c r="H10" s="111">
        <v>91.334999999999994</v>
      </c>
      <c r="I10" s="111">
        <v>91.619</v>
      </c>
      <c r="J10" s="111">
        <v>92.432000000000002</v>
      </c>
      <c r="K10" s="111">
        <v>92.543000000000006</v>
      </c>
      <c r="L10" s="111">
        <v>93.463999999999999</v>
      </c>
      <c r="M10" s="111">
        <v>93.86</v>
      </c>
      <c r="N10" s="111">
        <v>94.763000000000005</v>
      </c>
      <c r="O10" s="111">
        <v>95.872</v>
      </c>
      <c r="P10" s="111">
        <v>96.036000000000001</v>
      </c>
      <c r="Q10" s="111">
        <v>95.870999999999995</v>
      </c>
      <c r="R10" s="111">
        <v>96.034999999999997</v>
      </c>
      <c r="S10" s="1514">
        <v>96.397999999999996</v>
      </c>
      <c r="T10" s="1514">
        <v>97.09</v>
      </c>
      <c r="U10" s="1514">
        <v>96.88</v>
      </c>
      <c r="V10" s="1514">
        <v>97.346999999999994</v>
      </c>
      <c r="W10" s="1514">
        <v>97.781999999999996</v>
      </c>
      <c r="X10" s="1511">
        <v>97.399000000000001</v>
      </c>
      <c r="Y10" s="1511">
        <v>96.847999999999999</v>
      </c>
      <c r="Z10" s="1511">
        <v>96.632000000000005</v>
      </c>
      <c r="AA10" s="1507">
        <v>96.88</v>
      </c>
      <c r="AB10" s="1507">
        <v>96.704999999999998</v>
      </c>
      <c r="AC10" s="1507">
        <v>96.626999999999995</v>
      </c>
      <c r="AD10" s="47"/>
      <c r="AE10" s="35"/>
      <c r="AF10" s="123"/>
    </row>
    <row r="11" spans="1:32" x14ac:dyDescent="0.35">
      <c r="A11" s="111" t="s">
        <v>1772</v>
      </c>
      <c r="B11" s="111" t="s">
        <v>1773</v>
      </c>
      <c r="C11" s="111">
        <v>99.802000000000007</v>
      </c>
      <c r="D11" s="111">
        <v>100.465</v>
      </c>
      <c r="E11" s="111">
        <v>101.476</v>
      </c>
      <c r="F11" s="111">
        <v>101.63200000000001</v>
      </c>
      <c r="G11" s="111">
        <v>101.855</v>
      </c>
      <c r="H11" s="111">
        <v>102.4</v>
      </c>
      <c r="I11" s="111">
        <v>103</v>
      </c>
      <c r="J11" s="111">
        <v>103.449</v>
      </c>
      <c r="K11" s="111">
        <v>104.024</v>
      </c>
      <c r="L11" s="111">
        <v>105.19</v>
      </c>
      <c r="M11" s="111">
        <v>106.107</v>
      </c>
      <c r="N11" s="111">
        <v>106.61</v>
      </c>
      <c r="O11" s="111">
        <v>107.404</v>
      </c>
      <c r="P11" s="111">
        <v>109.376</v>
      </c>
      <c r="Q11" s="111">
        <v>112.557</v>
      </c>
      <c r="R11" s="111">
        <v>112.134</v>
      </c>
      <c r="S11" s="1514">
        <v>113.511</v>
      </c>
      <c r="T11" s="1514">
        <v>115.94</v>
      </c>
      <c r="U11" s="1514">
        <v>115.297</v>
      </c>
      <c r="V11" s="1514">
        <v>114.367</v>
      </c>
      <c r="W11" s="1514">
        <v>113.89</v>
      </c>
      <c r="X11" s="1511">
        <v>114.84099999999999</v>
      </c>
      <c r="Y11" s="1511">
        <v>114.78</v>
      </c>
      <c r="Z11" s="1511">
        <v>114.017</v>
      </c>
      <c r="AA11" s="1507">
        <v>114.884</v>
      </c>
      <c r="AB11" s="1507">
        <v>115.27800000000001</v>
      </c>
      <c r="AC11" s="1507">
        <v>114.929</v>
      </c>
      <c r="AD11" s="47"/>
      <c r="AE11" s="35"/>
      <c r="AF11" s="123"/>
    </row>
    <row r="12" spans="1:32" x14ac:dyDescent="0.35">
      <c r="A12" s="111" t="s">
        <v>1774</v>
      </c>
      <c r="B12" s="74" t="s">
        <v>1775</v>
      </c>
      <c r="C12" s="74">
        <v>121.786</v>
      </c>
      <c r="D12" s="74">
        <v>122.16500000000001</v>
      </c>
      <c r="E12" s="74">
        <v>122.792</v>
      </c>
      <c r="F12" s="74">
        <v>123.324</v>
      </c>
      <c r="G12" s="74">
        <v>123.773</v>
      </c>
      <c r="H12" s="74">
        <v>124.277</v>
      </c>
      <c r="I12" s="74">
        <v>124.831</v>
      </c>
      <c r="J12" s="74">
        <v>125.19199999999999</v>
      </c>
      <c r="K12" s="74">
        <v>125.53100000000001</v>
      </c>
      <c r="L12" s="74">
        <v>125.92700000000001</v>
      </c>
      <c r="M12" s="74">
        <v>126.64100000000001</v>
      </c>
      <c r="N12" s="74">
        <v>127.253</v>
      </c>
      <c r="O12" s="74">
        <v>127.672</v>
      </c>
      <c r="P12" s="74">
        <v>128.01499999999999</v>
      </c>
      <c r="Q12" s="74">
        <v>128.69</v>
      </c>
      <c r="R12" s="74">
        <v>129.20400000000001</v>
      </c>
      <c r="S12" s="1516">
        <v>129.78</v>
      </c>
      <c r="T12" s="1516">
        <v>130.63900000000001</v>
      </c>
      <c r="U12" s="1516">
        <v>130.75299999999999</v>
      </c>
      <c r="V12" s="1516">
        <v>131.51900000000001</v>
      </c>
      <c r="W12" s="1516">
        <v>132.27500000000001</v>
      </c>
      <c r="X12" s="1513">
        <v>132.85599999999999</v>
      </c>
      <c r="Y12" s="1513">
        <v>133.364</v>
      </c>
      <c r="Z12" s="1513">
        <v>134.10900000000001</v>
      </c>
      <c r="AA12" s="1509">
        <v>134.941</v>
      </c>
      <c r="AB12" s="1509">
        <v>135.45400000000001</v>
      </c>
      <c r="AC12" s="1509">
        <v>135.761</v>
      </c>
      <c r="AD12" s="47"/>
      <c r="AE12" s="35"/>
      <c r="AF12" s="123"/>
    </row>
    <row r="13" spans="1:32" x14ac:dyDescent="0.35">
      <c r="A13" s="111" t="s">
        <v>1798</v>
      </c>
      <c r="B13" s="111" t="s">
        <v>1776</v>
      </c>
      <c r="C13" s="111" t="s">
        <v>1798</v>
      </c>
      <c r="D13" s="111" t="s">
        <v>1798</v>
      </c>
      <c r="E13" s="111" t="s">
        <v>1798</v>
      </c>
      <c r="F13" s="111" t="s">
        <v>1798</v>
      </c>
      <c r="G13" s="111" t="s">
        <v>1798</v>
      </c>
      <c r="H13" s="111" t="s">
        <v>1798</v>
      </c>
      <c r="I13" s="111" t="s">
        <v>1798</v>
      </c>
      <c r="J13" s="111" t="s">
        <v>1798</v>
      </c>
      <c r="K13" s="111" t="s">
        <v>1798</v>
      </c>
      <c r="L13" s="111" t="s">
        <v>1798</v>
      </c>
      <c r="M13" s="111" t="s">
        <v>1798</v>
      </c>
      <c r="N13" s="111" t="s">
        <v>1798</v>
      </c>
      <c r="O13" s="111" t="s">
        <v>1798</v>
      </c>
      <c r="P13" s="111" t="s">
        <v>1798</v>
      </c>
      <c r="Q13" s="111" t="s">
        <v>1798</v>
      </c>
      <c r="R13" s="111" t="s">
        <v>1798</v>
      </c>
      <c r="S13" s="1514" t="s">
        <v>2236</v>
      </c>
      <c r="T13" s="1514" t="s">
        <v>2236</v>
      </c>
      <c r="U13" s="1514" t="s">
        <v>2236</v>
      </c>
      <c r="V13" s="1514" t="s">
        <v>2236</v>
      </c>
      <c r="W13" s="1514" t="s">
        <v>2236</v>
      </c>
      <c r="X13" s="1511" t="s">
        <v>2236</v>
      </c>
      <c r="Y13" s="1511" t="s">
        <v>2236</v>
      </c>
      <c r="Z13" s="1511" t="s">
        <v>2236</v>
      </c>
      <c r="AA13" s="1507" t="s">
        <v>2236</v>
      </c>
      <c r="AB13" s="1507" t="s">
        <v>2236</v>
      </c>
      <c r="AC13" s="1507" t="s">
        <v>2236</v>
      </c>
      <c r="AD13" s="47"/>
      <c r="AE13" s="35"/>
      <c r="AF13" s="123"/>
    </row>
    <row r="14" spans="1:32" x14ac:dyDescent="0.35">
      <c r="A14" s="111" t="s">
        <v>1777</v>
      </c>
      <c r="B14" s="111" t="s">
        <v>1778</v>
      </c>
      <c r="C14" s="111">
        <v>114.782</v>
      </c>
      <c r="D14" s="111">
        <v>114.97499999999999</v>
      </c>
      <c r="E14" s="111">
        <v>115.45699999999999</v>
      </c>
      <c r="F14" s="111">
        <v>116.18600000000001</v>
      </c>
      <c r="G14" s="111">
        <v>116.78700000000001</v>
      </c>
      <c r="H14" s="111">
        <v>117.349</v>
      </c>
      <c r="I14" s="111">
        <v>117.81100000000001</v>
      </c>
      <c r="J14" s="111">
        <v>118.199</v>
      </c>
      <c r="K14" s="111">
        <v>118.446</v>
      </c>
      <c r="L14" s="111">
        <v>118.929</v>
      </c>
      <c r="M14" s="111">
        <v>119.54300000000001</v>
      </c>
      <c r="N14" s="111">
        <v>120.193</v>
      </c>
      <c r="O14" s="111">
        <v>120.761</v>
      </c>
      <c r="P14" s="111">
        <v>121.205</v>
      </c>
      <c r="Q14" s="111">
        <v>121.651</v>
      </c>
      <c r="R14" s="111">
        <v>122.03</v>
      </c>
      <c r="S14" s="1514">
        <v>122.488</v>
      </c>
      <c r="T14" s="1514">
        <v>123.258</v>
      </c>
      <c r="U14" s="1514">
        <v>123.352</v>
      </c>
      <c r="V14" s="1514">
        <v>124.03100000000001</v>
      </c>
      <c r="W14" s="1514">
        <v>124.607</v>
      </c>
      <c r="X14" s="1511">
        <v>124.998</v>
      </c>
      <c r="Y14" s="1511">
        <v>125.277</v>
      </c>
      <c r="Z14" s="1511">
        <v>125.746</v>
      </c>
      <c r="AA14" s="1507">
        <v>126.449</v>
      </c>
      <c r="AB14" s="1507">
        <v>126.88800000000001</v>
      </c>
      <c r="AC14" s="1507">
        <v>127.244</v>
      </c>
      <c r="AD14" s="47"/>
      <c r="AE14" s="35"/>
      <c r="AF14" s="123"/>
    </row>
    <row r="15" spans="1:32" x14ac:dyDescent="0.35">
      <c r="A15" s="111" t="s">
        <v>1779</v>
      </c>
      <c r="B15" s="111" t="s">
        <v>1780</v>
      </c>
      <c r="C15" s="111">
        <v>108.717</v>
      </c>
      <c r="D15" s="111">
        <v>109.011</v>
      </c>
      <c r="E15" s="111">
        <v>109.259</v>
      </c>
      <c r="F15" s="111">
        <v>109.633</v>
      </c>
      <c r="G15" s="111">
        <v>109.985</v>
      </c>
      <c r="H15" s="111">
        <v>110.67</v>
      </c>
      <c r="I15" s="111">
        <v>111.321</v>
      </c>
      <c r="J15" s="111">
        <v>111.783</v>
      </c>
      <c r="K15" s="111">
        <v>112.94499999999999</v>
      </c>
      <c r="L15" s="111">
        <v>113.773</v>
      </c>
      <c r="M15" s="111">
        <v>114.502</v>
      </c>
      <c r="N15" s="111">
        <v>114.864</v>
      </c>
      <c r="O15" s="111">
        <v>115.857</v>
      </c>
      <c r="P15" s="111">
        <v>117.517</v>
      </c>
      <c r="Q15" s="111">
        <v>119.119</v>
      </c>
      <c r="R15" s="111">
        <v>120.371</v>
      </c>
      <c r="S15" s="1514">
        <v>121.849</v>
      </c>
      <c r="T15" s="1514">
        <v>123.053</v>
      </c>
      <c r="U15" s="1514">
        <v>124.623</v>
      </c>
      <c r="V15" s="1514">
        <v>125.58799999999999</v>
      </c>
      <c r="W15" s="1514">
        <v>126.366</v>
      </c>
      <c r="X15" s="1511">
        <v>127.04300000000001</v>
      </c>
      <c r="Y15" s="1511">
        <v>127.66200000000001</v>
      </c>
      <c r="Z15" s="1511">
        <v>128.17500000000001</v>
      </c>
      <c r="AA15" s="1507">
        <v>128.68199999999999</v>
      </c>
      <c r="AB15" s="1507">
        <v>128.95599999999999</v>
      </c>
      <c r="AC15" s="1507">
        <v>128.708</v>
      </c>
      <c r="AD15" s="47"/>
      <c r="AE15" s="35"/>
      <c r="AF15" s="123"/>
    </row>
    <row r="16" spans="1:32" x14ac:dyDescent="0.35">
      <c r="A16" s="111" t="s">
        <v>1781</v>
      </c>
      <c r="B16" s="111" t="s">
        <v>1782</v>
      </c>
      <c r="C16" s="111">
        <v>83.465999999999994</v>
      </c>
      <c r="D16" s="111">
        <v>87.337000000000003</v>
      </c>
      <c r="E16" s="111">
        <v>92.162000000000006</v>
      </c>
      <c r="F16" s="111">
        <v>90.917000000000002</v>
      </c>
      <c r="G16" s="111">
        <v>91.519000000000005</v>
      </c>
      <c r="H16" s="111">
        <v>93.471000000000004</v>
      </c>
      <c r="I16" s="111">
        <v>95.004000000000005</v>
      </c>
      <c r="J16" s="111">
        <v>96.728999999999999</v>
      </c>
      <c r="K16" s="111">
        <v>97.88</v>
      </c>
      <c r="L16" s="111">
        <v>101.735</v>
      </c>
      <c r="M16" s="111">
        <v>104.42400000000001</v>
      </c>
      <c r="N16" s="111">
        <v>105.376</v>
      </c>
      <c r="O16" s="111">
        <v>106.527</v>
      </c>
      <c r="P16" s="111">
        <v>110.572</v>
      </c>
      <c r="Q16" s="111">
        <v>123.81</v>
      </c>
      <c r="R16" s="111">
        <v>119.991</v>
      </c>
      <c r="S16" s="1514">
        <v>124.726</v>
      </c>
      <c r="T16" s="1514">
        <v>134.256</v>
      </c>
      <c r="U16" s="1514">
        <v>127.651</v>
      </c>
      <c r="V16" s="1514">
        <v>120.47499999999999</v>
      </c>
      <c r="W16" s="1514">
        <v>117.581</v>
      </c>
      <c r="X16" s="1511">
        <v>120.31399999999999</v>
      </c>
      <c r="Y16" s="1511">
        <v>118.64700000000001</v>
      </c>
      <c r="Z16" s="1511">
        <v>114.42</v>
      </c>
      <c r="AA16" s="1507">
        <v>116.61</v>
      </c>
      <c r="AB16" s="1507">
        <v>115.98399999999999</v>
      </c>
      <c r="AC16" s="1507">
        <v>111.682</v>
      </c>
      <c r="AD16" s="47"/>
      <c r="AE16" s="35"/>
      <c r="AF16" s="123"/>
    </row>
    <row r="17" spans="1:35" x14ac:dyDescent="0.35">
      <c r="A17" s="111" t="s">
        <v>1783</v>
      </c>
      <c r="B17" s="111" t="s">
        <v>1784</v>
      </c>
      <c r="C17" s="111">
        <v>109.682</v>
      </c>
      <c r="D17" s="111">
        <v>110.125</v>
      </c>
      <c r="E17" s="111">
        <v>110.774</v>
      </c>
      <c r="F17" s="111">
        <v>111.247</v>
      </c>
      <c r="G17" s="111">
        <v>111.73399999999999</v>
      </c>
      <c r="H17" s="111">
        <v>112.292</v>
      </c>
      <c r="I17" s="111">
        <v>112.818</v>
      </c>
      <c r="J17" s="111">
        <v>113.22199999999999</v>
      </c>
      <c r="K17" s="111">
        <v>113.54300000000001</v>
      </c>
      <c r="L17" s="111">
        <v>114.292</v>
      </c>
      <c r="M17" s="111">
        <v>114.9</v>
      </c>
      <c r="N17" s="111">
        <v>115.499</v>
      </c>
      <c r="O17" s="111">
        <v>116.179</v>
      </c>
      <c r="P17" s="111">
        <v>117.042</v>
      </c>
      <c r="Q17" s="111">
        <v>118.312</v>
      </c>
      <c r="R17" s="111">
        <v>118.494</v>
      </c>
      <c r="S17" s="1514">
        <v>119.295</v>
      </c>
      <c r="T17" s="1514">
        <v>120.56100000000001</v>
      </c>
      <c r="U17" s="1514">
        <v>120.541</v>
      </c>
      <c r="V17" s="1514">
        <v>120.72799999999999</v>
      </c>
      <c r="W17" s="1514">
        <v>121.08499999999999</v>
      </c>
      <c r="X17" s="1511">
        <v>121.65600000000001</v>
      </c>
      <c r="Y17" s="1511">
        <v>121.744</v>
      </c>
      <c r="Z17" s="1511">
        <v>121.983</v>
      </c>
      <c r="AA17" s="1507">
        <v>122.66200000000001</v>
      </c>
      <c r="AB17" s="1507">
        <v>123.083</v>
      </c>
      <c r="AC17" s="1507">
        <v>123.26</v>
      </c>
      <c r="AD17" s="47"/>
      <c r="AE17" s="35"/>
      <c r="AF17" s="123"/>
    </row>
    <row r="18" spans="1:35" x14ac:dyDescent="0.35">
      <c r="A18" s="111" t="s">
        <v>1785</v>
      </c>
      <c r="B18" s="111" t="s">
        <v>1786</v>
      </c>
      <c r="C18" s="111">
        <v>111.714</v>
      </c>
      <c r="D18" s="111">
        <v>111.956</v>
      </c>
      <c r="E18" s="111">
        <v>112.386</v>
      </c>
      <c r="F18" s="111">
        <v>112.97499999999999</v>
      </c>
      <c r="G18" s="111">
        <v>113.47</v>
      </c>
      <c r="H18" s="111">
        <v>113.92700000000001</v>
      </c>
      <c r="I18" s="111">
        <v>114.377</v>
      </c>
      <c r="J18" s="111">
        <v>114.691</v>
      </c>
      <c r="K18" s="111">
        <v>114.873</v>
      </c>
      <c r="L18" s="111">
        <v>115.42</v>
      </c>
      <c r="M18" s="111">
        <v>115.887</v>
      </c>
      <c r="N18" s="111">
        <v>116.489</v>
      </c>
      <c r="O18" s="111">
        <v>117.11</v>
      </c>
      <c r="P18" s="111">
        <v>117.697</v>
      </c>
      <c r="Q18" s="111">
        <v>118.19499999999999</v>
      </c>
      <c r="R18" s="111">
        <v>118.52200000000001</v>
      </c>
      <c r="S18" s="1514">
        <v>119.01600000000001</v>
      </c>
      <c r="T18" s="1514">
        <v>119.785</v>
      </c>
      <c r="U18" s="1514">
        <v>120.018</v>
      </c>
      <c r="V18" s="1514">
        <v>120.58</v>
      </c>
      <c r="W18" s="1514">
        <v>121.09699999999999</v>
      </c>
      <c r="X18" s="1511">
        <v>121.527</v>
      </c>
      <c r="Y18" s="1511">
        <v>121.67100000000001</v>
      </c>
      <c r="Z18" s="1511">
        <v>122.15600000000001</v>
      </c>
      <c r="AA18" s="1507">
        <v>122.761</v>
      </c>
      <c r="AB18" s="1507">
        <v>123.25700000000001</v>
      </c>
      <c r="AC18" s="1507">
        <v>123.742</v>
      </c>
      <c r="AD18" s="124"/>
      <c r="AE18" s="36"/>
      <c r="AF18" s="125"/>
    </row>
    <row r="19" spans="1:35" ht="15.65" customHeight="1" x14ac:dyDescent="0.45">
      <c r="A19" s="1617" t="s">
        <v>1787</v>
      </c>
      <c r="B19" s="1618"/>
      <c r="C19" s="1618"/>
      <c r="D19" s="1618"/>
      <c r="E19" s="1618"/>
      <c r="F19" s="1618"/>
      <c r="G19" s="1618"/>
      <c r="H19" s="1618"/>
      <c r="I19" s="1618"/>
      <c r="J19" s="1618"/>
      <c r="K19" s="1618"/>
      <c r="L19" s="1618"/>
      <c r="M19" s="1618"/>
      <c r="N19" s="1618"/>
      <c r="O19" s="1618"/>
      <c r="P19" s="1618"/>
      <c r="Q19" s="1618"/>
      <c r="R19" s="1618"/>
      <c r="S19" s="1618"/>
      <c r="T19" s="1618"/>
      <c r="U19" s="1618"/>
      <c r="V19" s="1618"/>
      <c r="W19" s="1618"/>
      <c r="X19" s="1618"/>
      <c r="Y19" s="1618"/>
      <c r="Z19" s="1618"/>
      <c r="AA19" s="1618"/>
    </row>
    <row r="20" spans="1:35" x14ac:dyDescent="0.35">
      <c r="A20" s="1619" t="s">
        <v>1788</v>
      </c>
      <c r="B20" s="1618"/>
      <c r="C20" s="1618"/>
      <c r="D20" s="1618"/>
      <c r="E20" s="1618"/>
      <c r="F20" s="1618"/>
      <c r="G20" s="1618"/>
      <c r="H20" s="1618"/>
      <c r="I20" s="1618"/>
      <c r="J20" s="1618"/>
      <c r="K20" s="1618"/>
      <c r="L20" s="1618"/>
      <c r="M20" s="1618"/>
      <c r="N20" s="1618"/>
      <c r="O20" s="1618"/>
      <c r="P20" s="1618"/>
      <c r="Q20" s="1618"/>
      <c r="R20" s="1618"/>
      <c r="S20" s="1618"/>
      <c r="T20" s="1618"/>
      <c r="U20" s="1618"/>
      <c r="V20" s="1618"/>
      <c r="W20" s="1618"/>
      <c r="X20" s="1618"/>
      <c r="Y20" s="1618"/>
      <c r="Z20" s="1618"/>
      <c r="AA20" s="1618"/>
    </row>
    <row r="21" spans="1:35" x14ac:dyDescent="0.35">
      <c r="A21" s="1619" t="s">
        <v>1789</v>
      </c>
      <c r="B21" s="1618"/>
      <c r="C21" s="1618"/>
      <c r="D21" s="1618"/>
      <c r="E21" s="1618"/>
      <c r="F21" s="1618"/>
      <c r="G21" s="1618"/>
      <c r="H21" s="1618"/>
      <c r="I21" s="1618"/>
      <c r="J21" s="1618"/>
      <c r="K21" s="1618"/>
      <c r="L21" s="1618"/>
      <c r="M21" s="1618"/>
      <c r="N21" s="1618"/>
      <c r="O21" s="1618"/>
      <c r="P21" s="1618"/>
      <c r="Q21" s="1618"/>
      <c r="R21" s="1618"/>
      <c r="S21" s="1618"/>
      <c r="T21" s="1618"/>
      <c r="U21" s="1618"/>
      <c r="V21" s="1618"/>
      <c r="W21" s="1618"/>
      <c r="X21" s="1618"/>
      <c r="Y21" s="1618"/>
      <c r="Z21" s="1618"/>
      <c r="AA21" s="1618"/>
    </row>
    <row r="22" spans="1:35" x14ac:dyDescent="0.35">
      <c r="A22" s="1619" t="s">
        <v>1790</v>
      </c>
      <c r="B22" s="1618"/>
      <c r="C22" s="1618"/>
      <c r="D22" s="1618"/>
      <c r="E22" s="1618"/>
      <c r="F22" s="1618"/>
      <c r="G22" s="1618"/>
      <c r="H22" s="1618"/>
      <c r="I22" s="1618"/>
      <c r="J22" s="1618"/>
      <c r="K22" s="1618"/>
      <c r="L22" s="1618"/>
      <c r="M22" s="1618"/>
      <c r="N22" s="1618"/>
      <c r="O22" s="1618"/>
      <c r="P22" s="1618"/>
      <c r="Q22" s="1618"/>
      <c r="R22" s="1618"/>
      <c r="S22" s="1618"/>
      <c r="T22" s="1618"/>
      <c r="U22" s="1618"/>
      <c r="V22" s="1618"/>
      <c r="W22" s="1618"/>
      <c r="X22" s="1618"/>
      <c r="Y22" s="1618"/>
      <c r="Z22" s="1618"/>
      <c r="AA22" s="1618"/>
    </row>
    <row r="23" spans="1:35" x14ac:dyDescent="0.35">
      <c r="A23" s="113"/>
    </row>
    <row r="24" spans="1:35" x14ac:dyDescent="0.35">
      <c r="A24" s="113"/>
    </row>
    <row r="25" spans="1:35" x14ac:dyDescent="0.35">
      <c r="A25" s="113"/>
    </row>
    <row r="26" spans="1:35" x14ac:dyDescent="0.35">
      <c r="A26" s="113"/>
      <c r="G26" s="1623" t="s">
        <v>1791</v>
      </c>
      <c r="H26" s="1623"/>
      <c r="I26" s="1623"/>
      <c r="J26" s="1623"/>
      <c r="K26" s="1623"/>
      <c r="L26" s="1623"/>
      <c r="M26" s="1623"/>
      <c r="N26" s="1623"/>
      <c r="O26" s="1623"/>
      <c r="P26" s="1623"/>
      <c r="Q26" s="1623"/>
      <c r="R26" s="1623"/>
      <c r="S26" s="1623"/>
      <c r="T26" s="1623"/>
      <c r="U26" s="1623"/>
      <c r="V26" s="1623"/>
      <c r="W26" s="1623"/>
      <c r="X26" s="1623"/>
      <c r="Y26" s="1623"/>
      <c r="Z26" s="1623"/>
      <c r="AA26" s="1623"/>
      <c r="AB26" s="1623"/>
      <c r="AC26" s="1623"/>
      <c r="AD26" s="1623"/>
      <c r="AE26" s="1623"/>
      <c r="AF26" s="1623"/>
    </row>
    <row r="27" spans="1:35" x14ac:dyDescent="0.35">
      <c r="A27" s="113"/>
      <c r="B27" s="121" t="s">
        <v>1791</v>
      </c>
      <c r="C27" s="1616" t="s">
        <v>280</v>
      </c>
      <c r="D27" s="1616"/>
      <c r="E27" s="1616"/>
      <c r="F27" s="1616"/>
      <c r="G27" s="1616"/>
      <c r="H27" s="1616"/>
      <c r="I27" s="1616"/>
      <c r="J27" s="1616"/>
      <c r="K27" s="1616"/>
      <c r="L27" s="1616"/>
      <c r="M27" s="1616"/>
      <c r="N27" s="1616"/>
      <c r="O27" s="1616"/>
      <c r="P27" s="1616"/>
      <c r="Q27" s="1616"/>
      <c r="R27" s="1616"/>
      <c r="S27" s="1616"/>
      <c r="T27" s="1616"/>
      <c r="U27" s="1616"/>
      <c r="V27" s="1616"/>
      <c r="W27" s="1616"/>
      <c r="X27" s="1616"/>
      <c r="Y27" s="1616"/>
      <c r="Z27" s="112"/>
      <c r="AA27" s="1123"/>
      <c r="AB27" s="1123"/>
      <c r="AC27" s="1123"/>
      <c r="AD27" s="129" t="s">
        <v>1799</v>
      </c>
    </row>
    <row r="28" spans="1:35" x14ac:dyDescent="0.35">
      <c r="A28" s="113"/>
      <c r="C28" s="1616">
        <v>2021</v>
      </c>
      <c r="D28" s="1616"/>
      <c r="E28" s="1616"/>
      <c r="F28" s="1616"/>
      <c r="G28" s="1616"/>
      <c r="H28" s="1616"/>
      <c r="I28" s="1616"/>
      <c r="J28" s="1616"/>
      <c r="K28" s="1616"/>
      <c r="L28" s="1616"/>
      <c r="M28" s="1616"/>
      <c r="N28" s="1616"/>
      <c r="O28" s="1616">
        <v>2022</v>
      </c>
      <c r="P28" s="1616"/>
      <c r="Q28" s="1616"/>
      <c r="R28" s="1616"/>
      <c r="S28" s="1616"/>
      <c r="T28" s="1616"/>
      <c r="U28" s="1616"/>
      <c r="V28" s="1616"/>
      <c r="W28" s="1616"/>
      <c r="X28" s="1616"/>
      <c r="Y28" s="1616"/>
      <c r="Z28" s="112"/>
      <c r="AA28" s="1123"/>
      <c r="AB28" s="1123"/>
      <c r="AC28" s="1123"/>
      <c r="AD28" s="129"/>
      <c r="AE28" s="35"/>
      <c r="AF28" s="35"/>
      <c r="AG28" s="35"/>
    </row>
    <row r="29" spans="1:35" x14ac:dyDescent="0.35">
      <c r="A29" s="113"/>
      <c r="C29" s="114" t="s">
        <v>1754</v>
      </c>
      <c r="D29" s="114" t="s">
        <v>1755</v>
      </c>
      <c r="E29" s="114" t="s">
        <v>1756</v>
      </c>
      <c r="F29" s="114" t="s">
        <v>1757</v>
      </c>
      <c r="G29" s="114" t="s">
        <v>1758</v>
      </c>
      <c r="H29" s="114" t="s">
        <v>1759</v>
      </c>
      <c r="I29" s="114" t="s">
        <v>1760</v>
      </c>
      <c r="J29" s="114" t="s">
        <v>1761</v>
      </c>
      <c r="K29" s="114" t="s">
        <v>1762</v>
      </c>
      <c r="L29" s="114" t="s">
        <v>1763</v>
      </c>
      <c r="M29" s="114" t="s">
        <v>1764</v>
      </c>
      <c r="N29" s="114" t="s">
        <v>1765</v>
      </c>
      <c r="O29" s="114" t="s">
        <v>1754</v>
      </c>
      <c r="P29" s="114" t="s">
        <v>1755</v>
      </c>
      <c r="Q29" s="114" t="s">
        <v>1756</v>
      </c>
      <c r="R29" s="114" t="s">
        <v>1757</v>
      </c>
      <c r="S29" s="114" t="s">
        <v>1758</v>
      </c>
      <c r="T29" s="114" t="s">
        <v>1759</v>
      </c>
      <c r="U29" s="114" t="s">
        <v>1760</v>
      </c>
      <c r="V29" s="114" t="s">
        <v>1761</v>
      </c>
      <c r="W29" s="114" t="s">
        <v>1762</v>
      </c>
      <c r="X29" s="114" t="s">
        <v>1763</v>
      </c>
      <c r="Y29" s="114" t="s">
        <v>1764</v>
      </c>
      <c r="Z29" s="116"/>
      <c r="AA29" s="116"/>
      <c r="AB29" s="116"/>
      <c r="AC29" s="116"/>
      <c r="AD29" s="122" t="s">
        <v>1765</v>
      </c>
      <c r="AE29" s="119" t="s">
        <v>1754</v>
      </c>
      <c r="AF29" s="119" t="s">
        <v>1755</v>
      </c>
      <c r="AG29" s="35"/>
      <c r="AH29" s="131" t="s">
        <v>1795</v>
      </c>
      <c r="AI29" s="35"/>
    </row>
    <row r="30" spans="1:35" x14ac:dyDescent="0.35">
      <c r="A30" s="113"/>
      <c r="B30" s="74" t="s">
        <v>1767</v>
      </c>
      <c r="D30" s="120">
        <f>(D8/C8)^(12)-1</f>
        <v>4.1042680162006073E-2</v>
      </c>
      <c r="E30" s="120">
        <f t="shared" ref="E30:Z30" si="0">(E8/D8)^(12)-1</f>
        <v>7.3656770386894443E-2</v>
      </c>
      <c r="F30" s="120">
        <f t="shared" si="0"/>
        <v>6.5906931976990268E-2</v>
      </c>
      <c r="G30" s="120">
        <f t="shared" si="0"/>
        <v>6.2766918615354106E-2</v>
      </c>
      <c r="H30" s="120">
        <f t="shared" si="0"/>
        <v>6.8865947836563857E-2</v>
      </c>
      <c r="I30" s="120">
        <f t="shared" si="0"/>
        <v>5.6278625527978576E-2</v>
      </c>
      <c r="J30" s="120">
        <f t="shared" si="0"/>
        <v>4.8427810693439044E-2</v>
      </c>
      <c r="K30" s="120">
        <f t="shared" si="0"/>
        <v>3.8163290994450927E-2</v>
      </c>
      <c r="L30" s="120">
        <f t="shared" si="0"/>
        <v>7.1153811599884431E-2</v>
      </c>
      <c r="M30" s="120">
        <f t="shared" si="0"/>
        <v>7.6184730021106928E-2</v>
      </c>
      <c r="N30" s="120">
        <f t="shared" si="0"/>
        <v>6.7052658631531425E-2</v>
      </c>
      <c r="O30" s="120">
        <f t="shared" si="0"/>
        <v>6.5288334451285346E-2</v>
      </c>
      <c r="P30" s="120">
        <f t="shared" si="0"/>
        <v>7.3586210362064142E-2</v>
      </c>
      <c r="Q30" s="120">
        <f t="shared" si="0"/>
        <v>0.12029425742902733</v>
      </c>
      <c r="R30" s="120">
        <f t="shared" si="0"/>
        <v>2.420085779508252E-2</v>
      </c>
      <c r="S30" s="120">
        <f t="shared" si="0"/>
        <v>7.5228018520828943E-2</v>
      </c>
      <c r="T30" s="120">
        <f t="shared" si="0"/>
        <v>0.12562146420345077</v>
      </c>
      <c r="U30" s="120">
        <f t="shared" si="0"/>
        <v>-1.1115964136614309E-2</v>
      </c>
      <c r="V30" s="120">
        <f t="shared" si="0"/>
        <v>3.26679483742216E-2</v>
      </c>
      <c r="W30" s="120">
        <f t="shared" si="0"/>
        <v>4.210788235244034E-2</v>
      </c>
      <c r="X30" s="120">
        <f t="shared" si="0"/>
        <v>5.1636687680589599E-2</v>
      </c>
      <c r="Y30" s="120">
        <f t="shared" si="0"/>
        <v>2.069487618320931E-2</v>
      </c>
      <c r="Z30" s="120">
        <f t="shared" si="0"/>
        <v>2.4484035138147453E-2</v>
      </c>
      <c r="AA30" s="120">
        <f t="shared" ref="AA30" si="1">(AA8/Z8)^(12)-1</f>
        <v>7.5054593076753884E-2</v>
      </c>
      <c r="AB30" s="120">
        <f t="shared" ref="AB30" si="2">(AB8/AA8)^(12)-1</f>
        <v>3.6728639403075913E-2</v>
      </c>
      <c r="AC30" s="120">
        <f t="shared" ref="AC30" si="3">(AC8/AB8)^(12)-1</f>
        <v>9.1610433133770819E-3</v>
      </c>
      <c r="AD30" s="126">
        <f>AH30</f>
        <v>2.2499999999999999E-2</v>
      </c>
      <c r="AE30" s="126">
        <f>AD30</f>
        <v>2.2499999999999999E-2</v>
      </c>
      <c r="AF30" s="126">
        <f>AE30</f>
        <v>2.2499999999999999E-2</v>
      </c>
      <c r="AG30" s="35"/>
      <c r="AH30" s="130">
        <v>2.2499999999999999E-2</v>
      </c>
      <c r="AI30" s="35" t="s">
        <v>1796</v>
      </c>
    </row>
    <row r="31" spans="1:35" x14ac:dyDescent="0.35">
      <c r="A31" s="113"/>
      <c r="B31" s="74" t="s">
        <v>1769</v>
      </c>
      <c r="D31" s="120">
        <f t="shared" ref="D31:Y31" si="4">(D9/C9)^(12)-1</f>
        <v>4.7852702682074089E-2</v>
      </c>
      <c r="E31" s="120">
        <f t="shared" si="4"/>
        <v>9.3990376547193E-2</v>
      </c>
      <c r="F31" s="120">
        <f t="shared" si="4"/>
        <v>9.0157721904044807E-2</v>
      </c>
      <c r="G31" s="120">
        <f t="shared" si="4"/>
        <v>9.7937681358029272E-2</v>
      </c>
      <c r="H31" s="120">
        <f t="shared" si="4"/>
        <v>0.10571994524004813</v>
      </c>
      <c r="I31" s="120">
        <f t="shared" si="4"/>
        <v>5.9314030950316399E-2</v>
      </c>
      <c r="J31" s="120">
        <f t="shared" si="4"/>
        <v>7.4559369880963899E-2</v>
      </c>
      <c r="K31" s="120">
        <f t="shared" si="4"/>
        <v>4.8439393408400866E-2</v>
      </c>
      <c r="L31" s="120">
        <f t="shared" si="4"/>
        <v>0.13669129570635752</v>
      </c>
      <c r="M31" s="120">
        <f t="shared" si="4"/>
        <v>8.8006180889502517E-2</v>
      </c>
      <c r="N31" s="120">
        <f t="shared" si="4"/>
        <v>8.1786027991030075E-2</v>
      </c>
      <c r="O31" s="120">
        <f t="shared" si="4"/>
        <v>0.11461082577636561</v>
      </c>
      <c r="P31" s="120">
        <f t="shared" si="4"/>
        <v>0.15488876520850492</v>
      </c>
      <c r="Q31" s="120">
        <f t="shared" si="4"/>
        <v>0.23243408487920147</v>
      </c>
      <c r="R31" s="120">
        <f t="shared" si="4"/>
        <v>-2.0953115354990115E-2</v>
      </c>
      <c r="S31" s="120">
        <f t="shared" si="4"/>
        <v>0.11512974514483676</v>
      </c>
      <c r="T31" s="120">
        <f t="shared" si="4"/>
        <v>0.21267713141662403</v>
      </c>
      <c r="U31" s="120">
        <f t="shared" si="4"/>
        <v>-5.0673511435372243E-2</v>
      </c>
      <c r="V31" s="120">
        <f t="shared" si="4"/>
        <v>-3.967131618295705E-2</v>
      </c>
      <c r="W31" s="120">
        <f t="shared" si="4"/>
        <v>-1.2009165772774555E-2</v>
      </c>
      <c r="X31" s="120">
        <f t="shared" si="4"/>
        <v>4.6890556347868095E-2</v>
      </c>
      <c r="Y31" s="120">
        <f t="shared" si="4"/>
        <v>-2.8348579378049577E-2</v>
      </c>
      <c r="Z31" s="120">
        <f t="shared" ref="Z31:Z40" si="5">(Z9/Y9)^(12)-1</f>
        <v>-5.8921485893165593E-2</v>
      </c>
      <c r="AA31" s="120">
        <f t="shared" ref="AA31:AA40" si="6">(AA9/Z9)^(12)-1</f>
        <v>7.1351289811239393E-2</v>
      </c>
      <c r="AB31" s="120">
        <f t="shared" ref="AB31:AB40" si="7">(AB9/AA9)^(12)-1</f>
        <v>1.7963345874943082E-2</v>
      </c>
      <c r="AC31" s="120">
        <f t="shared" ref="AC31:AC40" si="8">(AC9/AB9)^(12)-1</f>
        <v>-2.6200318561481417E-2</v>
      </c>
      <c r="AD31" s="35"/>
      <c r="AE31" s="35"/>
      <c r="AF31" s="35"/>
      <c r="AG31" s="35"/>
    </row>
    <row r="32" spans="1:35" x14ac:dyDescent="0.35">
      <c r="A32" s="113"/>
      <c r="B32" t="s">
        <v>1771</v>
      </c>
      <c r="D32" s="120">
        <f t="shared" ref="D32:Y32" si="9">(D10/C10)^(12)-1</f>
        <v>-7.5664718995666069E-3</v>
      </c>
      <c r="E32" s="120">
        <f t="shared" si="9"/>
        <v>4.266850819250112E-2</v>
      </c>
      <c r="F32" s="120">
        <f t="shared" si="9"/>
        <v>0.21660917290096582</v>
      </c>
      <c r="G32" s="120">
        <f t="shared" si="9"/>
        <v>0.22430559919810955</v>
      </c>
      <c r="H32" s="120">
        <f t="shared" si="9"/>
        <v>0.17511874187668353</v>
      </c>
      <c r="I32" s="120">
        <f t="shared" si="9"/>
        <v>3.795797382041366E-2</v>
      </c>
      <c r="J32" s="120">
        <f t="shared" si="9"/>
        <v>0.11183831318895598</v>
      </c>
      <c r="K32" s="120">
        <f t="shared" si="9"/>
        <v>1.4506155653571495E-2</v>
      </c>
      <c r="L32" s="120">
        <f t="shared" si="9"/>
        <v>0.12618431747599668</v>
      </c>
      <c r="M32" s="120">
        <f t="shared" si="9"/>
        <v>5.2044800480764541E-2</v>
      </c>
      <c r="N32" s="120">
        <f t="shared" si="9"/>
        <v>0.12175758567831618</v>
      </c>
      <c r="O32" s="120">
        <f t="shared" si="9"/>
        <v>0.14983582216551206</v>
      </c>
      <c r="P32" s="120">
        <f t="shared" si="9"/>
        <v>2.0721604560002937E-2</v>
      </c>
      <c r="Q32" s="120">
        <f t="shared" si="9"/>
        <v>-2.0423555429524787E-2</v>
      </c>
      <c r="R32" s="120">
        <f t="shared" si="9"/>
        <v>2.0721822738088314E-2</v>
      </c>
      <c r="S32" s="120">
        <f t="shared" si="9"/>
        <v>4.6313416239633698E-2</v>
      </c>
      <c r="T32" s="120">
        <f t="shared" si="9"/>
        <v>8.9626684643578036E-2</v>
      </c>
      <c r="U32" s="120">
        <f t="shared" si="9"/>
        <v>-2.564874569369624E-2</v>
      </c>
      <c r="V32" s="120">
        <f t="shared" si="9"/>
        <v>5.9403258043756235E-2</v>
      </c>
      <c r="W32" s="120">
        <f t="shared" si="9"/>
        <v>5.49603210423244E-2</v>
      </c>
      <c r="X32" s="120">
        <f t="shared" si="9"/>
        <v>-4.6003053620363055E-2</v>
      </c>
      <c r="Y32" s="120">
        <f t="shared" si="9"/>
        <v>-6.5812820086126544E-2</v>
      </c>
      <c r="Z32" s="120">
        <f t="shared" si="5"/>
        <v>-2.6437717358451018E-2</v>
      </c>
      <c r="AA32" s="120">
        <f t="shared" si="6"/>
        <v>3.1235707629461151E-2</v>
      </c>
      <c r="AB32" s="120">
        <f t="shared" si="7"/>
        <v>-2.1462238588199289E-2</v>
      </c>
      <c r="AC32" s="120">
        <f t="shared" si="8"/>
        <v>-9.6360983053074278E-3</v>
      </c>
      <c r="AD32" s="35"/>
      <c r="AE32" s="35"/>
      <c r="AF32" s="35"/>
      <c r="AG32" s="35"/>
    </row>
    <row r="33" spans="1:45" x14ac:dyDescent="0.35">
      <c r="A33" s="113"/>
      <c r="B33" t="s">
        <v>1773</v>
      </c>
      <c r="D33" s="120">
        <f t="shared" ref="D33:Y33" si="10">(D11/C11)^(12)-1</f>
        <v>8.2695991789366596E-2</v>
      </c>
      <c r="E33" s="120">
        <f t="shared" si="10"/>
        <v>0.12767152587874242</v>
      </c>
      <c r="F33" s="120">
        <f t="shared" si="10"/>
        <v>1.8604492954842566E-2</v>
      </c>
      <c r="G33" s="120">
        <f t="shared" si="10"/>
        <v>2.6650380476038515E-2</v>
      </c>
      <c r="H33" s="120">
        <f t="shared" si="10"/>
        <v>6.6132646674121442E-2</v>
      </c>
      <c r="I33" s="120">
        <f t="shared" si="10"/>
        <v>7.2623275591077174E-2</v>
      </c>
      <c r="J33" s="120">
        <f t="shared" si="10"/>
        <v>5.3583270512252978E-2</v>
      </c>
      <c r="K33" s="120">
        <f t="shared" si="10"/>
        <v>6.8776834563306188E-2</v>
      </c>
      <c r="L33" s="120">
        <f t="shared" si="10"/>
        <v>0.14311748267808033</v>
      </c>
      <c r="M33" s="120">
        <f t="shared" si="10"/>
        <v>0.10977507787605911</v>
      </c>
      <c r="N33" s="120">
        <f t="shared" si="10"/>
        <v>5.8392835152005329E-2</v>
      </c>
      <c r="O33" s="120">
        <f t="shared" si="10"/>
        <v>9.3125815044879046E-2</v>
      </c>
      <c r="P33" s="120">
        <f t="shared" si="10"/>
        <v>0.24399595906104432</v>
      </c>
      <c r="Q33" s="120">
        <f t="shared" si="10"/>
        <v>0.41060581771805249</v>
      </c>
      <c r="R33" s="120">
        <f t="shared" si="10"/>
        <v>-4.4176592701257844E-2</v>
      </c>
      <c r="S33" s="120">
        <f t="shared" si="10"/>
        <v>0.15773089650212335</v>
      </c>
      <c r="T33" s="120">
        <f t="shared" si="10"/>
        <v>0.28927082760345146</v>
      </c>
      <c r="U33" s="120">
        <f t="shared" si="10"/>
        <v>-6.4558713318927374E-2</v>
      </c>
      <c r="V33" s="120">
        <f t="shared" si="10"/>
        <v>-9.2612769739008449E-2</v>
      </c>
      <c r="W33" s="120">
        <f t="shared" si="10"/>
        <v>-4.8917116413696671E-2</v>
      </c>
      <c r="X33" s="120">
        <f t="shared" si="10"/>
        <v>0.10493433995854673</v>
      </c>
      <c r="Y33" s="120">
        <f t="shared" si="10"/>
        <v>-6.3554418254898604E-3</v>
      </c>
      <c r="Z33" s="120">
        <f t="shared" si="5"/>
        <v>-7.6917172427250269E-2</v>
      </c>
      <c r="AA33" s="120">
        <f t="shared" si="6"/>
        <v>9.5164261606219602E-2</v>
      </c>
      <c r="AB33" s="120">
        <f t="shared" si="7"/>
        <v>4.193977703424201E-2</v>
      </c>
      <c r="AC33" s="120">
        <f t="shared" si="8"/>
        <v>-3.57307062296911E-2</v>
      </c>
      <c r="AD33" s="35"/>
      <c r="AE33" s="35"/>
      <c r="AF33" s="35"/>
      <c r="AG33" s="35"/>
    </row>
    <row r="34" spans="1:45" x14ac:dyDescent="0.35">
      <c r="A34" s="113"/>
      <c r="B34" s="74" t="s">
        <v>1775</v>
      </c>
      <c r="D34" s="120">
        <f t="shared" ref="D34:Y34" si="11">(D12/C12)^(12)-1</f>
        <v>3.799005764470742E-2</v>
      </c>
      <c r="E34" s="120">
        <f t="shared" si="11"/>
        <v>6.3357467016105451E-2</v>
      </c>
      <c r="F34" s="120">
        <f t="shared" si="11"/>
        <v>5.3247298586749592E-2</v>
      </c>
      <c r="G34" s="120">
        <f t="shared" si="11"/>
        <v>4.4575363388868805E-2</v>
      </c>
      <c r="H34" s="120">
        <f t="shared" si="11"/>
        <v>4.9972978556659831E-2</v>
      </c>
      <c r="I34" s="120">
        <f t="shared" si="11"/>
        <v>5.4824632504445026E-2</v>
      </c>
      <c r="J34" s="120">
        <f t="shared" si="11"/>
        <v>3.5260241342689014E-2</v>
      </c>
      <c r="K34" s="120">
        <f t="shared" si="11"/>
        <v>3.2982422405918088E-2</v>
      </c>
      <c r="L34" s="120">
        <f t="shared" si="11"/>
        <v>3.8518945643091884E-2</v>
      </c>
      <c r="M34" s="120">
        <f t="shared" si="11"/>
        <v>7.0201828642715958E-2</v>
      </c>
      <c r="N34" s="120">
        <f t="shared" si="11"/>
        <v>5.9557137704392193E-2</v>
      </c>
      <c r="O34" s="120">
        <f t="shared" si="11"/>
        <v>4.0235293867976862E-2</v>
      </c>
      <c r="P34" s="120">
        <f t="shared" si="11"/>
        <v>3.2719520059437901E-2</v>
      </c>
      <c r="Q34" s="120">
        <f t="shared" si="11"/>
        <v>6.514144593018778E-2</v>
      </c>
      <c r="R34" s="120">
        <f t="shared" si="11"/>
        <v>4.8996160643866915E-2</v>
      </c>
      <c r="S34" s="120">
        <f t="shared" si="11"/>
        <v>5.4828192396408904E-2</v>
      </c>
      <c r="T34" s="120">
        <f t="shared" si="11"/>
        <v>8.2382919779997899E-2</v>
      </c>
      <c r="U34" s="120">
        <f t="shared" si="11"/>
        <v>1.052200975220785E-2</v>
      </c>
      <c r="V34" s="120">
        <f t="shared" si="11"/>
        <v>7.2610468750667234E-2</v>
      </c>
      <c r="W34" s="120">
        <f t="shared" si="11"/>
        <v>7.1201730649114836E-2</v>
      </c>
      <c r="X34" s="120">
        <f t="shared" si="11"/>
        <v>5.4000530427643412E-2</v>
      </c>
      <c r="Y34" s="120">
        <f t="shared" si="11"/>
        <v>4.6861630489144268E-2</v>
      </c>
      <c r="Z34" s="120">
        <f t="shared" si="5"/>
        <v>6.9133002119001752E-2</v>
      </c>
      <c r="AA34" s="120">
        <f t="shared" si="6"/>
        <v>7.7040417063483746E-2</v>
      </c>
      <c r="AB34" s="120">
        <f t="shared" si="7"/>
        <v>4.6586002884273725E-2</v>
      </c>
      <c r="AC34" s="120">
        <f t="shared" si="8"/>
        <v>2.7539028507894026E-2</v>
      </c>
      <c r="AD34" s="35"/>
      <c r="AE34" s="35"/>
      <c r="AF34" s="35"/>
      <c r="AG34" s="35"/>
    </row>
    <row r="35" spans="1:45" x14ac:dyDescent="0.35">
      <c r="A35" s="113"/>
      <c r="B35" t="s">
        <v>1776</v>
      </c>
      <c r="D35" s="120"/>
      <c r="E35" s="120"/>
      <c r="F35" s="120"/>
      <c r="G35" s="120"/>
      <c r="H35" s="120"/>
      <c r="I35" s="120"/>
      <c r="J35" s="120"/>
      <c r="K35" s="120"/>
      <c r="L35" s="120"/>
      <c r="M35" s="120"/>
      <c r="N35" s="120"/>
      <c r="O35" s="120"/>
      <c r="P35" s="120"/>
      <c r="Q35" s="120"/>
      <c r="R35" s="120"/>
      <c r="S35" s="120"/>
      <c r="T35" s="120"/>
      <c r="U35" s="120"/>
      <c r="V35" s="120"/>
      <c r="W35" s="120"/>
      <c r="X35" s="120"/>
      <c r="Y35" s="120"/>
      <c r="Z35" s="120"/>
      <c r="AA35" s="120"/>
      <c r="AB35" s="120"/>
      <c r="AC35" s="120"/>
      <c r="AD35" s="35"/>
      <c r="AE35" s="35"/>
      <c r="AF35" s="35"/>
      <c r="AG35" s="35"/>
    </row>
    <row r="36" spans="1:45" x14ac:dyDescent="0.35">
      <c r="A36" s="113"/>
      <c r="B36" t="s">
        <v>1778</v>
      </c>
      <c r="D36" s="120">
        <f t="shared" ref="D36:Y36" si="12">(D14/C14)^(12)-1</f>
        <v>2.0365029271033563E-2</v>
      </c>
      <c r="E36" s="120">
        <f t="shared" si="12"/>
        <v>5.1482879592318564E-2</v>
      </c>
      <c r="F36" s="120">
        <f t="shared" si="12"/>
        <v>7.8455869418629476E-2</v>
      </c>
      <c r="G36" s="120">
        <f t="shared" si="12"/>
        <v>6.3869668258956791E-2</v>
      </c>
      <c r="H36" s="120">
        <f t="shared" si="12"/>
        <v>5.9299303350246912E-2</v>
      </c>
      <c r="I36" s="120">
        <f t="shared" si="12"/>
        <v>4.8280221057496409E-2</v>
      </c>
      <c r="J36" s="120">
        <f t="shared" si="12"/>
        <v>4.0244717542295305E-2</v>
      </c>
      <c r="K36" s="120">
        <f t="shared" si="12"/>
        <v>2.5366582122491321E-2</v>
      </c>
      <c r="L36" s="120">
        <f t="shared" si="12"/>
        <v>5.0046228788346303E-2</v>
      </c>
      <c r="M36" s="120">
        <f t="shared" si="12"/>
        <v>6.3742717313237662E-2</v>
      </c>
      <c r="N36" s="120">
        <f t="shared" si="12"/>
        <v>6.7235583186497916E-2</v>
      </c>
      <c r="O36" s="120">
        <f t="shared" si="12"/>
        <v>5.8206208718552199E-2</v>
      </c>
      <c r="P36" s="120">
        <f t="shared" si="12"/>
        <v>4.5023417871011384E-2</v>
      </c>
      <c r="Q36" s="120">
        <f t="shared" si="12"/>
        <v>4.5061307418852836E-2</v>
      </c>
      <c r="R36" s="120">
        <f t="shared" si="12"/>
        <v>3.8032941434556822E-2</v>
      </c>
      <c r="S36" s="120">
        <f t="shared" si="12"/>
        <v>4.59795327686916E-2</v>
      </c>
      <c r="T36" s="120">
        <f t="shared" si="12"/>
        <v>7.8099579395199514E-2</v>
      </c>
      <c r="U36" s="120">
        <f t="shared" si="12"/>
        <v>9.1900192457399221E-3</v>
      </c>
      <c r="V36" s="120">
        <f t="shared" si="12"/>
        <v>6.8091840581138374E-2</v>
      </c>
      <c r="W36" s="120">
        <f t="shared" si="12"/>
        <v>5.7173674500435201E-2</v>
      </c>
      <c r="X36" s="120">
        <f t="shared" si="12"/>
        <v>3.8311079921447E-2</v>
      </c>
      <c r="Y36" s="120">
        <f t="shared" si="12"/>
        <v>2.711569817897308E-2</v>
      </c>
      <c r="Z36" s="120">
        <f t="shared" si="5"/>
        <v>4.5861099539790118E-2</v>
      </c>
      <c r="AA36" s="120">
        <f t="shared" si="6"/>
        <v>6.9189394250022351E-2</v>
      </c>
      <c r="AB36" s="120">
        <f t="shared" si="7"/>
        <v>4.2465846880722413E-2</v>
      </c>
      <c r="AC36" s="120">
        <f t="shared" si="8"/>
        <v>3.4191896359550666E-2</v>
      </c>
      <c r="AD36" s="35"/>
      <c r="AE36" s="35"/>
      <c r="AF36" s="35"/>
      <c r="AG36" s="35"/>
    </row>
    <row r="37" spans="1:45" x14ac:dyDescent="0.35">
      <c r="A37" s="113"/>
      <c r="B37" t="s">
        <v>1780</v>
      </c>
      <c r="D37" s="120">
        <f t="shared" ref="D37:Y37" si="13">(D15/C15)^(12)-1</f>
        <v>3.2938266631028057E-2</v>
      </c>
      <c r="E37" s="120">
        <f t="shared" si="13"/>
        <v>2.7644192136645263E-2</v>
      </c>
      <c r="F37" s="120">
        <f t="shared" si="13"/>
        <v>4.1858943940387805E-2</v>
      </c>
      <c r="G37" s="120">
        <f t="shared" si="13"/>
        <v>3.9216252076649472E-2</v>
      </c>
      <c r="H37" s="120">
        <f t="shared" si="13"/>
        <v>7.7351472587609216E-2</v>
      </c>
      <c r="I37" s="120">
        <f t="shared" si="13"/>
        <v>7.2917349757494865E-2</v>
      </c>
      <c r="J37" s="120">
        <f t="shared" si="13"/>
        <v>5.0954570797017595E-2</v>
      </c>
      <c r="K37" s="120">
        <f t="shared" si="13"/>
        <v>0.13212657821659612</v>
      </c>
      <c r="L37" s="120">
        <f t="shared" si="13"/>
        <v>9.1607223976764907E-2</v>
      </c>
      <c r="M37" s="120">
        <f t="shared" si="13"/>
        <v>7.9658361080225948E-2</v>
      </c>
      <c r="N37" s="120">
        <f t="shared" si="13"/>
        <v>3.8604886098567048E-2</v>
      </c>
      <c r="O37" s="120">
        <f t="shared" si="13"/>
        <v>0.10881760422644993</v>
      </c>
      <c r="P37" s="120">
        <f t="shared" si="13"/>
        <v>0.18615381389271946</v>
      </c>
      <c r="Q37" s="120">
        <f t="shared" si="13"/>
        <v>0.17642464112952694</v>
      </c>
      <c r="R37" s="120">
        <f t="shared" si="13"/>
        <v>0.1336786180791798</v>
      </c>
      <c r="S37" s="120">
        <f t="shared" si="13"/>
        <v>0.15771379938119745</v>
      </c>
      <c r="T37" s="120">
        <f t="shared" si="13"/>
        <v>0.12523398845374589</v>
      </c>
      <c r="U37" s="120">
        <f t="shared" si="13"/>
        <v>0.16431889623926255</v>
      </c>
      <c r="V37" s="120">
        <f t="shared" si="13"/>
        <v>9.6981521654441627E-2</v>
      </c>
      <c r="W37" s="120">
        <f t="shared" si="13"/>
        <v>7.692418537218737E-2</v>
      </c>
      <c r="X37" s="120">
        <f t="shared" si="13"/>
        <v>6.6218038443607519E-2</v>
      </c>
      <c r="Y37" s="120">
        <f t="shared" si="13"/>
        <v>6.0060957854831454E-2</v>
      </c>
      <c r="Z37" s="120">
        <f t="shared" si="5"/>
        <v>4.9301239244823991E-2</v>
      </c>
      <c r="AA37" s="120">
        <f t="shared" si="6"/>
        <v>4.8512742260487629E-2</v>
      </c>
      <c r="AB37" s="120">
        <f t="shared" si="7"/>
        <v>2.5852726189614428E-2</v>
      </c>
      <c r="AC37" s="120">
        <f t="shared" si="8"/>
        <v>-2.2835098931114461E-2</v>
      </c>
      <c r="AD37" s="35"/>
      <c r="AE37" s="35"/>
      <c r="AF37" s="35"/>
      <c r="AG37" s="35"/>
    </row>
    <row r="38" spans="1:45" x14ac:dyDescent="0.35">
      <c r="B38" t="s">
        <v>1782</v>
      </c>
      <c r="D38" s="120">
        <f t="shared" ref="D38:Y38" si="14">(D16/C16)^(12)-1</f>
        <v>0.72291569588284976</v>
      </c>
      <c r="E38" s="120">
        <f t="shared" si="14"/>
        <v>0.90652914977426202</v>
      </c>
      <c r="F38" s="120">
        <f t="shared" si="14"/>
        <v>-0.15058784271851389</v>
      </c>
      <c r="G38" s="120">
        <f t="shared" si="14"/>
        <v>8.2415570773829439E-2</v>
      </c>
      <c r="H38" s="120">
        <f t="shared" si="14"/>
        <v>0.288212400240214</v>
      </c>
      <c r="I38" s="120">
        <f t="shared" si="14"/>
        <v>0.21557014107504702</v>
      </c>
      <c r="J38" s="120">
        <f t="shared" si="14"/>
        <v>0.24101686665685773</v>
      </c>
      <c r="K38" s="120">
        <f t="shared" si="14"/>
        <v>0.15251650157315622</v>
      </c>
      <c r="L38" s="120">
        <f t="shared" si="14"/>
        <v>0.58970721346460908</v>
      </c>
      <c r="M38" s="120">
        <f t="shared" si="14"/>
        <v>0.36760042472255372</v>
      </c>
      <c r="N38" s="120">
        <f t="shared" si="14"/>
        <v>0.11505581871805415</v>
      </c>
      <c r="O38" s="120">
        <f t="shared" si="14"/>
        <v>0.13924164278085938</v>
      </c>
      <c r="P38" s="120">
        <f t="shared" si="14"/>
        <v>0.56395992753520474</v>
      </c>
      <c r="Q38" s="120">
        <f t="shared" si="14"/>
        <v>2.8844246570707157</v>
      </c>
      <c r="R38" s="120">
        <f t="shared" si="14"/>
        <v>-0.31338167549989293</v>
      </c>
      <c r="S38" s="120">
        <f t="shared" si="14"/>
        <v>0.59110874420150306</v>
      </c>
      <c r="T38" s="120">
        <f t="shared" si="14"/>
        <v>1.4194714937063813</v>
      </c>
      <c r="U38" s="120">
        <f t="shared" si="14"/>
        <v>-0.45413379038575985</v>
      </c>
      <c r="V38" s="120">
        <f t="shared" si="14"/>
        <v>-0.50057237216762762</v>
      </c>
      <c r="W38" s="120">
        <f t="shared" si="14"/>
        <v>-0.25306540672645772</v>
      </c>
      <c r="X38" s="120">
        <f t="shared" si="14"/>
        <v>0.3174926330617307</v>
      </c>
      <c r="Y38" s="120">
        <f t="shared" si="14"/>
        <v>-0.15416208358870942</v>
      </c>
      <c r="Z38" s="120">
        <f t="shared" si="5"/>
        <v>-0.35294353176183635</v>
      </c>
      <c r="AA38" s="120">
        <f t="shared" si="6"/>
        <v>0.25546966332679855</v>
      </c>
      <c r="AB38" s="120">
        <f t="shared" si="7"/>
        <v>-6.2551443476390634E-2</v>
      </c>
      <c r="AC38" s="120">
        <f t="shared" si="8"/>
        <v>-0.36463804889861851</v>
      </c>
      <c r="AD38" s="35"/>
      <c r="AE38" s="35"/>
      <c r="AF38" s="35"/>
      <c r="AG38" s="35"/>
    </row>
    <row r="39" spans="1:45" x14ac:dyDescent="0.35">
      <c r="B39" t="s">
        <v>1784</v>
      </c>
      <c r="D39" s="120">
        <f t="shared" ref="D39:Y39" si="15">(D17/C17)^(12)-1</f>
        <v>4.9558680616075268E-2</v>
      </c>
      <c r="E39" s="120">
        <f t="shared" si="15"/>
        <v>7.3057516618111329E-2</v>
      </c>
      <c r="F39" s="120">
        <f t="shared" si="15"/>
        <v>5.2460099709424668E-2</v>
      </c>
      <c r="G39" s="120">
        <f t="shared" si="15"/>
        <v>5.381520289141295E-2</v>
      </c>
      <c r="H39" s="120">
        <f t="shared" si="15"/>
        <v>6.1601799694704917E-2</v>
      </c>
      <c r="I39" s="120">
        <f t="shared" si="15"/>
        <v>5.7681609776136566E-2</v>
      </c>
      <c r="J39" s="120">
        <f t="shared" si="15"/>
        <v>4.38284003771372E-2</v>
      </c>
      <c r="K39" s="120">
        <f t="shared" si="15"/>
        <v>3.4557210756703594E-2</v>
      </c>
      <c r="L39" s="120">
        <f t="shared" si="15"/>
        <v>8.2095552588947074E-2</v>
      </c>
      <c r="M39" s="120">
        <f t="shared" si="15"/>
        <v>6.5737761414305318E-2</v>
      </c>
      <c r="N39" s="120">
        <f t="shared" si="15"/>
        <v>6.4384017739507859E-2</v>
      </c>
      <c r="O39" s="120">
        <f t="shared" si="15"/>
        <v>7.2983192326654178E-2</v>
      </c>
      <c r="P39" s="120">
        <f t="shared" si="15"/>
        <v>9.2871760771986445E-2</v>
      </c>
      <c r="Q39" s="120">
        <f t="shared" si="15"/>
        <v>0.13826855618806144</v>
      </c>
      <c r="R39" s="120">
        <f t="shared" si="15"/>
        <v>1.8616650926342571E-2</v>
      </c>
      <c r="S39" s="120">
        <f t="shared" si="15"/>
        <v>8.4202927885562273E-2</v>
      </c>
      <c r="T39" s="120">
        <f t="shared" si="15"/>
        <v>0.13505054386395821</v>
      </c>
      <c r="U39" s="120">
        <f t="shared" si="15"/>
        <v>-1.9888782007158046E-3</v>
      </c>
      <c r="V39" s="120">
        <f t="shared" si="15"/>
        <v>1.8775735947116345E-2</v>
      </c>
      <c r="W39" s="120">
        <f t="shared" si="15"/>
        <v>3.6067570244965097E-2</v>
      </c>
      <c r="X39" s="120">
        <f t="shared" si="15"/>
        <v>5.8079358130883163E-2</v>
      </c>
      <c r="Y39" s="120">
        <f t="shared" si="15"/>
        <v>8.714830090509107E-3</v>
      </c>
      <c r="Z39" s="120">
        <f t="shared" si="5"/>
        <v>2.3813658492676471E-2</v>
      </c>
      <c r="AA39" s="120">
        <f t="shared" si="6"/>
        <v>6.887957581333648E-2</v>
      </c>
      <c r="AB39" s="120">
        <f t="shared" si="7"/>
        <v>4.1972791287924194E-2</v>
      </c>
      <c r="AC39" s="120">
        <f t="shared" si="8"/>
        <v>1.7393792285151699E-2</v>
      </c>
      <c r="AD39" s="35"/>
      <c r="AE39" s="35"/>
      <c r="AF39" s="35"/>
      <c r="AG39" s="35"/>
    </row>
    <row r="40" spans="1:45" x14ac:dyDescent="0.35">
      <c r="B40" t="s">
        <v>1786</v>
      </c>
      <c r="D40" s="120">
        <f t="shared" ref="D40:Y40" si="16">(D18/C18)^(12)-1</f>
        <v>2.6306911733675387E-2</v>
      </c>
      <c r="E40" s="120">
        <f t="shared" si="16"/>
        <v>4.7075720782800756E-2</v>
      </c>
      <c r="F40" s="120">
        <f t="shared" si="16"/>
        <v>6.4735241863618675E-2</v>
      </c>
      <c r="G40" s="120">
        <f t="shared" si="16"/>
        <v>5.3863730770375762E-2</v>
      </c>
      <c r="H40" s="120">
        <f t="shared" si="16"/>
        <v>4.9415026420108532E-2</v>
      </c>
      <c r="I40" s="120">
        <f t="shared" si="16"/>
        <v>4.8442163355395973E-2</v>
      </c>
      <c r="J40" s="120">
        <f t="shared" si="16"/>
        <v>3.3445689362926245E-2</v>
      </c>
      <c r="K40" s="120">
        <f t="shared" si="16"/>
        <v>1.9209551763710087E-2</v>
      </c>
      <c r="L40" s="120">
        <f t="shared" si="16"/>
        <v>5.8661895401922237E-2</v>
      </c>
      <c r="M40" s="120">
        <f t="shared" si="16"/>
        <v>4.9648293347485994E-2</v>
      </c>
      <c r="N40" s="120">
        <f t="shared" si="16"/>
        <v>6.4148804110846225E-2</v>
      </c>
      <c r="O40" s="120">
        <f t="shared" si="16"/>
        <v>6.5881113028707583E-2</v>
      </c>
      <c r="P40" s="120">
        <f t="shared" si="16"/>
        <v>6.1834779954741403E-2</v>
      </c>
      <c r="Q40" s="120">
        <f t="shared" si="16"/>
        <v>5.1972875017657572E-2</v>
      </c>
      <c r="R40" s="120">
        <f t="shared" si="16"/>
        <v>3.3709236066195469E-2</v>
      </c>
      <c r="S40" s="120">
        <f t="shared" si="16"/>
        <v>5.1178679027768181E-2</v>
      </c>
      <c r="T40" s="120">
        <f t="shared" si="16"/>
        <v>8.0351418460051338E-2</v>
      </c>
      <c r="U40" s="120">
        <f t="shared" si="16"/>
        <v>2.3593165612588507E-2</v>
      </c>
      <c r="V40" s="120">
        <f t="shared" si="16"/>
        <v>5.7661583960296747E-2</v>
      </c>
      <c r="W40" s="120">
        <f t="shared" si="16"/>
        <v>5.2682145345352538E-2</v>
      </c>
      <c r="X40" s="120">
        <f t="shared" si="16"/>
        <v>4.3452572123945599E-2</v>
      </c>
      <c r="Y40" s="120">
        <f t="shared" si="16"/>
        <v>1.4312096046469325E-2</v>
      </c>
      <c r="Z40" s="120">
        <f t="shared" si="5"/>
        <v>4.8896677693878621E-2</v>
      </c>
      <c r="AA40" s="120">
        <f t="shared" si="6"/>
        <v>6.1078147136428562E-2</v>
      </c>
      <c r="AB40" s="120">
        <f t="shared" si="7"/>
        <v>4.957652046263239E-2</v>
      </c>
      <c r="AC40" s="120">
        <f t="shared" si="8"/>
        <v>4.8253826499659702E-2</v>
      </c>
      <c r="AD40" s="35"/>
      <c r="AE40" s="35"/>
      <c r="AF40" s="35"/>
      <c r="AG40" s="35"/>
    </row>
    <row r="43" spans="1:45" x14ac:dyDescent="0.35">
      <c r="B43" s="121"/>
      <c r="C43" s="121"/>
      <c r="D43" s="121"/>
      <c r="E43" s="121"/>
      <c r="F43" s="121"/>
      <c r="G43" s="121"/>
      <c r="H43" s="121"/>
      <c r="I43" s="121"/>
      <c r="J43" s="121"/>
      <c r="K43" s="121"/>
      <c r="L43" s="121"/>
      <c r="M43" s="121"/>
      <c r="N43" s="121"/>
      <c r="O43" s="121"/>
      <c r="P43" s="121"/>
      <c r="Q43" s="1626" t="s">
        <v>1792</v>
      </c>
      <c r="R43" s="1626"/>
      <c r="S43" s="1626"/>
      <c r="T43" s="1626"/>
      <c r="U43" s="1626"/>
      <c r="V43" s="1626"/>
      <c r="W43" s="1626"/>
      <c r="X43" s="1626"/>
      <c r="Y43" s="1626"/>
      <c r="Z43" s="1626"/>
      <c r="AA43" s="1626"/>
      <c r="AB43" s="1626"/>
      <c r="AC43" s="35"/>
      <c r="AD43" s="35"/>
      <c r="AE43" s="35"/>
      <c r="AF43" s="35"/>
      <c r="AG43" s="35"/>
      <c r="AH43" s="35"/>
      <c r="AI43" s="35"/>
      <c r="AJ43" s="35"/>
      <c r="AK43" s="35"/>
      <c r="AL43" s="35"/>
      <c r="AM43" s="35"/>
      <c r="AN43" s="35"/>
      <c r="AO43" s="35"/>
      <c r="AP43" s="35"/>
      <c r="AQ43" s="35"/>
      <c r="AR43" s="35"/>
      <c r="AS43" s="35"/>
    </row>
    <row r="44" spans="1:45" x14ac:dyDescent="0.35">
      <c r="C44" s="35"/>
      <c r="D44" s="35"/>
      <c r="E44" s="35"/>
      <c r="F44" s="35"/>
      <c r="G44" s="35"/>
      <c r="H44" s="35"/>
      <c r="I44" s="35"/>
      <c r="J44" s="35"/>
      <c r="K44" s="35"/>
      <c r="L44" s="35"/>
      <c r="M44" s="35"/>
      <c r="N44" s="35"/>
      <c r="O44" s="35"/>
      <c r="P44" s="35"/>
      <c r="Q44" s="35"/>
      <c r="R44" s="35"/>
      <c r="S44" s="1624">
        <v>2021</v>
      </c>
      <c r="T44" s="1625"/>
      <c r="U44" s="1625"/>
      <c r="V44" s="1625"/>
      <c r="W44" s="1625">
        <v>2022</v>
      </c>
      <c r="X44" s="1625"/>
      <c r="Y44" s="1625"/>
      <c r="Z44" s="1625"/>
      <c r="AA44" s="1510">
        <v>2023</v>
      </c>
      <c r="AB44" s="1510">
        <v>2023</v>
      </c>
      <c r="AC44" s="35"/>
      <c r="AD44" s="35"/>
      <c r="AE44" s="35"/>
      <c r="AF44" s="35"/>
      <c r="AG44" s="35"/>
      <c r="AH44" s="35"/>
      <c r="AI44" s="35"/>
      <c r="AJ44" s="35"/>
      <c r="AK44" s="35"/>
      <c r="AL44" s="35"/>
      <c r="AM44" s="35"/>
      <c r="AN44" s="35"/>
      <c r="AO44" s="35"/>
      <c r="AP44" s="35"/>
      <c r="AQ44" s="35"/>
      <c r="AR44" s="35"/>
    </row>
    <row r="45" spans="1:45" x14ac:dyDescent="0.35">
      <c r="C45" s="35"/>
      <c r="D45" s="35"/>
      <c r="E45" s="35"/>
      <c r="F45" s="35"/>
      <c r="G45" s="35"/>
      <c r="H45" s="35"/>
      <c r="I45" s="35"/>
      <c r="J45" s="35"/>
      <c r="K45" s="35"/>
      <c r="L45" s="35"/>
      <c r="M45" s="35"/>
      <c r="N45" s="35"/>
      <c r="O45" s="35"/>
      <c r="P45" s="35"/>
      <c r="Q45" s="35"/>
      <c r="R45" s="35"/>
      <c r="S45" s="118" t="s">
        <v>283</v>
      </c>
      <c r="T45" s="132" t="s">
        <v>284</v>
      </c>
      <c r="U45" s="132" t="s">
        <v>238</v>
      </c>
      <c r="V45" s="132" t="s">
        <v>282</v>
      </c>
      <c r="W45" s="132" t="s">
        <v>283</v>
      </c>
      <c r="X45" s="132" t="s">
        <v>284</v>
      </c>
      <c r="Y45" s="132" t="s">
        <v>238</v>
      </c>
      <c r="Z45" s="115" t="s">
        <v>282</v>
      </c>
      <c r="AA45" s="1126" t="s">
        <v>283</v>
      </c>
      <c r="AB45" s="1126" t="s">
        <v>284</v>
      </c>
      <c r="AC45" s="35"/>
      <c r="AD45" s="35"/>
      <c r="AE45" s="35"/>
      <c r="AF45" s="35"/>
      <c r="AG45" s="35"/>
      <c r="AH45" s="35"/>
      <c r="AI45" s="35"/>
      <c r="AJ45" s="35"/>
      <c r="AK45" s="35"/>
      <c r="AL45" s="35"/>
      <c r="AM45" s="35"/>
      <c r="AN45" s="35"/>
      <c r="AO45" s="35"/>
      <c r="AP45" s="35"/>
      <c r="AQ45" s="35"/>
      <c r="AR45" s="35"/>
    </row>
    <row r="46" spans="1:45" x14ac:dyDescent="0.35">
      <c r="C46" s="35"/>
      <c r="D46" s="35"/>
      <c r="E46" s="35"/>
      <c r="F46" s="35"/>
      <c r="G46" s="35"/>
      <c r="H46" s="35"/>
      <c r="I46" s="35"/>
      <c r="J46" s="35"/>
      <c r="K46" s="35"/>
      <c r="L46" s="35"/>
      <c r="M46" s="35"/>
      <c r="N46" s="35"/>
      <c r="O46" s="35"/>
      <c r="P46" s="35"/>
      <c r="Q46" s="35"/>
      <c r="R46" s="35"/>
      <c r="S46" s="124">
        <f>SUM(C8:E8)/3</f>
        <v>113.05866666666667</v>
      </c>
      <c r="T46" s="36">
        <f>SUM(F8:H8)/3</f>
        <v>114.83833333333332</v>
      </c>
      <c r="U46" s="36">
        <f>SUM(I8:K8)/3</f>
        <v>116.41266666666667</v>
      </c>
      <c r="V46" s="36">
        <f>AVERAGE(L8:N8)</f>
        <v>118.17333333333333</v>
      </c>
      <c r="W46" s="36">
        <f>AVERAGE(O8:Q8)</f>
        <v>120.32266666666665</v>
      </c>
      <c r="X46" s="36">
        <f>AVERAGE(R8:T8)</f>
        <v>122.45833333333333</v>
      </c>
      <c r="Y46" s="36">
        <f>AVERAGE(U8:W8)</f>
        <v>123.75966666666666</v>
      </c>
      <c r="Z46" s="125">
        <f>AVERAGE(X8:Z8)</f>
        <v>124.902</v>
      </c>
      <c r="AA46" s="125">
        <f>AVERAGE(AA8:AC8)</f>
        <v>126.18266666666666</v>
      </c>
      <c r="AB46" s="35">
        <f>AVERAGE(AD8:AF8)</f>
        <v>126.84266144735928</v>
      </c>
      <c r="AC46" s="35"/>
      <c r="AD46" s="35"/>
      <c r="AE46" s="35"/>
      <c r="AF46" s="35"/>
      <c r="AG46" s="35"/>
      <c r="AH46" s="35"/>
      <c r="AI46" s="35"/>
      <c r="AJ46" s="35"/>
      <c r="AK46" s="35"/>
      <c r="AL46" s="35"/>
      <c r="AM46" s="35"/>
      <c r="AN46" s="35"/>
      <c r="AO46" s="35"/>
      <c r="AP46" s="35"/>
      <c r="AQ46" s="35"/>
      <c r="AR46" s="35"/>
    </row>
    <row r="47" spans="1:45" x14ac:dyDescent="0.35">
      <c r="B47" s="35"/>
      <c r="C47" s="35"/>
      <c r="D47" s="35"/>
      <c r="E47" s="35"/>
      <c r="F47" s="35"/>
      <c r="G47" s="35"/>
      <c r="H47" s="35"/>
      <c r="I47" s="35"/>
      <c r="J47" s="35"/>
      <c r="K47" s="35"/>
      <c r="L47" s="35"/>
      <c r="M47" s="35"/>
      <c r="N47" s="35"/>
      <c r="O47" s="35"/>
      <c r="P47" s="35"/>
      <c r="Q47" s="35"/>
      <c r="R47" s="35"/>
      <c r="S47" s="35"/>
      <c r="T47" s="35"/>
      <c r="U47" s="35"/>
      <c r="V47" s="35"/>
      <c r="W47" s="35"/>
      <c r="X47" s="35"/>
      <c r="Y47" s="35"/>
      <c r="Z47" s="35"/>
      <c r="AA47" s="35"/>
      <c r="AB47" s="35"/>
      <c r="AC47" s="35"/>
      <c r="AD47" s="35"/>
      <c r="AE47" s="35"/>
      <c r="AF47" s="35"/>
      <c r="AG47" s="35"/>
      <c r="AH47" s="35"/>
      <c r="AI47" s="35"/>
      <c r="AJ47" s="35"/>
      <c r="AK47" s="35"/>
      <c r="AL47" s="35"/>
      <c r="AM47" s="35"/>
      <c r="AN47" s="35"/>
      <c r="AO47" s="35"/>
      <c r="AP47" s="35"/>
      <c r="AQ47" s="35"/>
      <c r="AR47" s="35"/>
    </row>
    <row r="48" spans="1:45" x14ac:dyDescent="0.35">
      <c r="B48" s="35"/>
      <c r="C48" s="35"/>
      <c r="D48" s="35"/>
      <c r="E48" s="35"/>
      <c r="F48" s="35"/>
      <c r="G48" s="35"/>
      <c r="H48" s="35"/>
      <c r="I48" s="35"/>
      <c r="J48" s="35"/>
      <c r="K48" s="35"/>
      <c r="L48" s="35"/>
      <c r="M48" s="35"/>
      <c r="N48" s="35"/>
      <c r="O48" s="35"/>
      <c r="P48" s="35"/>
      <c r="Q48" s="1626" t="s">
        <v>1793</v>
      </c>
      <c r="R48" s="1626"/>
      <c r="S48" s="1626"/>
      <c r="T48" s="1626"/>
      <c r="U48" s="1626"/>
      <c r="V48" s="1626"/>
      <c r="W48" s="1626"/>
      <c r="X48" s="1626"/>
      <c r="Y48" s="1626"/>
      <c r="Z48" s="1626"/>
      <c r="AA48" s="1626"/>
      <c r="AB48" s="1626"/>
    </row>
    <row r="49" spans="2:29" ht="43.5" customHeight="1" x14ac:dyDescent="0.35">
      <c r="B49" s="35"/>
      <c r="C49" s="109"/>
      <c r="D49" s="109"/>
      <c r="E49" s="109"/>
      <c r="F49" s="109"/>
      <c r="G49" s="109"/>
      <c r="H49" s="109"/>
      <c r="S49" s="1624">
        <v>2021</v>
      </c>
      <c r="T49" s="1625"/>
      <c r="U49" s="1625"/>
      <c r="V49" s="1625"/>
      <c r="W49" s="1625">
        <v>2022</v>
      </c>
      <c r="X49" s="1625"/>
      <c r="Y49" s="1625"/>
      <c r="Z49" s="1625"/>
      <c r="AA49" s="1510">
        <v>2023</v>
      </c>
      <c r="AB49" s="129">
        <v>2023</v>
      </c>
      <c r="AC49" s="14" t="s">
        <v>2237</v>
      </c>
    </row>
    <row r="50" spans="2:29" x14ac:dyDescent="0.35">
      <c r="B50" s="35"/>
      <c r="C50" s="35"/>
      <c r="D50" s="35"/>
      <c r="E50" s="35"/>
      <c r="F50" s="35"/>
      <c r="G50" s="35"/>
      <c r="H50" s="35"/>
      <c r="S50" s="118" t="s">
        <v>283</v>
      </c>
      <c r="T50" s="132" t="s">
        <v>284</v>
      </c>
      <c r="U50" s="132" t="s">
        <v>238</v>
      </c>
      <c r="V50" s="132" t="s">
        <v>282</v>
      </c>
      <c r="W50" s="132" t="s">
        <v>283</v>
      </c>
      <c r="X50" s="132" t="s">
        <v>284</v>
      </c>
      <c r="Y50" s="132" t="s">
        <v>238</v>
      </c>
      <c r="Z50" s="115" t="s">
        <v>282</v>
      </c>
      <c r="AA50" s="1126" t="s">
        <v>283</v>
      </c>
      <c r="AB50" s="117" t="s">
        <v>284</v>
      </c>
    </row>
    <row r="51" spans="2:29" x14ac:dyDescent="0.35">
      <c r="B51" s="35"/>
      <c r="C51" s="35"/>
      <c r="D51" s="35"/>
      <c r="E51" s="35"/>
      <c r="F51" s="35"/>
      <c r="G51" s="35"/>
      <c r="H51" s="35"/>
      <c r="S51" s="21"/>
      <c r="T51" s="133">
        <f t="shared" ref="T51:Y51" si="17">(T46/S46)^4-1</f>
        <v>6.4466715030665034E-2</v>
      </c>
      <c r="U51" s="133">
        <f t="shared" si="17"/>
        <v>5.5974491632073686E-2</v>
      </c>
      <c r="V51" s="133">
        <f t="shared" si="17"/>
        <v>6.1883793652025565E-2</v>
      </c>
      <c r="W51" s="133">
        <f t="shared" si="17"/>
        <v>7.4760879860437557E-2</v>
      </c>
      <c r="X51" s="133">
        <f t="shared" si="17"/>
        <v>7.2910717592092666E-2</v>
      </c>
      <c r="Y51" s="133">
        <f t="shared" si="17"/>
        <v>4.3189354230043886E-2</v>
      </c>
      <c r="Z51" s="134">
        <f>(Z46/Y46)^4-1</f>
        <v>3.7435360189279843E-2</v>
      </c>
      <c r="AA51" s="134">
        <f>(AA46/Z46)^4-1</f>
        <v>4.1648600597020913E-2</v>
      </c>
      <c r="AB51" s="134">
        <f>(AB46/AA46)^4-1</f>
        <v>2.1086604151099309E-2</v>
      </c>
      <c r="AC51" s="1517">
        <f>Deflators!V12</f>
        <v>3.3692799617050628E-2</v>
      </c>
    </row>
    <row r="52" spans="2:29" x14ac:dyDescent="0.35">
      <c r="B52" s="35"/>
      <c r="C52" s="35"/>
      <c r="D52" s="35"/>
      <c r="E52" s="35"/>
      <c r="F52" s="35"/>
      <c r="G52" s="35"/>
      <c r="H52" s="35"/>
      <c r="I52" s="35"/>
      <c r="J52" s="35"/>
      <c r="K52" s="35"/>
      <c r="L52" s="35"/>
      <c r="M52" s="35"/>
      <c r="N52" s="35"/>
      <c r="O52" s="35"/>
      <c r="P52" s="35"/>
      <c r="Q52" s="35"/>
    </row>
    <row r="53" spans="2:29" x14ac:dyDescent="0.35">
      <c r="B53" s="35"/>
      <c r="C53" s="35"/>
      <c r="D53" s="35"/>
      <c r="E53" s="35"/>
      <c r="F53" s="35"/>
      <c r="G53" s="35"/>
      <c r="H53" s="35"/>
      <c r="I53" s="35"/>
      <c r="J53" s="35"/>
      <c r="K53" s="35"/>
      <c r="L53" s="35"/>
      <c r="M53" s="35"/>
      <c r="N53" s="35"/>
      <c r="O53" s="35"/>
      <c r="P53" s="35"/>
      <c r="Q53" s="35"/>
    </row>
    <row r="54" spans="2:29" x14ac:dyDescent="0.35">
      <c r="B54" s="35"/>
      <c r="E54" s="35"/>
      <c r="F54" s="35"/>
      <c r="G54" s="35"/>
      <c r="H54" s="35"/>
      <c r="I54" s="35"/>
      <c r="J54" s="35"/>
      <c r="K54" s="35"/>
      <c r="L54" s="35"/>
      <c r="M54" s="35"/>
      <c r="N54" s="35"/>
      <c r="O54" s="35"/>
      <c r="P54" s="35"/>
      <c r="Q54" s="35"/>
    </row>
    <row r="55" spans="2:29" x14ac:dyDescent="0.35">
      <c r="B55" s="35"/>
      <c r="E55" s="35"/>
      <c r="F55" s="35"/>
      <c r="G55" s="35"/>
      <c r="H55" s="35"/>
      <c r="I55" s="35"/>
      <c r="J55" s="35"/>
      <c r="K55" s="35"/>
      <c r="L55" s="35"/>
      <c r="M55" s="35"/>
      <c r="N55" s="35"/>
      <c r="O55" s="35"/>
      <c r="P55" s="35"/>
      <c r="Q55" s="35"/>
    </row>
    <row r="56" spans="2:29" x14ac:dyDescent="0.35">
      <c r="B56" s="35"/>
      <c r="C56" s="35"/>
      <c r="D56" s="35"/>
      <c r="E56" s="35"/>
      <c r="F56" s="35"/>
      <c r="G56" s="35"/>
      <c r="H56" s="35"/>
      <c r="I56" s="35"/>
      <c r="J56" s="35"/>
      <c r="K56" s="35"/>
      <c r="L56" s="35"/>
      <c r="M56" s="35"/>
      <c r="N56" s="35"/>
      <c r="O56" s="35"/>
      <c r="P56" s="35"/>
      <c r="Q56" s="35"/>
    </row>
    <row r="57" spans="2:29" x14ac:dyDescent="0.35">
      <c r="B57" s="35"/>
      <c r="C57" s="35"/>
      <c r="D57" s="35"/>
      <c r="E57" s="35"/>
      <c r="F57" s="35"/>
      <c r="G57" s="35"/>
      <c r="H57" s="35"/>
      <c r="I57" s="35"/>
      <c r="J57" s="35"/>
      <c r="K57" s="35"/>
      <c r="L57" s="35"/>
      <c r="M57" s="35"/>
      <c r="N57" s="35"/>
      <c r="O57" s="35"/>
      <c r="P57" s="35"/>
      <c r="Q57" s="35"/>
    </row>
  </sheetData>
  <mergeCells count="23">
    <mergeCell ref="S49:V49"/>
    <mergeCell ref="S44:V44"/>
    <mergeCell ref="C28:N28"/>
    <mergeCell ref="C27:Y27"/>
    <mergeCell ref="W44:Z44"/>
    <mergeCell ref="W49:Z49"/>
    <mergeCell ref="Q43:AB43"/>
    <mergeCell ref="Q48:AB48"/>
    <mergeCell ref="A1:Z1"/>
    <mergeCell ref="A2:Z2"/>
    <mergeCell ref="A3:Z3"/>
    <mergeCell ref="A4:Z4"/>
    <mergeCell ref="O28:Y28"/>
    <mergeCell ref="A19:AA19"/>
    <mergeCell ref="A20:AA20"/>
    <mergeCell ref="A21:AA21"/>
    <mergeCell ref="A22:AA22"/>
    <mergeCell ref="A6:A7"/>
    <mergeCell ref="B6:B7"/>
    <mergeCell ref="C6:N6"/>
    <mergeCell ref="O6:Z6"/>
    <mergeCell ref="AA6:AC6"/>
    <mergeCell ref="G26:AF26"/>
  </mergeCells>
  <phoneticPr fontId="74" type="noConversion"/>
  <hyperlinks>
    <hyperlink ref="A5" r:id="rId1" location="eyJhcHBpZCI6MTksInN0ZXBzIjpbMSwyLDNdLCJkYXRhIjpbWyJjYXRlZ29yaWVzIiwiU3VydmV5Il0sWyJOSVBBX1RhYmxlX0xpc3QiLCI4MSJdXX0=" xr:uid="{00000000-0004-0000-0900-000000000000}"/>
  </hyperlinks>
  <pageMargins left="0.7" right="0.7" top="0.75" bottom="0.75" header="0.3" footer="0.3"/>
  <pageSetup orientation="portrait" horizontalDpi="1200" verticalDpi="12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V9"/>
  <sheetViews>
    <sheetView workbookViewId="0">
      <selection activeCell="N7" sqref="N7"/>
    </sheetView>
  </sheetViews>
  <sheetFormatPr defaultColWidth="11.453125" defaultRowHeight="14.5" x14ac:dyDescent="0.35"/>
  <cols>
    <col min="1" max="1" width="33" customWidth="1"/>
    <col min="2" max="2" width="27.1796875" customWidth="1"/>
  </cols>
  <sheetData>
    <row r="1" spans="1:22" x14ac:dyDescent="0.35">
      <c r="A1" s="74" t="s">
        <v>178</v>
      </c>
      <c r="B1" s="74" t="s">
        <v>179</v>
      </c>
      <c r="C1" s="136" t="s">
        <v>247</v>
      </c>
      <c r="D1" s="136" t="s">
        <v>248</v>
      </c>
      <c r="E1" s="136" t="s">
        <v>249</v>
      </c>
      <c r="F1" s="136" t="s">
        <v>250</v>
      </c>
      <c r="G1" s="74" t="s">
        <v>251</v>
      </c>
      <c r="H1" s="74" t="s">
        <v>180</v>
      </c>
      <c r="I1" s="74" t="s">
        <v>181</v>
      </c>
      <c r="J1" s="74" t="s">
        <v>182</v>
      </c>
      <c r="K1" s="74" t="s">
        <v>183</v>
      </c>
      <c r="L1" s="91" t="s">
        <v>184</v>
      </c>
      <c r="M1" s="91" t="s">
        <v>185</v>
      </c>
      <c r="N1" s="91" t="s">
        <v>186</v>
      </c>
      <c r="O1" s="91"/>
      <c r="P1" s="91"/>
      <c r="Q1" s="91"/>
      <c r="R1" s="91"/>
      <c r="S1" s="91"/>
      <c r="T1" s="91"/>
      <c r="U1" s="91"/>
      <c r="V1" s="91"/>
    </row>
    <row r="2" spans="1:22" ht="29.15" customHeight="1" x14ac:dyDescent="0.35">
      <c r="A2" s="14" t="s">
        <v>252</v>
      </c>
      <c r="B2" t="s">
        <v>253</v>
      </c>
      <c r="C2">
        <f>Grants!J108</f>
        <v>325.28399999999999</v>
      </c>
      <c r="D2">
        <f>Grants!K108</f>
        <v>297.32000000000005</v>
      </c>
      <c r="E2">
        <f>Grants!L108</f>
        <v>289.54199999999997</v>
      </c>
      <c r="F2">
        <f>Grants!M108</f>
        <v>315.67900000000003</v>
      </c>
      <c r="G2">
        <f>Grants!N108</f>
        <v>361.52700000000004</v>
      </c>
      <c r="H2">
        <f>Grants!O108</f>
        <v>374.99100000000004</v>
      </c>
      <c r="I2" s="35">
        <f>Grants!P108</f>
        <v>401.58485200000007</v>
      </c>
      <c r="J2" s="35">
        <f>Grants!Q108</f>
        <v>438.45827479999997</v>
      </c>
      <c r="K2" s="35">
        <f>Grants!R108</f>
        <v>505.04903199999995</v>
      </c>
      <c r="L2" s="35">
        <f>Grants!S108</f>
        <v>492.38786800000003</v>
      </c>
      <c r="M2" s="35">
        <f>Grants!T108</f>
        <v>454.86592799999988</v>
      </c>
      <c r="N2" s="35">
        <f>Grants!U108</f>
        <v>448.74654320000008</v>
      </c>
    </row>
    <row r="3" spans="1:22" ht="29.15" customHeight="1" x14ac:dyDescent="0.35">
      <c r="A3" s="14" t="s">
        <v>797</v>
      </c>
      <c r="B3" t="s">
        <v>794</v>
      </c>
      <c r="C3">
        <f>'Social Benefits'!J27</f>
        <v>1644.1999999999998</v>
      </c>
      <c r="D3">
        <f>'Social Benefits'!K27</f>
        <v>1803.4</v>
      </c>
      <c r="E3">
        <f>'Social Benefits'!L27</f>
        <v>1696.0999999999997</v>
      </c>
      <c r="F3">
        <f>'Social Benefits'!M27</f>
        <v>1725.9</v>
      </c>
      <c r="G3">
        <f>'Social Benefits'!N27</f>
        <v>1734.2781600000001</v>
      </c>
      <c r="H3">
        <f>'Social Benefits'!O27</f>
        <v>1906.0298400000004</v>
      </c>
      <c r="I3" s="35">
        <f>'Social Benefits'!P27</f>
        <v>1884.7240000000002</v>
      </c>
      <c r="J3" s="35">
        <f>'Social Benefits'!Q27</f>
        <v>1832.0239999999999</v>
      </c>
      <c r="K3" s="35">
        <f>'Social Benefits'!R27</f>
        <v>1823.624</v>
      </c>
      <c r="L3" s="35">
        <f>'Social Benefits'!S27</f>
        <v>1820.1019999999999</v>
      </c>
      <c r="M3" s="35">
        <f>'Social Benefits'!T27</f>
        <v>1906.3740000000003</v>
      </c>
      <c r="N3" s="35">
        <f>'Social Benefits'!U27</f>
        <v>1988.674</v>
      </c>
    </row>
    <row r="4" spans="1:22" ht="29.15" customHeight="1" x14ac:dyDescent="0.35">
      <c r="A4" s="14" t="s">
        <v>799</v>
      </c>
      <c r="B4" t="s">
        <v>795</v>
      </c>
      <c r="C4">
        <f>'Social Benefits'!J17</f>
        <v>0</v>
      </c>
      <c r="D4">
        <f>'Social Benefits'!K17</f>
        <v>0</v>
      </c>
      <c r="E4">
        <f>'Social Benefits'!L17</f>
        <v>0</v>
      </c>
      <c r="F4">
        <f>'Social Benefits'!M17</f>
        <v>0</v>
      </c>
      <c r="G4">
        <f>'Social Benefits'!N17</f>
        <v>33.921840000000024</v>
      </c>
      <c r="H4">
        <f>'Social Benefits'!O17</f>
        <v>44.966160000000031</v>
      </c>
      <c r="I4" s="35">
        <f>'Social Benefits'!P17</f>
        <v>52.756999999999998</v>
      </c>
      <c r="J4" s="35">
        <f>'Social Benefits'!Q17</f>
        <v>52.756999999999998</v>
      </c>
      <c r="K4" s="35">
        <f>'Social Benefits'!R17</f>
        <v>52.756999999999998</v>
      </c>
      <c r="L4" s="35">
        <f>'Social Benefits'!S17</f>
        <v>52.756999999999998</v>
      </c>
      <c r="M4" s="35">
        <f>'Social Benefits'!T17</f>
        <v>30</v>
      </c>
      <c r="N4" s="35">
        <f>'Social Benefits'!U17</f>
        <v>12</v>
      </c>
    </row>
    <row r="5" spans="1:22" x14ac:dyDescent="0.35">
      <c r="A5" s="14" t="s">
        <v>798</v>
      </c>
      <c r="B5" t="s">
        <v>796</v>
      </c>
      <c r="C5">
        <f>'Social Benefits'!J24</f>
        <v>160.9</v>
      </c>
      <c r="D5">
        <f>'Social Benefits'!K24</f>
        <v>58.4</v>
      </c>
      <c r="E5">
        <f>'Social Benefits'!L24</f>
        <v>34.5</v>
      </c>
      <c r="F5">
        <f>'Social Benefits'!M24</f>
        <v>21.4</v>
      </c>
      <c r="G5">
        <f>'Social Benefits'!N24</f>
        <v>13.3</v>
      </c>
      <c r="H5">
        <f>'Social Benefits'!O24</f>
        <v>21.804000000000041</v>
      </c>
      <c r="I5" s="35">
        <f>'Social Benefits'!P24</f>
        <v>51.919000000000011</v>
      </c>
      <c r="J5" s="35">
        <f>'Social Benefits'!Q24</f>
        <v>46.619</v>
      </c>
      <c r="K5" s="35">
        <f>'Social Benefits'!R24</f>
        <v>39.719000000000008</v>
      </c>
      <c r="L5" s="35">
        <f>'Social Benefits'!S24</f>
        <v>27.819000000000003</v>
      </c>
      <c r="M5" s="35">
        <f>'Social Benefits'!T24</f>
        <v>6.3160000000000007</v>
      </c>
      <c r="N5" s="35">
        <f>'Social Benefits'!U24</f>
        <v>1.4159999999999999</v>
      </c>
    </row>
    <row r="6" spans="1:22" x14ac:dyDescent="0.35">
      <c r="A6" s="35" t="s">
        <v>201</v>
      </c>
      <c r="B6" s="35" t="s">
        <v>834</v>
      </c>
      <c r="C6" s="137">
        <f>Subsidies!J45</f>
        <v>0</v>
      </c>
      <c r="D6" s="137">
        <f>Subsidies!K45</f>
        <v>0</v>
      </c>
      <c r="E6" s="137">
        <f>Subsidies!L45</f>
        <v>0</v>
      </c>
      <c r="F6" s="137">
        <f>Subsidies!M45</f>
        <v>0</v>
      </c>
      <c r="G6" s="137">
        <f>Subsidies!N45</f>
        <v>58.782959999999989</v>
      </c>
      <c r="H6" s="137">
        <f>Subsidies!O45</f>
        <v>267.78904</v>
      </c>
      <c r="I6" s="137">
        <f>Subsidies!P45</f>
        <v>110.24799999999999</v>
      </c>
      <c r="J6" s="137">
        <f>Subsidies!Q45</f>
        <v>110.24799999999999</v>
      </c>
      <c r="K6" s="137">
        <f>Subsidies!R45</f>
        <v>110.24799999999999</v>
      </c>
      <c r="L6" s="137">
        <f>Subsidies!S45</f>
        <v>110.24799999999999</v>
      </c>
      <c r="M6" s="137">
        <f>Subsidies!T45</f>
        <v>12.726000000000001</v>
      </c>
      <c r="N6" s="137">
        <f>Subsidies!U45</f>
        <v>12.726000000000001</v>
      </c>
    </row>
    <row r="7" spans="1:22" ht="29.15" customHeight="1" x14ac:dyDescent="0.35">
      <c r="A7" s="14" t="s">
        <v>873</v>
      </c>
      <c r="B7" t="s">
        <v>871</v>
      </c>
      <c r="C7" s="35"/>
      <c r="D7" s="35"/>
      <c r="E7" s="35"/>
      <c r="F7" s="35"/>
      <c r="G7" s="35"/>
      <c r="H7" s="35"/>
      <c r="J7" s="135"/>
      <c r="K7" s="135"/>
      <c r="L7" s="135"/>
      <c r="M7" s="135"/>
      <c r="N7" s="135">
        <f>forecast!C21</f>
        <v>341.66194166567766</v>
      </c>
    </row>
    <row r="8" spans="1:22" x14ac:dyDescent="0.35">
      <c r="A8" t="s">
        <v>874</v>
      </c>
      <c r="B8" t="s">
        <v>872</v>
      </c>
      <c r="C8" s="35"/>
      <c r="D8" s="35"/>
      <c r="E8" s="35"/>
      <c r="F8" s="35"/>
      <c r="G8" s="35"/>
      <c r="H8" s="35"/>
      <c r="J8" s="135"/>
      <c r="K8" s="135"/>
      <c r="L8" s="135"/>
      <c r="M8" s="135"/>
      <c r="N8" s="135">
        <f>forecast!C22</f>
        <v>109.238858295851</v>
      </c>
    </row>
    <row r="9" spans="1:22" x14ac:dyDescent="0.35">
      <c r="A9" s="14" t="s">
        <v>931</v>
      </c>
      <c r="B9" t="s">
        <v>932</v>
      </c>
      <c r="C9">
        <f>Grants!J140</f>
        <v>76.015000000000001</v>
      </c>
      <c r="D9">
        <f>Grants!K140</f>
        <v>78.872</v>
      </c>
      <c r="E9">
        <f>Grants!L140</f>
        <v>75.819000000000003</v>
      </c>
      <c r="F9">
        <f>Grants!M140</f>
        <v>73.662000000000006</v>
      </c>
      <c r="G9">
        <f>Grants!N140</f>
        <v>75.066000000000003</v>
      </c>
      <c r="H9">
        <f>Grants!O140</f>
        <v>69.344999999999999</v>
      </c>
      <c r="I9">
        <f>Grants!P140</f>
        <v>72.477000000000004</v>
      </c>
      <c r="J9">
        <f>Grants!Q140</f>
        <v>72.528999999999996</v>
      </c>
      <c r="K9">
        <f>Grants!R140</f>
        <v>75.340000000000018</v>
      </c>
      <c r="L9">
        <f>Grants!S140</f>
        <v>75.340000000000018</v>
      </c>
      <c r="M9" s="35">
        <f>Grants!T140</f>
        <v>76.15900000000002</v>
      </c>
      <c r="N9" s="35">
        <f>Grants!U140</f>
        <v>76.15900000000002</v>
      </c>
    </row>
  </sheetData>
  <pageMargins left="0.7" right="0.7" top="0.75" bottom="0.75" header="0.3" footer="0.3"/>
  <pageSetup paperSize="9"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J6"/>
  <sheetViews>
    <sheetView zoomScale="72" workbookViewId="0">
      <selection activeCell="L16" sqref="L16"/>
    </sheetView>
  </sheetViews>
  <sheetFormatPr defaultColWidth="11.453125" defaultRowHeight="14.5" x14ac:dyDescent="0.35"/>
  <cols>
    <col min="1" max="1" width="32.81640625" customWidth="1"/>
    <col min="2" max="2" width="28.54296875" customWidth="1"/>
  </cols>
  <sheetData>
    <row r="1" spans="1:10" x14ac:dyDescent="0.35">
      <c r="A1" s="74" t="s">
        <v>178</v>
      </c>
      <c r="B1" s="74" t="s">
        <v>179</v>
      </c>
      <c r="C1" s="75" t="s">
        <v>187</v>
      </c>
      <c r="D1" s="75" t="s">
        <v>188</v>
      </c>
      <c r="E1" s="75" t="s">
        <v>189</v>
      </c>
      <c r="F1" s="75" t="s">
        <v>190</v>
      </c>
      <c r="G1" s="75" t="s">
        <v>191</v>
      </c>
      <c r="H1" s="75" t="s">
        <v>175</v>
      </c>
      <c r="I1" s="75" t="s">
        <v>176</v>
      </c>
      <c r="J1" s="75" t="s">
        <v>177</v>
      </c>
    </row>
    <row r="2" spans="1:10" x14ac:dyDescent="0.35">
      <c r="A2" s="72" t="s">
        <v>1721</v>
      </c>
      <c r="B2" t="s">
        <v>1739</v>
      </c>
      <c r="C2" s="73">
        <f>Deflators!V23</f>
        <v>8.3188189000429347E-3</v>
      </c>
      <c r="D2" s="73">
        <f>Deflators!W23</f>
        <v>8.1907640097225176E-3</v>
      </c>
      <c r="E2" s="73">
        <f>Deflators!X23</f>
        <v>7.3454744803962413E-3</v>
      </c>
      <c r="F2" s="73">
        <f>Deflators!Y23</f>
        <v>6.5490951570947864E-3</v>
      </c>
      <c r="G2" s="73">
        <f>Deflators!Z23</f>
        <v>5.9906111616996327E-3</v>
      </c>
      <c r="H2" s="73">
        <f>Deflators!AA23</f>
        <v>5.71393990210467E-3</v>
      </c>
      <c r="I2" s="73">
        <f>Deflators!AB23</f>
        <v>5.5553568504056461E-3</v>
      </c>
      <c r="J2" s="73">
        <f>Deflators!AC23</f>
        <v>5.5715712180339771E-3</v>
      </c>
    </row>
    <row r="3" spans="1:10" x14ac:dyDescent="0.35">
      <c r="A3" s="47" t="s">
        <v>1735</v>
      </c>
      <c r="B3" t="s">
        <v>1740</v>
      </c>
      <c r="C3" s="73">
        <f>Deflators!V24</f>
        <v>5.8253876907148339E-3</v>
      </c>
      <c r="D3" s="73">
        <f>Deflators!W24</f>
        <v>6.2764579641267915E-3</v>
      </c>
      <c r="E3" s="73">
        <f>Deflators!X24</f>
        <v>6.3178989208103609E-3</v>
      </c>
      <c r="F3" s="73">
        <f>Deflators!Y24</f>
        <v>7.2725232743062751E-3</v>
      </c>
      <c r="G3" s="73">
        <f>Deflators!Z24</f>
        <v>6.9843961411393263E-3</v>
      </c>
      <c r="H3" s="73">
        <f>Deflators!AA24</f>
        <v>6.8014963862881306E-3</v>
      </c>
      <c r="I3" s="73">
        <f>Deflators!AB24</f>
        <v>6.6185723821980957E-3</v>
      </c>
      <c r="J3" s="73">
        <f>Deflators!AC24</f>
        <v>5.9560502446180941E-3</v>
      </c>
    </row>
    <row r="4" spans="1:10" x14ac:dyDescent="0.35">
      <c r="A4" s="47" t="s">
        <v>1736</v>
      </c>
      <c r="B4" t="s">
        <v>1741</v>
      </c>
      <c r="C4" s="73">
        <f>Deflators!V25</f>
        <v>8.0131585685250251E-3</v>
      </c>
      <c r="D4" s="73">
        <f>Deflators!W25</f>
        <v>8.630577055315225E-3</v>
      </c>
      <c r="E4" s="73">
        <f>Deflators!X25</f>
        <v>8.4934420030498003E-3</v>
      </c>
      <c r="F4" s="73">
        <f>Deflators!Y25</f>
        <v>7.7301491027170766E-3</v>
      </c>
      <c r="G4" s="73">
        <f>Deflators!Z25</f>
        <v>6.9446663109324902E-3</v>
      </c>
      <c r="H4" s="73">
        <f>Deflators!AA25</f>
        <v>6.7023012839417806E-3</v>
      </c>
      <c r="I4" s="73">
        <f>Deflators!AB25</f>
        <v>6.5949786314196679E-3</v>
      </c>
      <c r="J4" s="73">
        <f>Deflators!AC25</f>
        <v>6.8419370723198369E-3</v>
      </c>
    </row>
    <row r="5" spans="1:10" x14ac:dyDescent="0.35">
      <c r="A5" s="47" t="s">
        <v>1737</v>
      </c>
      <c r="B5" t="s">
        <v>1742</v>
      </c>
      <c r="C5" s="73">
        <f>Deflators!V26</f>
        <v>8.0131585685250251E-3</v>
      </c>
      <c r="D5" s="73">
        <f>Deflators!W26</f>
        <v>8.630577055315225E-3</v>
      </c>
      <c r="E5" s="73">
        <f>Deflators!X26</f>
        <v>8.4934420030498003E-3</v>
      </c>
      <c r="F5" s="73">
        <f>Deflators!Y26</f>
        <v>7.7301491027170766E-3</v>
      </c>
      <c r="G5" s="73">
        <f>Deflators!Z26</f>
        <v>6.9446663109324902E-3</v>
      </c>
      <c r="H5" s="73">
        <f>Deflators!AA26</f>
        <v>6.7023012839417806E-3</v>
      </c>
      <c r="I5" s="73">
        <f>Deflators!AB26</f>
        <v>6.5949786314196679E-3</v>
      </c>
      <c r="J5" s="73">
        <f>Deflators!AC26</f>
        <v>6.8419370723198369E-3</v>
      </c>
    </row>
    <row r="6" spans="1:10" x14ac:dyDescent="0.35">
      <c r="A6" s="35" t="s">
        <v>1738</v>
      </c>
      <c r="B6" t="s">
        <v>1743</v>
      </c>
      <c r="C6" s="73">
        <f>Deflators!V27</f>
        <v>8.0131585685250251E-3</v>
      </c>
      <c r="D6" s="73">
        <f>Deflators!W27</f>
        <v>8.630577055315225E-3</v>
      </c>
      <c r="E6" s="73">
        <f>Deflators!X27</f>
        <v>8.4934420030498003E-3</v>
      </c>
      <c r="F6" s="73">
        <f>Deflators!Y27</f>
        <v>7.7301491027170766E-3</v>
      </c>
      <c r="G6" s="73">
        <f>Deflators!Z27</f>
        <v>6.9446663109324902E-3</v>
      </c>
      <c r="H6" s="73">
        <f>Deflators!AA27</f>
        <v>6.7023012839417806E-3</v>
      </c>
      <c r="I6" s="73">
        <f>Deflators!AB27</f>
        <v>6.5949786314196679E-3</v>
      </c>
      <c r="J6" s="73">
        <f>Deflators!AC27</f>
        <v>6.8419370723198369E-3</v>
      </c>
    </row>
  </sheetData>
  <pageMargins left="0.7" right="0.7" top="0.75" bottom="0.75" header="0.3" footer="0.3"/>
  <pageSetup paperSize="9" orientation="portrait" horizontalDpi="300" verticalDpi="300"/>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S15"/>
  <sheetViews>
    <sheetView zoomScale="110" zoomScaleNormal="110" workbookViewId="0">
      <selection activeCell="P10" sqref="P10"/>
    </sheetView>
  </sheetViews>
  <sheetFormatPr defaultColWidth="11.453125" defaultRowHeight="14.5" x14ac:dyDescent="0.35"/>
  <cols>
    <col min="1" max="2" width="70.81640625" customWidth="1"/>
  </cols>
  <sheetData>
    <row r="1" spans="1:45" ht="15.65" customHeight="1" x14ac:dyDescent="0.35">
      <c r="A1" s="1627" t="s">
        <v>254</v>
      </c>
      <c r="B1" s="1627"/>
      <c r="C1" s="1627"/>
      <c r="D1" s="1627"/>
      <c r="E1" s="1627"/>
      <c r="F1" s="1627"/>
      <c r="G1" s="1627"/>
      <c r="H1" s="1627"/>
      <c r="I1" s="1627"/>
      <c r="J1" s="1627"/>
      <c r="K1" s="1627"/>
      <c r="L1" s="1627"/>
      <c r="M1" s="1627"/>
      <c r="N1" s="1627"/>
      <c r="O1" s="1627"/>
    </row>
    <row r="2" spans="1:45" ht="31.4" customHeight="1" x14ac:dyDescent="0.35">
      <c r="A2" s="138"/>
      <c r="B2" s="138" t="s">
        <v>179</v>
      </c>
      <c r="C2" s="144">
        <v>1</v>
      </c>
      <c r="D2" s="144">
        <f>C2+1</f>
        <v>2</v>
      </c>
      <c r="E2" s="144">
        <f t="shared" ref="E2:N2" si="0">D2+1</f>
        <v>3</v>
      </c>
      <c r="F2" s="144">
        <f t="shared" si="0"/>
        <v>4</v>
      </c>
      <c r="G2" s="144">
        <f t="shared" si="0"/>
        <v>5</v>
      </c>
      <c r="H2" s="144">
        <f t="shared" si="0"/>
        <v>6</v>
      </c>
      <c r="I2" s="144">
        <f t="shared" si="0"/>
        <v>7</v>
      </c>
      <c r="J2" s="144">
        <f t="shared" si="0"/>
        <v>8</v>
      </c>
      <c r="K2" s="144">
        <f t="shared" si="0"/>
        <v>9</v>
      </c>
      <c r="L2" s="144">
        <f t="shared" si="0"/>
        <v>10</v>
      </c>
      <c r="M2" s="144">
        <f t="shared" si="0"/>
        <v>11</v>
      </c>
      <c r="N2" s="144">
        <f t="shared" si="0"/>
        <v>12</v>
      </c>
      <c r="O2" s="142" t="s">
        <v>255</v>
      </c>
    </row>
    <row r="3" spans="1:45" ht="15.65" customHeight="1" x14ac:dyDescent="0.35">
      <c r="A3" s="139" t="s">
        <v>256</v>
      </c>
      <c r="B3" s="139" t="s">
        <v>257</v>
      </c>
      <c r="C3" s="73">
        <v>0.22500000000000001</v>
      </c>
      <c r="D3" s="73">
        <v>0.22500000000000001</v>
      </c>
      <c r="E3" s="73">
        <v>0.22500000000000001</v>
      </c>
      <c r="F3" s="73">
        <v>0.22500000000000001</v>
      </c>
      <c r="G3" s="145">
        <v>0</v>
      </c>
      <c r="H3" s="145">
        <v>0</v>
      </c>
      <c r="I3" s="145">
        <v>0</v>
      </c>
      <c r="J3" s="145">
        <v>0</v>
      </c>
      <c r="K3" s="145">
        <v>0</v>
      </c>
      <c r="L3" s="145">
        <v>0</v>
      </c>
      <c r="M3" s="145">
        <v>0</v>
      </c>
      <c r="N3" s="145">
        <v>0</v>
      </c>
      <c r="O3" s="143">
        <f>SUM(C3:N3)</f>
        <v>0.9</v>
      </c>
      <c r="P3" s="73"/>
      <c r="Q3" s="73"/>
      <c r="R3" s="73"/>
      <c r="S3" s="73"/>
      <c r="T3" s="145"/>
      <c r="U3" s="145"/>
      <c r="V3" s="145"/>
      <c r="W3" s="145"/>
      <c r="X3" s="145"/>
      <c r="Y3" s="145"/>
      <c r="Z3" s="145"/>
      <c r="AA3" s="145"/>
      <c r="AC3" s="70"/>
      <c r="AD3" s="70"/>
      <c r="AE3" s="70"/>
      <c r="AF3" s="70"/>
      <c r="AG3" s="70"/>
      <c r="AH3" s="70"/>
      <c r="AI3" s="70"/>
      <c r="AJ3" s="70"/>
      <c r="AK3" s="70"/>
      <c r="AL3" s="70"/>
      <c r="AM3" s="70"/>
      <c r="AN3" s="70"/>
      <c r="AO3" s="70"/>
      <c r="AP3" s="70"/>
      <c r="AQ3" s="70"/>
      <c r="AR3" s="70"/>
      <c r="AS3" s="70"/>
    </row>
    <row r="4" spans="1:45" ht="15.65" customHeight="1" x14ac:dyDescent="0.35">
      <c r="A4" s="141" t="s">
        <v>258</v>
      </c>
      <c r="B4" s="141" t="s">
        <v>259</v>
      </c>
      <c r="C4" s="73">
        <v>-3.3333333333333333E-2</v>
      </c>
      <c r="D4" s="73">
        <v>-3.3333333333333333E-2</v>
      </c>
      <c r="E4" s="73">
        <v>-3.3333333333333333E-2</v>
      </c>
      <c r="F4" s="73">
        <v>-3.3333333333333333E-2</v>
      </c>
      <c r="G4" s="73">
        <v>-3.3333333333333333E-2</v>
      </c>
      <c r="H4" s="73">
        <v>-3.3333333333333333E-2</v>
      </c>
      <c r="I4" s="73">
        <v>-3.3333333333333333E-2</v>
      </c>
      <c r="J4" s="73">
        <v>-3.3333333333333333E-2</v>
      </c>
      <c r="K4" s="73">
        <v>-3.3333333333333333E-2</v>
      </c>
      <c r="L4" s="73">
        <v>-3.3333333333333333E-2</v>
      </c>
      <c r="M4" s="73">
        <v>-3.3333333333333333E-2</v>
      </c>
      <c r="N4" s="73">
        <v>-3.3333333333333333E-2</v>
      </c>
      <c r="O4" s="143">
        <f>SUM(C4:N4)</f>
        <v>-0.39999999999999997</v>
      </c>
      <c r="P4" s="73"/>
      <c r="Q4" s="73"/>
      <c r="R4" s="73"/>
      <c r="S4" s="73"/>
      <c r="T4" s="73"/>
      <c r="U4" s="73"/>
      <c r="V4" s="73"/>
      <c r="W4" s="73"/>
      <c r="X4" s="73"/>
      <c r="Y4" s="73"/>
      <c r="Z4" s="73"/>
      <c r="AA4" s="73"/>
      <c r="AC4" s="70"/>
      <c r="AD4" s="70"/>
      <c r="AE4" s="70"/>
      <c r="AF4" s="70"/>
      <c r="AG4" s="70"/>
      <c r="AH4" s="70"/>
      <c r="AI4" s="70"/>
      <c r="AJ4" s="70"/>
      <c r="AK4" s="70"/>
      <c r="AL4" s="70"/>
      <c r="AM4" s="70"/>
      <c r="AN4" s="70"/>
    </row>
    <row r="5" spans="1:45" ht="15.65" customHeight="1" x14ac:dyDescent="0.35">
      <c r="A5" s="141" t="s">
        <v>260</v>
      </c>
      <c r="B5" s="141" t="s">
        <v>261</v>
      </c>
      <c r="C5" s="73">
        <v>-0.12</v>
      </c>
      <c r="D5" s="73">
        <v>-0.12</v>
      </c>
      <c r="E5" s="73">
        <v>-0.06</v>
      </c>
      <c r="F5" s="73">
        <v>-0.06</v>
      </c>
      <c r="G5" s="73">
        <v>-0.06</v>
      </c>
      <c r="H5" s="73">
        <v>-0.06</v>
      </c>
      <c r="I5" s="73">
        <v>-0.06</v>
      </c>
      <c r="J5" s="73">
        <v>-0.06</v>
      </c>
      <c r="K5" s="73">
        <v>0</v>
      </c>
      <c r="L5" s="73">
        <v>0</v>
      </c>
      <c r="M5" s="73">
        <v>0</v>
      </c>
      <c r="N5" s="73">
        <v>0</v>
      </c>
      <c r="O5" s="143">
        <f t="shared" ref="O5:O13" si="1">SUM(C5:N5)</f>
        <v>-0.60000000000000009</v>
      </c>
      <c r="P5" s="73"/>
      <c r="Q5" s="73"/>
      <c r="R5" s="73"/>
      <c r="S5" s="73"/>
      <c r="T5" s="73"/>
      <c r="U5" s="73"/>
      <c r="V5" s="73"/>
      <c r="W5" s="73"/>
      <c r="X5" s="73"/>
      <c r="Y5" s="73"/>
      <c r="Z5" s="73"/>
      <c r="AA5" s="73"/>
      <c r="AC5" s="70"/>
      <c r="AD5" s="70"/>
      <c r="AE5" s="70"/>
      <c r="AF5" s="70"/>
      <c r="AG5" s="70"/>
      <c r="AH5" s="70"/>
      <c r="AI5" s="70"/>
      <c r="AJ5" s="70"/>
      <c r="AK5" s="70"/>
      <c r="AL5" s="70"/>
      <c r="AM5" s="70"/>
      <c r="AN5" s="70"/>
    </row>
    <row r="6" spans="1:45" ht="15.65" customHeight="1" x14ac:dyDescent="0.35">
      <c r="A6" s="139" t="s">
        <v>262</v>
      </c>
      <c r="B6" s="139" t="s">
        <v>213</v>
      </c>
      <c r="C6" s="73">
        <v>0.24499999999999997</v>
      </c>
      <c r="D6" s="73">
        <v>0.105</v>
      </c>
      <c r="E6" s="73">
        <v>5.5999999999999994E-2</v>
      </c>
      <c r="F6" s="73">
        <v>5.5999999999999994E-2</v>
      </c>
      <c r="G6" s="73">
        <v>5.5999999999999994E-2</v>
      </c>
      <c r="H6" s="73">
        <v>5.5999999999999994E-2</v>
      </c>
      <c r="I6" s="73">
        <v>5.5999999999999994E-2</v>
      </c>
      <c r="J6" s="73">
        <v>5.5999999999999994E-2</v>
      </c>
      <c r="K6" s="73">
        <v>0</v>
      </c>
      <c r="L6" s="73">
        <v>0</v>
      </c>
      <c r="M6" s="73">
        <v>0</v>
      </c>
      <c r="N6" s="73">
        <v>0</v>
      </c>
      <c r="O6" s="143">
        <f t="shared" si="1"/>
        <v>0.68600000000000017</v>
      </c>
      <c r="P6" s="73"/>
      <c r="Q6" s="73"/>
      <c r="R6" s="73"/>
      <c r="S6" s="73"/>
      <c r="T6" s="73"/>
      <c r="U6" s="73"/>
      <c r="V6" s="73"/>
      <c r="W6" s="73"/>
      <c r="X6" s="73"/>
      <c r="Y6" s="73"/>
      <c r="Z6" s="73"/>
      <c r="AA6" s="73"/>
      <c r="AC6" s="70"/>
      <c r="AD6" s="70"/>
      <c r="AE6" s="70"/>
      <c r="AF6" s="70"/>
      <c r="AG6" s="70"/>
      <c r="AH6" s="70"/>
      <c r="AI6" s="70"/>
      <c r="AJ6" s="70"/>
      <c r="AK6" s="70"/>
      <c r="AL6" s="70"/>
      <c r="AM6" s="70"/>
      <c r="AN6" s="70"/>
    </row>
    <row r="7" spans="1:45" ht="15.65" customHeight="1" x14ac:dyDescent="0.35">
      <c r="A7" s="139" t="s">
        <v>263</v>
      </c>
      <c r="B7" s="139" t="s">
        <v>264</v>
      </c>
      <c r="C7" s="73">
        <v>0.315</v>
      </c>
      <c r="D7" s="73">
        <v>0.315</v>
      </c>
      <c r="E7" s="73">
        <v>9.0000000000000011E-2</v>
      </c>
      <c r="F7" s="73">
        <v>9.0000000000000011E-2</v>
      </c>
      <c r="G7" s="73">
        <v>4.5000000000000005E-2</v>
      </c>
      <c r="H7" s="73">
        <v>4.5000000000000005E-2</v>
      </c>
      <c r="I7" s="73">
        <v>0</v>
      </c>
      <c r="J7" s="73">
        <v>0</v>
      </c>
      <c r="K7" s="73">
        <v>0</v>
      </c>
      <c r="L7" s="73">
        <v>0</v>
      </c>
      <c r="M7" s="73">
        <v>0</v>
      </c>
      <c r="N7" s="73">
        <v>0</v>
      </c>
      <c r="O7" s="143">
        <f t="shared" si="1"/>
        <v>0.9</v>
      </c>
      <c r="P7" s="73"/>
      <c r="Q7" s="73"/>
      <c r="R7" s="73"/>
      <c r="S7" s="73"/>
      <c r="T7" s="73"/>
      <c r="U7" s="73"/>
      <c r="V7" s="73"/>
      <c r="W7" s="73"/>
      <c r="X7" s="73"/>
      <c r="Y7" s="73"/>
      <c r="Z7" s="73"/>
      <c r="AA7" s="73"/>
      <c r="AC7" s="70"/>
      <c r="AD7" s="70"/>
      <c r="AE7" s="70"/>
      <c r="AF7" s="70"/>
      <c r="AG7" s="70"/>
      <c r="AH7" s="70"/>
      <c r="AI7" s="70"/>
      <c r="AJ7" s="70"/>
      <c r="AK7" s="70"/>
      <c r="AL7" s="70"/>
      <c r="AM7" s="70"/>
      <c r="AN7" s="70"/>
    </row>
    <row r="8" spans="1:45" ht="15.65" customHeight="1" x14ac:dyDescent="0.35">
      <c r="A8" s="139" t="s">
        <v>265</v>
      </c>
      <c r="B8" s="139" t="s">
        <v>266</v>
      </c>
      <c r="C8" s="73">
        <v>0.22500000000000001</v>
      </c>
      <c r="D8" s="73">
        <v>0.22500000000000001</v>
      </c>
      <c r="E8" s="73">
        <v>0.22500000000000001</v>
      </c>
      <c r="F8" s="73">
        <v>0.22500000000000001</v>
      </c>
      <c r="G8" s="73">
        <v>0</v>
      </c>
      <c r="H8" s="73">
        <v>0</v>
      </c>
      <c r="I8" s="73">
        <v>0</v>
      </c>
      <c r="J8" s="73">
        <v>0</v>
      </c>
      <c r="K8" s="73">
        <v>0</v>
      </c>
      <c r="L8" s="73">
        <v>0</v>
      </c>
      <c r="M8" s="73">
        <v>0</v>
      </c>
      <c r="N8" s="73">
        <v>0</v>
      </c>
      <c r="O8" s="143">
        <f t="shared" si="1"/>
        <v>0.9</v>
      </c>
      <c r="P8" s="73"/>
      <c r="Q8" s="73"/>
      <c r="R8" s="73"/>
      <c r="S8" s="73"/>
      <c r="T8" s="73"/>
      <c r="U8" s="73"/>
      <c r="V8" s="73"/>
      <c r="W8" s="73"/>
      <c r="X8" s="73"/>
      <c r="Y8" s="73"/>
      <c r="Z8" s="73"/>
      <c r="AA8" s="73"/>
      <c r="AC8" s="70"/>
      <c r="AD8" s="70"/>
      <c r="AE8" s="70"/>
      <c r="AF8" s="70"/>
      <c r="AG8" s="70"/>
      <c r="AH8" s="70"/>
      <c r="AI8" s="70"/>
      <c r="AJ8" s="70"/>
      <c r="AK8" s="70"/>
      <c r="AL8" s="70"/>
      <c r="AM8" s="70"/>
      <c r="AN8" s="70"/>
    </row>
    <row r="9" spans="1:45" ht="15.65" customHeight="1" x14ac:dyDescent="0.35">
      <c r="A9" s="139" t="s">
        <v>267</v>
      </c>
      <c r="B9" s="139" t="s">
        <v>268</v>
      </c>
      <c r="C9" s="73">
        <v>4.9500000000000002E-2</v>
      </c>
      <c r="D9" s="73">
        <v>4.2750000000000003E-2</v>
      </c>
      <c r="E9" s="73">
        <v>4.0500000000000001E-2</v>
      </c>
      <c r="F9" s="73">
        <v>3.8250000000000006E-2</v>
      </c>
      <c r="G9" s="73">
        <v>3.6000000000000004E-2</v>
      </c>
      <c r="H9" s="73">
        <v>3.6000000000000004E-2</v>
      </c>
      <c r="I9" s="73">
        <v>3.6000000000000004E-2</v>
      </c>
      <c r="J9" s="73">
        <v>3.6000000000000004E-2</v>
      </c>
      <c r="K9" s="73">
        <v>3.3750000000000002E-2</v>
      </c>
      <c r="L9" s="73">
        <v>3.3750000000000002E-2</v>
      </c>
      <c r="M9" s="73">
        <v>3.3750000000000002E-2</v>
      </c>
      <c r="N9" s="73">
        <v>3.3750000000000002E-2</v>
      </c>
      <c r="O9" s="143">
        <f t="shared" si="1"/>
        <v>0.45000000000000007</v>
      </c>
      <c r="P9" s="73"/>
      <c r="Q9" s="73"/>
      <c r="R9" s="73"/>
      <c r="S9" s="73"/>
      <c r="T9" s="73"/>
      <c r="U9" s="73"/>
      <c r="V9" s="73"/>
      <c r="W9" s="73"/>
      <c r="X9" s="73"/>
      <c r="Y9" s="73"/>
      <c r="Z9" s="73"/>
      <c r="AA9" s="73"/>
      <c r="AC9" s="70"/>
      <c r="AD9" s="70"/>
      <c r="AE9" s="70"/>
      <c r="AF9" s="70"/>
      <c r="AG9" s="70"/>
      <c r="AH9" s="70"/>
      <c r="AI9" s="70"/>
      <c r="AJ9" s="70"/>
      <c r="AK9" s="70"/>
      <c r="AL9" s="70"/>
      <c r="AM9" s="70"/>
      <c r="AN9" s="70"/>
    </row>
    <row r="10" spans="1:45" ht="15.65" customHeight="1" x14ac:dyDescent="0.35">
      <c r="A10" s="139" t="s">
        <v>269</v>
      </c>
      <c r="B10" s="139" t="s">
        <v>215</v>
      </c>
      <c r="C10" s="73">
        <v>0.14000000000000001</v>
      </c>
      <c r="D10" s="73">
        <v>0.1</v>
      </c>
      <c r="E10" s="73">
        <v>0.1</v>
      </c>
      <c r="F10" s="73">
        <v>0.05</v>
      </c>
      <c r="G10" s="73">
        <v>0.05</v>
      </c>
      <c r="H10" s="73">
        <v>0.05</v>
      </c>
      <c r="I10" s="73">
        <v>0.05</v>
      </c>
      <c r="J10" s="73">
        <v>0.05</v>
      </c>
      <c r="K10" s="73">
        <v>0.05</v>
      </c>
      <c r="L10" s="73">
        <v>0.03</v>
      </c>
      <c r="M10" s="73">
        <v>0.03</v>
      </c>
      <c r="N10" s="73">
        <v>0.03</v>
      </c>
      <c r="O10" s="143">
        <f>SUM(C10:N10)</f>
        <v>0.7300000000000002</v>
      </c>
      <c r="P10" s="73"/>
      <c r="Q10" s="73"/>
      <c r="R10" s="73"/>
      <c r="S10" s="73"/>
      <c r="T10" s="73"/>
      <c r="U10" s="73"/>
      <c r="V10" s="73"/>
      <c r="W10" s="73"/>
      <c r="X10" s="73"/>
      <c r="Y10" s="73"/>
      <c r="Z10" s="73"/>
      <c r="AA10" s="73"/>
      <c r="AC10" s="70"/>
      <c r="AD10" s="70"/>
      <c r="AE10" s="70"/>
      <c r="AF10" s="70"/>
      <c r="AG10" s="70"/>
      <c r="AH10" s="70"/>
      <c r="AI10" s="70"/>
      <c r="AJ10" s="70"/>
      <c r="AK10" s="70"/>
      <c r="AL10" s="70"/>
      <c r="AM10" s="70"/>
      <c r="AN10" s="70"/>
    </row>
    <row r="11" spans="1:45" ht="15.65" customHeight="1" x14ac:dyDescent="0.35">
      <c r="A11" s="139" t="s">
        <v>270</v>
      </c>
      <c r="B11" s="139" t="s">
        <v>271</v>
      </c>
      <c r="C11" s="73">
        <v>0.2</v>
      </c>
      <c r="D11" s="73">
        <v>0.17</v>
      </c>
      <c r="E11" s="73">
        <v>0.16</v>
      </c>
      <c r="F11" s="73">
        <v>0.15</v>
      </c>
      <c r="G11" s="73">
        <v>0.09</v>
      </c>
      <c r="H11" s="73">
        <v>0.05</v>
      </c>
      <c r="I11" s="73">
        <v>0.05</v>
      </c>
      <c r="J11" s="73">
        <v>0.04</v>
      </c>
      <c r="K11" s="73">
        <v>0</v>
      </c>
      <c r="L11" s="73">
        <v>0</v>
      </c>
      <c r="M11" s="73">
        <v>0</v>
      </c>
      <c r="N11" s="73">
        <v>0</v>
      </c>
      <c r="O11" s="143">
        <f>SUM(C11:N11)</f>
        <v>0.91000000000000014</v>
      </c>
      <c r="P11" s="73"/>
      <c r="Q11" s="73"/>
      <c r="R11" s="73"/>
      <c r="S11" s="73"/>
      <c r="T11" s="73"/>
      <c r="U11" s="73"/>
      <c r="V11" s="73"/>
      <c r="W11" s="73"/>
      <c r="X11" s="73"/>
      <c r="Y11" s="73"/>
      <c r="Z11" s="73"/>
      <c r="AA11" s="73"/>
      <c r="AC11" s="70"/>
      <c r="AD11" s="70"/>
      <c r="AE11" s="70"/>
      <c r="AF11" s="70"/>
      <c r="AG11" s="70"/>
      <c r="AH11" s="70"/>
      <c r="AI11" s="70"/>
      <c r="AJ11" s="70"/>
      <c r="AK11" s="70"/>
      <c r="AL11" s="70"/>
      <c r="AM11" s="70"/>
      <c r="AN11" s="70"/>
    </row>
    <row r="12" spans="1:45" ht="47.15" customHeight="1" x14ac:dyDescent="0.35">
      <c r="A12" s="140" t="s">
        <v>272</v>
      </c>
      <c r="B12" s="140" t="s">
        <v>273</v>
      </c>
      <c r="C12" s="73">
        <v>0.2</v>
      </c>
      <c r="D12" s="73">
        <v>0.17</v>
      </c>
      <c r="E12" s="73">
        <v>0.16</v>
      </c>
      <c r="F12" s="73">
        <v>0.15</v>
      </c>
      <c r="G12" s="73">
        <v>0.09</v>
      </c>
      <c r="H12" s="73">
        <v>0.05</v>
      </c>
      <c r="I12" s="73">
        <v>0.05</v>
      </c>
      <c r="J12" s="73">
        <v>0.04</v>
      </c>
      <c r="K12" s="73">
        <v>0</v>
      </c>
      <c r="L12" s="73">
        <v>0</v>
      </c>
      <c r="M12" s="73">
        <v>0</v>
      </c>
      <c r="N12" s="73">
        <v>0</v>
      </c>
      <c r="O12" s="143">
        <f t="shared" si="1"/>
        <v>0.91000000000000014</v>
      </c>
      <c r="P12" s="73"/>
      <c r="Q12" s="73"/>
      <c r="R12" s="73"/>
      <c r="S12" s="73"/>
      <c r="T12" s="73"/>
      <c r="U12" s="73"/>
      <c r="V12" s="73"/>
      <c r="W12" s="73"/>
      <c r="X12" s="73"/>
      <c r="Y12" s="73"/>
      <c r="Z12" s="73"/>
      <c r="AA12" s="73"/>
      <c r="AC12" s="70"/>
      <c r="AD12" s="70"/>
      <c r="AE12" s="70"/>
      <c r="AF12" s="70"/>
      <c r="AG12" s="70"/>
      <c r="AH12" s="70"/>
      <c r="AI12" s="70"/>
      <c r="AJ12" s="70"/>
      <c r="AK12" s="70"/>
      <c r="AL12" s="70"/>
      <c r="AM12" s="70"/>
      <c r="AN12" s="70"/>
    </row>
    <row r="13" spans="1:45" ht="31.4" customHeight="1" x14ac:dyDescent="0.35">
      <c r="A13" s="140" t="s">
        <v>274</v>
      </c>
      <c r="B13" s="140" t="s">
        <v>275</v>
      </c>
      <c r="C13" s="73">
        <v>0.14000000000000001</v>
      </c>
      <c r="D13" s="73">
        <v>0.1</v>
      </c>
      <c r="E13" s="73">
        <v>0.1</v>
      </c>
      <c r="F13" s="73">
        <v>0.05</v>
      </c>
      <c r="G13" s="73">
        <v>0.05</v>
      </c>
      <c r="H13" s="73">
        <v>0.05</v>
      </c>
      <c r="I13" s="73">
        <v>0.05</v>
      </c>
      <c r="J13" s="73">
        <v>0.05</v>
      </c>
      <c r="K13" s="73">
        <v>0.05</v>
      </c>
      <c r="L13" s="73">
        <v>0</v>
      </c>
      <c r="M13" s="73">
        <v>0</v>
      </c>
      <c r="N13" s="73">
        <v>0</v>
      </c>
      <c r="O13" s="143">
        <f t="shared" si="1"/>
        <v>0.64000000000000012</v>
      </c>
      <c r="P13" s="73"/>
      <c r="Q13" s="73"/>
      <c r="R13" s="73"/>
      <c r="S13" s="73"/>
      <c r="T13" s="73"/>
      <c r="U13" s="73"/>
      <c r="V13" s="73"/>
      <c r="W13" s="73"/>
      <c r="X13" s="73"/>
      <c r="Y13" s="73"/>
      <c r="Z13" s="73"/>
      <c r="AA13" s="73"/>
      <c r="AC13" s="70"/>
      <c r="AD13" s="70"/>
      <c r="AE13" s="70"/>
      <c r="AF13" s="70"/>
      <c r="AG13" s="70"/>
      <c r="AH13" s="70"/>
      <c r="AI13" s="70"/>
      <c r="AJ13" s="70"/>
      <c r="AK13" s="70"/>
      <c r="AL13" s="70"/>
      <c r="AM13" s="70"/>
      <c r="AN13" s="70"/>
    </row>
    <row r="14" spans="1:45" ht="47.15" customHeight="1" x14ac:dyDescent="0.35">
      <c r="A14" s="140" t="s">
        <v>276</v>
      </c>
      <c r="B14" s="140" t="s">
        <v>277</v>
      </c>
      <c r="C14" s="73">
        <v>0.04</v>
      </c>
      <c r="D14" s="73">
        <v>0.04</v>
      </c>
      <c r="E14" s="73">
        <v>1.7000000000000001E-2</v>
      </c>
      <c r="F14" s="73">
        <v>1.7000000000000001E-2</v>
      </c>
      <c r="G14" s="73">
        <v>1.7000000000000001E-2</v>
      </c>
      <c r="H14" s="73">
        <v>1.7000000000000001E-2</v>
      </c>
      <c r="I14" s="73">
        <v>1.7000000000000001E-2</v>
      </c>
      <c r="J14" s="73">
        <v>1.7000000000000001E-2</v>
      </c>
      <c r="K14" s="73">
        <v>1.7000000000000001E-2</v>
      </c>
      <c r="L14" s="73">
        <v>1.7000000000000001E-2</v>
      </c>
      <c r="M14" s="73">
        <v>1.7000000000000001E-2</v>
      </c>
      <c r="N14" s="73">
        <v>1.7000000000000001E-2</v>
      </c>
      <c r="O14" s="143">
        <f>SUM(C14:N14)</f>
        <v>0.25000000000000011</v>
      </c>
      <c r="P14" s="73"/>
      <c r="Q14" s="73"/>
      <c r="R14" s="73"/>
      <c r="S14" s="73"/>
      <c r="T14" s="73"/>
      <c r="U14" s="73"/>
      <c r="V14" s="73"/>
      <c r="W14" s="73"/>
      <c r="X14" s="73"/>
      <c r="Y14" s="73"/>
      <c r="Z14" s="73"/>
      <c r="AA14" s="73"/>
      <c r="AC14" s="70"/>
      <c r="AD14" s="70"/>
      <c r="AE14" s="70"/>
      <c r="AF14" s="70"/>
      <c r="AG14" s="70"/>
      <c r="AH14" s="70"/>
      <c r="AI14" s="70"/>
      <c r="AJ14" s="70"/>
      <c r="AK14" s="70"/>
      <c r="AL14" s="70"/>
      <c r="AM14" s="70"/>
      <c r="AN14" s="70"/>
    </row>
    <row r="15" spans="1:45" ht="15.75" customHeight="1" x14ac:dyDescent="0.35">
      <c r="B15" s="140"/>
    </row>
  </sheetData>
  <mergeCells count="1">
    <mergeCell ref="A1:O1"/>
  </mergeCells>
  <pageMargins left="0.7" right="0.7" top="0.75" bottom="0.75" header="0.3" footer="0.3"/>
  <pageSetup paperSize="9" orientation="portrait" horizontalDpi="300" verticalDpi="300"/>
  <drawing r:id="rId1"/>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L121"/>
  <sheetViews>
    <sheetView zoomScale="80" zoomScaleNormal="80" workbookViewId="0">
      <pane xSplit="3" ySplit="10" topLeftCell="R19" activePane="bottomRight" state="frozen"/>
      <selection pane="topRight" activeCell="D1" sqref="D1"/>
      <selection pane="bottomLeft" activeCell="A11" sqref="A11"/>
      <selection pane="bottomRight" activeCell="AD23" sqref="AD23"/>
    </sheetView>
  </sheetViews>
  <sheetFormatPr defaultColWidth="11.453125" defaultRowHeight="14.5" x14ac:dyDescent="0.35"/>
  <cols>
    <col min="2" max="2" width="52.453125" customWidth="1"/>
    <col min="3" max="7" width="11.453125" customWidth="1"/>
    <col min="8" max="8" width="12.1796875" customWidth="1"/>
    <col min="9" max="9" width="8.453125" customWidth="1"/>
    <col min="10" max="10" width="10.453125" customWidth="1"/>
    <col min="11" max="11" width="8.453125" customWidth="1"/>
    <col min="12" max="12" width="11.453125" customWidth="1"/>
    <col min="13" max="20" width="9.453125" customWidth="1"/>
    <col min="21" max="25" width="10.81640625" customWidth="1"/>
    <col min="26" max="26" width="11.1796875" customWidth="1"/>
    <col min="27" max="32" width="9.453125" customWidth="1"/>
    <col min="33" max="36" width="8.453125" customWidth="1"/>
  </cols>
  <sheetData>
    <row r="1" spans="2:30" x14ac:dyDescent="0.35">
      <c r="B1" s="1634" t="s">
        <v>53</v>
      </c>
      <c r="C1" s="1634"/>
      <c r="D1" s="1634"/>
      <c r="E1" s="1634"/>
      <c r="F1" s="1634"/>
      <c r="G1" s="1634"/>
      <c r="H1" s="1634"/>
      <c r="I1" s="1634"/>
      <c r="J1" s="1634"/>
      <c r="K1" s="1634"/>
      <c r="L1" s="1634"/>
      <c r="M1" s="1634"/>
      <c r="N1" s="1634"/>
      <c r="O1" s="1634"/>
      <c r="P1" s="1634"/>
      <c r="Q1" s="1634"/>
      <c r="R1" s="1634"/>
      <c r="S1" s="1634"/>
      <c r="T1" s="1634"/>
      <c r="U1" s="1634"/>
      <c r="V1" s="1634"/>
      <c r="W1" s="1634"/>
      <c r="X1" s="1634"/>
      <c r="Y1" s="1634"/>
      <c r="Z1" s="1634"/>
      <c r="AA1" s="1634"/>
      <c r="AB1" s="1634"/>
      <c r="AC1" s="1634"/>
    </row>
    <row r="2" spans="2:30" ht="14.25" customHeight="1" x14ac:dyDescent="0.35">
      <c r="B2" s="1635" t="s">
        <v>278</v>
      </c>
      <c r="C2" s="1635"/>
      <c r="D2" s="1635"/>
      <c r="E2" s="1635"/>
      <c r="F2" s="1635"/>
      <c r="G2" s="1635"/>
      <c r="H2" s="1635"/>
      <c r="I2" s="1635"/>
      <c r="J2" s="1635"/>
      <c r="K2" s="1635"/>
      <c r="L2" s="1635"/>
      <c r="M2" s="1635"/>
      <c r="N2" s="1635"/>
      <c r="O2" s="1635"/>
      <c r="P2" s="1635"/>
      <c r="Q2" s="1635"/>
      <c r="R2" s="1635"/>
      <c r="S2" s="1635"/>
      <c r="T2" s="1635"/>
      <c r="U2" s="1635"/>
      <c r="V2" s="1635"/>
      <c r="W2" s="1635"/>
      <c r="X2" s="1635"/>
      <c r="Y2" s="1635"/>
      <c r="Z2" s="1635"/>
      <c r="AA2" s="1635"/>
      <c r="AB2" s="1635"/>
      <c r="AC2" s="1635"/>
    </row>
    <row r="3" spans="2:30" x14ac:dyDescent="0.35">
      <c r="B3" s="1635"/>
      <c r="C3" s="1635"/>
      <c r="D3" s="1635"/>
      <c r="E3" s="1635"/>
      <c r="F3" s="1635"/>
      <c r="G3" s="1635"/>
      <c r="H3" s="1635"/>
      <c r="I3" s="1635"/>
      <c r="J3" s="1635"/>
      <c r="K3" s="1635"/>
      <c r="L3" s="1635"/>
      <c r="M3" s="1635"/>
      <c r="N3" s="1635"/>
      <c r="O3" s="1635"/>
      <c r="P3" s="1635"/>
      <c r="Q3" s="1635"/>
      <c r="R3" s="1635"/>
      <c r="S3" s="1635"/>
      <c r="T3" s="1635"/>
      <c r="U3" s="1635"/>
      <c r="V3" s="1635"/>
      <c r="W3" s="1635"/>
      <c r="X3" s="1635"/>
      <c r="Y3" s="1635"/>
      <c r="Z3" s="1635"/>
      <c r="AA3" s="1635"/>
      <c r="AB3" s="1635"/>
      <c r="AC3" s="1635"/>
    </row>
    <row r="4" spans="2:30" x14ac:dyDescent="0.35">
      <c r="B4" s="1635"/>
      <c r="C4" s="1635"/>
      <c r="D4" s="1635"/>
      <c r="E4" s="1635"/>
      <c r="F4" s="1635"/>
      <c r="G4" s="1635"/>
      <c r="H4" s="1635"/>
      <c r="I4" s="1635"/>
      <c r="J4" s="1635"/>
      <c r="K4" s="1635"/>
      <c r="L4" s="1635"/>
      <c r="M4" s="1635"/>
      <c r="N4" s="1635"/>
      <c r="O4" s="1635"/>
      <c r="P4" s="1635"/>
      <c r="Q4" s="1635"/>
      <c r="R4" s="1635"/>
      <c r="S4" s="1635"/>
      <c r="T4" s="1635"/>
      <c r="U4" s="1635"/>
      <c r="V4" s="1635"/>
      <c r="W4" s="1635"/>
      <c r="X4" s="1635"/>
      <c r="Y4" s="1635"/>
      <c r="Z4" s="1635"/>
      <c r="AA4" s="1635"/>
      <c r="AB4" s="1635"/>
      <c r="AC4" s="1635"/>
    </row>
    <row r="5" spans="2:30" x14ac:dyDescent="0.35">
      <c r="B5" s="1635"/>
      <c r="C5" s="1635"/>
      <c r="D5" s="1635"/>
      <c r="E5" s="1635"/>
      <c r="F5" s="1635"/>
      <c r="G5" s="1635"/>
      <c r="H5" s="1635"/>
      <c r="I5" s="1635"/>
      <c r="J5" s="1635"/>
      <c r="K5" s="1635"/>
      <c r="L5" s="1635"/>
      <c r="M5" s="1635"/>
      <c r="N5" s="1635"/>
      <c r="O5" s="1635"/>
      <c r="P5" s="1635"/>
      <c r="Q5" s="1635"/>
      <c r="R5" s="1635"/>
      <c r="S5" s="1635"/>
      <c r="T5" s="1635"/>
      <c r="U5" s="1635"/>
      <c r="V5" s="1635"/>
      <c r="W5" s="1635"/>
      <c r="X5" s="1635"/>
      <c r="Y5" s="1635"/>
      <c r="Z5" s="1635"/>
      <c r="AA5" s="1635"/>
      <c r="AB5" s="1635"/>
      <c r="AC5" s="1635"/>
    </row>
    <row r="6" spans="2:30" ht="38.9" customHeight="1" x14ac:dyDescent="0.35">
      <c r="B6" s="1635"/>
      <c r="C6" s="1635"/>
      <c r="D6" s="1635"/>
      <c r="E6" s="1635"/>
      <c r="F6" s="1635"/>
      <c r="G6" s="1635"/>
      <c r="H6" s="1635"/>
      <c r="I6" s="1635"/>
      <c r="J6" s="1635"/>
      <c r="K6" s="1635"/>
      <c r="L6" s="1635"/>
      <c r="M6" s="1635"/>
      <c r="N6" s="1635"/>
      <c r="O6" s="1635"/>
      <c r="P6" s="1635"/>
      <c r="Q6" s="1635"/>
      <c r="R6" s="1635"/>
      <c r="S6" s="1635"/>
      <c r="T6" s="1635"/>
      <c r="U6" s="1635"/>
      <c r="V6" s="1635"/>
      <c r="W6" s="1635"/>
      <c r="X6" s="1635"/>
      <c r="Y6" s="1635"/>
      <c r="Z6" s="1635"/>
      <c r="AA6" s="1635"/>
      <c r="AB6" s="1635"/>
      <c r="AC6" s="1635"/>
    </row>
    <row r="7" spans="2:30" x14ac:dyDescent="0.35">
      <c r="B7" s="184"/>
      <c r="C7" s="184"/>
      <c r="D7" s="184"/>
      <c r="E7" s="184"/>
      <c r="F7" s="184"/>
      <c r="G7" s="184"/>
      <c r="H7" s="185"/>
      <c r="I7" s="185"/>
      <c r="J7" s="185"/>
      <c r="K7" s="185"/>
      <c r="L7" s="185"/>
      <c r="M7" s="185"/>
      <c r="N7" s="185"/>
      <c r="O7" s="185"/>
      <c r="P7" s="185"/>
      <c r="Q7" s="185"/>
      <c r="R7" s="185"/>
      <c r="S7" s="185"/>
      <c r="T7" s="185"/>
      <c r="U7" s="185"/>
      <c r="V7" s="185"/>
      <c r="W7" s="185"/>
      <c r="X7" s="185"/>
      <c r="Y7" s="185"/>
    </row>
    <row r="8" spans="2:30" ht="14.9" customHeight="1" x14ac:dyDescent="0.35">
      <c r="B8" s="1639" t="s">
        <v>279</v>
      </c>
      <c r="C8" s="1640"/>
      <c r="D8" s="1649" t="s">
        <v>280</v>
      </c>
      <c r="E8" s="1650"/>
      <c r="F8" s="1650"/>
      <c r="G8" s="1650"/>
      <c r="H8" s="1650"/>
      <c r="I8" s="1650"/>
      <c r="J8" s="1650"/>
      <c r="K8" s="1650"/>
      <c r="L8" s="1650"/>
      <c r="M8" s="1650"/>
      <c r="N8" s="1650"/>
      <c r="O8" s="1650"/>
      <c r="P8" s="1650"/>
      <c r="Q8" s="1650"/>
      <c r="R8" s="1650"/>
      <c r="S8" s="1650"/>
      <c r="T8" s="1650"/>
      <c r="U8" s="1232"/>
      <c r="V8" s="1651" t="s">
        <v>281</v>
      </c>
      <c r="W8" s="1629"/>
      <c r="X8" s="1629"/>
      <c r="Y8" s="1629"/>
      <c r="Z8" s="1629"/>
      <c r="AA8" s="1629"/>
      <c r="AB8" s="1629"/>
      <c r="AC8" s="1630"/>
    </row>
    <row r="9" spans="2:30" ht="12.75" customHeight="1" x14ac:dyDescent="0.35">
      <c r="B9" s="1641"/>
      <c r="C9" s="1642"/>
      <c r="D9" s="1125">
        <v>2018</v>
      </c>
      <c r="E9" s="1636">
        <v>2019</v>
      </c>
      <c r="F9" s="1637"/>
      <c r="G9" s="1637"/>
      <c r="H9" s="1638"/>
      <c r="I9" s="1636">
        <v>2020</v>
      </c>
      <c r="J9" s="1637"/>
      <c r="K9" s="1637"/>
      <c r="L9" s="1638"/>
      <c r="M9" s="1645">
        <v>2021</v>
      </c>
      <c r="N9" s="1646"/>
      <c r="O9" s="1646"/>
      <c r="P9" s="1647"/>
      <c r="Q9" s="1648">
        <v>2022</v>
      </c>
      <c r="R9" s="1648"/>
      <c r="S9" s="1235"/>
      <c r="T9" s="1204"/>
      <c r="U9" s="1228"/>
      <c r="V9" s="1229">
        <v>2023</v>
      </c>
      <c r="W9" s="1229"/>
      <c r="X9" s="1230"/>
      <c r="Y9" s="1633">
        <v>2024</v>
      </c>
      <c r="Z9" s="1631"/>
      <c r="AA9" s="1631"/>
      <c r="AB9" s="1632"/>
      <c r="AC9" s="1162">
        <v>2025</v>
      </c>
    </row>
    <row r="10" spans="2:30" ht="14.9" customHeight="1" x14ac:dyDescent="0.35">
      <c r="B10" s="1643"/>
      <c r="C10" s="1644"/>
      <c r="D10" s="1125" t="s">
        <v>282</v>
      </c>
      <c r="E10" s="1125" t="s">
        <v>283</v>
      </c>
      <c r="F10" s="1205" t="s">
        <v>284</v>
      </c>
      <c r="G10" s="1205" t="s">
        <v>238</v>
      </c>
      <c r="H10" s="1127" t="s">
        <v>282</v>
      </c>
      <c r="I10" s="1205" t="s">
        <v>283</v>
      </c>
      <c r="J10" s="1205" t="s">
        <v>284</v>
      </c>
      <c r="K10" s="1205" t="s">
        <v>238</v>
      </c>
      <c r="L10" s="1205" t="s">
        <v>282</v>
      </c>
      <c r="M10" s="558" t="s">
        <v>283</v>
      </c>
      <c r="N10" s="559" t="s">
        <v>284</v>
      </c>
      <c r="O10" s="559" t="s">
        <v>238</v>
      </c>
      <c r="P10" s="557" t="s">
        <v>282</v>
      </c>
      <c r="Q10" s="1205" t="s">
        <v>283</v>
      </c>
      <c r="R10" s="1205" t="s">
        <v>284</v>
      </c>
      <c r="S10" s="1205" t="s">
        <v>238</v>
      </c>
      <c r="T10" s="1127" t="s">
        <v>282</v>
      </c>
      <c r="U10" s="1127" t="s">
        <v>283</v>
      </c>
      <c r="V10" s="190" t="s">
        <v>284</v>
      </c>
      <c r="W10" s="190" t="s">
        <v>238</v>
      </c>
      <c r="X10" s="191" t="s">
        <v>282</v>
      </c>
      <c r="Y10" s="189" t="s">
        <v>283</v>
      </c>
      <c r="Z10" s="186" t="s">
        <v>284</v>
      </c>
      <c r="AA10" s="190" t="s">
        <v>238</v>
      </c>
      <c r="AB10" s="190" t="s">
        <v>282</v>
      </c>
      <c r="AC10" s="192" t="s">
        <v>283</v>
      </c>
    </row>
    <row r="11" spans="2:30" x14ac:dyDescent="0.35">
      <c r="B11" s="1144" t="s">
        <v>102</v>
      </c>
      <c r="C11" s="194" t="s">
        <v>285</v>
      </c>
      <c r="D11" s="1206">
        <f>'Haver Pivoted'!GO14</f>
        <v>27.8</v>
      </c>
      <c r="E11" s="703">
        <f>'Haver Pivoted'!GP14</f>
        <v>29.4</v>
      </c>
      <c r="F11" s="703">
        <f>'Haver Pivoted'!GQ14</f>
        <v>26.9</v>
      </c>
      <c r="G11" s="703">
        <f>'Haver Pivoted'!GR14</f>
        <v>26.4</v>
      </c>
      <c r="H11" s="703">
        <f>'Haver Pivoted'!GS14</f>
        <v>27.7</v>
      </c>
      <c r="I11" s="703">
        <f>'Haver Pivoted'!GT14</f>
        <v>40.700000000000003</v>
      </c>
      <c r="J11" s="703">
        <f>'Haver Pivoted'!GU14</f>
        <v>1007.5</v>
      </c>
      <c r="K11" s="703">
        <f>'Haver Pivoted'!GV14</f>
        <v>792.9</v>
      </c>
      <c r="L11" s="703">
        <f>'Haver Pivoted'!GW14</f>
        <v>308.5</v>
      </c>
      <c r="M11" s="703">
        <f>'Haver Pivoted'!GX14</f>
        <v>556.20000000000005</v>
      </c>
      <c r="N11" s="703">
        <f>'Haver Pivoted'!GY14</f>
        <v>448.6</v>
      </c>
      <c r="O11" s="703">
        <f>'Haver Pivoted'!GZ14</f>
        <v>245.1</v>
      </c>
      <c r="P11" s="703">
        <f>'Haver Pivoted'!HA14</f>
        <v>33.799999999999997</v>
      </c>
      <c r="Q11" s="1208">
        <f>'Haver Pivoted'!HB14</f>
        <v>23.6</v>
      </c>
      <c r="R11" s="1208">
        <f>'Haver Pivoted'!HC14</f>
        <v>18.600000000000001</v>
      </c>
      <c r="S11" s="1205">
        <f>'Haver Pivoted'!HD14</f>
        <v>18.5</v>
      </c>
      <c r="T11" s="1205">
        <f>'Haver Pivoted'!HE14</f>
        <v>20.399999999999999</v>
      </c>
      <c r="U11" s="1127">
        <f>'Haver Pivoted'!HF14</f>
        <v>22.8</v>
      </c>
      <c r="V11" s="201">
        <f>V12+V13+V20</f>
        <v>23.451428571428572</v>
      </c>
      <c r="W11" s="201">
        <f t="shared" ref="V11:AC11" si="0">W12+W13+W20</f>
        <v>26.702057142857143</v>
      </c>
      <c r="X11" s="201">
        <f t="shared" si="0"/>
        <v>29.959199999999999</v>
      </c>
      <c r="Y11" s="201">
        <f t="shared" si="0"/>
        <v>31.913485714285713</v>
      </c>
      <c r="Z11" s="201">
        <f t="shared" si="0"/>
        <v>33.314057142857138</v>
      </c>
      <c r="AA11" s="201">
        <f t="shared" si="0"/>
        <v>33.216342857142855</v>
      </c>
      <c r="AB11" s="201">
        <f t="shared" si="0"/>
        <v>32.200114285714285</v>
      </c>
      <c r="AC11" s="1112">
        <f t="shared" si="0"/>
        <v>31.652914285714289</v>
      </c>
      <c r="AD11" s="163" t="s">
        <v>286</v>
      </c>
    </row>
    <row r="12" spans="2:30" x14ac:dyDescent="0.35">
      <c r="B12" s="179" t="s">
        <v>287</v>
      </c>
      <c r="C12" s="1207" t="s">
        <v>288</v>
      </c>
      <c r="D12" s="196">
        <f>'Haver Pivoted'!GO63</f>
        <v>0</v>
      </c>
      <c r="E12" s="1208">
        <f>'Haver Pivoted'!GP63</f>
        <v>0</v>
      </c>
      <c r="F12" s="1208">
        <f>'Haver Pivoted'!GQ63</f>
        <v>0</v>
      </c>
      <c r="G12" s="1208">
        <f>'Haver Pivoted'!GR63</f>
        <v>0</v>
      </c>
      <c r="H12" s="1208">
        <f>'Haver Pivoted'!GS63</f>
        <v>0</v>
      </c>
      <c r="I12" s="1208">
        <f>'Haver Pivoted'!GT63</f>
        <v>0</v>
      </c>
      <c r="J12" s="1208">
        <f>'Haver Pivoted'!GU63</f>
        <v>0.1</v>
      </c>
      <c r="K12" s="1208">
        <f>'Haver Pivoted'!GV63</f>
        <v>3.7</v>
      </c>
      <c r="L12" s="1208">
        <f>'Haver Pivoted'!GW63</f>
        <v>12.9</v>
      </c>
      <c r="M12" s="1208">
        <f>'Haver Pivoted'!GX63</f>
        <v>25.5</v>
      </c>
      <c r="N12" s="1208">
        <f>'Haver Pivoted'!GY63</f>
        <v>3.8</v>
      </c>
      <c r="O12" s="1208">
        <f>'Haver Pivoted'!GZ63</f>
        <v>1.8</v>
      </c>
      <c r="P12" s="1208">
        <f>'Haver Pivoted'!HA63</f>
        <v>0.6</v>
      </c>
      <c r="Q12" s="1208">
        <f>'Haver Pivoted'!HB63</f>
        <v>0.2</v>
      </c>
      <c r="R12" s="1208">
        <f>'Haver Pivoted'!HC63</f>
        <v>0.1</v>
      </c>
      <c r="S12" s="1205">
        <f>'Haver Pivoted'!HD63</f>
        <v>0</v>
      </c>
      <c r="T12" s="1205">
        <f>'Haver Pivoted'!HE63</f>
        <v>0</v>
      </c>
      <c r="U12" s="1127">
        <f>'Haver Pivoted'!HF63</f>
        <v>0</v>
      </c>
      <c r="V12" s="1274">
        <f t="shared" ref="V12:AC12" si="1">U12*V23/U23</f>
        <v>0</v>
      </c>
      <c r="W12" s="1274">
        <f t="shared" si="1"/>
        <v>0</v>
      </c>
      <c r="X12" s="1274">
        <f t="shared" si="1"/>
        <v>0</v>
      </c>
      <c r="Y12" s="1274">
        <f t="shared" si="1"/>
        <v>0</v>
      </c>
      <c r="Z12" s="1274">
        <f t="shared" si="1"/>
        <v>0</v>
      </c>
      <c r="AA12" s="1274">
        <f t="shared" si="1"/>
        <v>0</v>
      </c>
      <c r="AB12" s="1274">
        <f t="shared" si="1"/>
        <v>0</v>
      </c>
      <c r="AC12" s="183">
        <f t="shared" si="1"/>
        <v>0</v>
      </c>
    </row>
    <row r="13" spans="2:30" x14ac:dyDescent="0.35">
      <c r="B13" s="179" t="s">
        <v>289</v>
      </c>
      <c r="C13" s="1207"/>
      <c r="D13" s="196"/>
      <c r="E13" s="1208"/>
      <c r="F13" s="1208"/>
      <c r="G13" s="1208"/>
      <c r="H13" s="1209">
        <f>SUM(H14:H17)</f>
        <v>0</v>
      </c>
      <c r="I13" s="1209">
        <f t="shared" ref="I13:M13" si="2">SUM(I14:I17)</f>
        <v>0</v>
      </c>
      <c r="J13" s="1209">
        <f t="shared" si="2"/>
        <v>779.7</v>
      </c>
      <c r="K13" s="1209">
        <f t="shared" si="2"/>
        <v>582.6</v>
      </c>
      <c r="L13" s="1209">
        <f t="shared" si="2"/>
        <v>216.5</v>
      </c>
      <c r="M13" s="1209">
        <f t="shared" si="2"/>
        <v>497.6</v>
      </c>
      <c r="N13" s="1210">
        <f>SUM(N14:N17)</f>
        <v>401.5</v>
      </c>
      <c r="O13" s="1210">
        <f t="shared" ref="O13:AC13" si="3">SUM(O14:O17)</f>
        <v>207.4</v>
      </c>
      <c r="P13" s="1210">
        <f t="shared" si="3"/>
        <v>5.5</v>
      </c>
      <c r="Q13" s="1210">
        <v>0</v>
      </c>
      <c r="R13" s="1210">
        <f t="shared" si="3"/>
        <v>1</v>
      </c>
      <c r="S13" s="1211">
        <f t="shared" si="3"/>
        <v>0.5</v>
      </c>
      <c r="T13" s="1211">
        <f t="shared" si="3"/>
        <v>0.30000000000000004</v>
      </c>
      <c r="U13" s="199">
        <f t="shared" si="3"/>
        <v>0</v>
      </c>
      <c r="V13" s="1274">
        <f t="shared" si="3"/>
        <v>0</v>
      </c>
      <c r="W13" s="1274">
        <f t="shared" si="3"/>
        <v>0</v>
      </c>
      <c r="X13" s="1274">
        <f t="shared" si="3"/>
        <v>0</v>
      </c>
      <c r="Y13" s="1274">
        <f t="shared" si="3"/>
        <v>0</v>
      </c>
      <c r="Z13" s="1274">
        <f t="shared" si="3"/>
        <v>0</v>
      </c>
      <c r="AA13" s="1274">
        <f t="shared" si="3"/>
        <v>0</v>
      </c>
      <c r="AB13" s="1274">
        <f t="shared" si="3"/>
        <v>0</v>
      </c>
      <c r="AC13" s="183">
        <f t="shared" si="3"/>
        <v>0</v>
      </c>
    </row>
    <row r="14" spans="2:30" ht="18" customHeight="1" x14ac:dyDescent="0.35">
      <c r="B14" s="1128" t="s">
        <v>290</v>
      </c>
      <c r="C14" s="1212" t="s">
        <v>288</v>
      </c>
      <c r="D14" s="195">
        <f>'Haver Pivoted'!GO63</f>
        <v>0</v>
      </c>
      <c r="E14" s="1213">
        <f>'Haver Pivoted'!GP63</f>
        <v>0</v>
      </c>
      <c r="F14" s="1213">
        <f>'Haver Pivoted'!GQ63</f>
        <v>0</v>
      </c>
      <c r="G14" s="1213">
        <f>'Haver Pivoted'!GR63</f>
        <v>0</v>
      </c>
      <c r="H14" s="1213">
        <f>'Haver Pivoted'!GS63</f>
        <v>0</v>
      </c>
      <c r="I14" s="1213">
        <f>'Haver Pivoted'!GT63</f>
        <v>0</v>
      </c>
      <c r="J14" s="1213">
        <f>'Haver Pivoted'!GU63</f>
        <v>0.1</v>
      </c>
      <c r="K14" s="1213">
        <f>'Haver Pivoted'!GV63</f>
        <v>3.7</v>
      </c>
      <c r="L14" s="1213">
        <f>'Haver Pivoted'!GW63</f>
        <v>12.9</v>
      </c>
      <c r="M14" s="1213">
        <f>'Haver Pivoted'!GX63</f>
        <v>25.5</v>
      </c>
      <c r="N14" s="1213">
        <f>'Haver Pivoted'!GY63</f>
        <v>3.8</v>
      </c>
      <c r="O14" s="1213">
        <f>'Haver Pivoted'!GZ63</f>
        <v>1.8</v>
      </c>
      <c r="P14" s="1213">
        <f>'Haver Pivoted'!HA63</f>
        <v>0.6</v>
      </c>
      <c r="Q14" s="1213">
        <f>'Haver Pivoted'!HB63</f>
        <v>0.2</v>
      </c>
      <c r="R14" s="1213">
        <f>'Haver Pivoted'!HC63</f>
        <v>0.1</v>
      </c>
      <c r="S14" s="1214">
        <f>'Haver Pivoted'!HD63</f>
        <v>0</v>
      </c>
      <c r="T14" s="1214">
        <f>'Haver Pivoted'!HE63</f>
        <v>0</v>
      </c>
      <c r="U14" s="174">
        <f>'Haver Pivoted'!HF63</f>
        <v>0</v>
      </c>
      <c r="V14" s="1274">
        <f t="shared" ref="V14:X14" si="4">V12</f>
        <v>0</v>
      </c>
      <c r="W14" s="1274">
        <f t="shared" si="4"/>
        <v>0</v>
      </c>
      <c r="X14" s="1274">
        <f t="shared" si="4"/>
        <v>0</v>
      </c>
      <c r="Y14" s="1274">
        <f>Y12</f>
        <v>0</v>
      </c>
      <c r="Z14" s="1274">
        <f t="shared" ref="Z14:AC14" si="5">Z12</f>
        <v>0</v>
      </c>
      <c r="AA14" s="1274">
        <f t="shared" si="5"/>
        <v>0</v>
      </c>
      <c r="AB14" s="1274">
        <f t="shared" si="5"/>
        <v>0</v>
      </c>
      <c r="AC14" s="183">
        <f t="shared" si="5"/>
        <v>0</v>
      </c>
    </row>
    <row r="15" spans="2:30" ht="18" customHeight="1" x14ac:dyDescent="0.35">
      <c r="B15" s="1128" t="s">
        <v>291</v>
      </c>
      <c r="C15" s="1212" t="s">
        <v>292</v>
      </c>
      <c r="D15" s="195">
        <f>'Haver Pivoted'!GO59</f>
        <v>0</v>
      </c>
      <c r="E15" s="1213">
        <f>'Haver Pivoted'!GP59</f>
        <v>0</v>
      </c>
      <c r="F15" s="1213">
        <f>'Haver Pivoted'!GQ59</f>
        <v>0</v>
      </c>
      <c r="G15" s="1213">
        <f>'Haver Pivoted'!GR59</f>
        <v>0</v>
      </c>
      <c r="H15" s="1213">
        <f>'Haver Pivoted'!GS59</f>
        <v>0</v>
      </c>
      <c r="I15" s="1213">
        <f>'Haver Pivoted'!GT59</f>
        <v>0</v>
      </c>
      <c r="J15" s="1213">
        <f>'Haver Pivoted'!GU59</f>
        <v>6.3</v>
      </c>
      <c r="K15" s="1213">
        <f>'Haver Pivoted'!GV59</f>
        <v>26.7</v>
      </c>
      <c r="L15" s="1213">
        <f>'Haver Pivoted'!GW59</f>
        <v>82.1</v>
      </c>
      <c r="M15" s="1213">
        <f>'Haver Pivoted'!GX59</f>
        <v>94.7</v>
      </c>
      <c r="N15" s="1213">
        <f>'Haver Pivoted'!GY59</f>
        <v>92.1</v>
      </c>
      <c r="O15" s="1213">
        <f>'Haver Pivoted'!GZ59</f>
        <v>51.6</v>
      </c>
      <c r="P15" s="1213">
        <f>'Haver Pivoted'!HA59</f>
        <v>2.8</v>
      </c>
      <c r="Q15" s="1213">
        <f>'Haver Pivoted'!HB59</f>
        <v>0.8</v>
      </c>
      <c r="R15" s="1213">
        <f>'Haver Pivoted'!HC59</f>
        <v>0.5</v>
      </c>
      <c r="S15" s="1214">
        <f>'Haver Pivoted'!HD59</f>
        <v>0.3</v>
      </c>
      <c r="T15" s="1214">
        <f>'Haver Pivoted'!HE59</f>
        <v>0.2</v>
      </c>
      <c r="U15" s="174">
        <f>'Haver Pivoted'!HF59</f>
        <v>0</v>
      </c>
      <c r="V15" s="1274">
        <f t="shared" ref="V15:AC17" si="6">U15*V$23/U$23</f>
        <v>0</v>
      </c>
      <c r="W15" s="1274">
        <f t="shared" si="6"/>
        <v>0</v>
      </c>
      <c r="X15" s="1274">
        <f t="shared" si="6"/>
        <v>0</v>
      </c>
      <c r="Y15" s="1274">
        <f t="shared" si="6"/>
        <v>0</v>
      </c>
      <c r="Z15" s="1274">
        <f t="shared" si="6"/>
        <v>0</v>
      </c>
      <c r="AA15" s="1274">
        <f t="shared" si="6"/>
        <v>0</v>
      </c>
      <c r="AB15" s="1274">
        <f t="shared" si="6"/>
        <v>0</v>
      </c>
      <c r="AC15" s="183">
        <f t="shared" si="6"/>
        <v>0</v>
      </c>
    </row>
    <row r="16" spans="2:30" ht="18" customHeight="1" x14ac:dyDescent="0.35">
      <c r="B16" s="1128" t="s">
        <v>293</v>
      </c>
      <c r="C16" s="1212" t="s">
        <v>294</v>
      </c>
      <c r="D16" s="195">
        <f>'Haver Pivoted'!GO60</f>
        <v>0</v>
      </c>
      <c r="E16" s="1213">
        <f>'Haver Pivoted'!GP60</f>
        <v>0</v>
      </c>
      <c r="F16" s="1213">
        <f>'Haver Pivoted'!GQ60</f>
        <v>0</v>
      </c>
      <c r="G16" s="1213">
        <f>'Haver Pivoted'!GR60</f>
        <v>0</v>
      </c>
      <c r="H16" s="1213">
        <f>'Haver Pivoted'!GS60</f>
        <v>0</v>
      </c>
      <c r="I16" s="1213">
        <f>'Haver Pivoted'!GT60</f>
        <v>0</v>
      </c>
      <c r="J16" s="1213">
        <f>'Haver Pivoted'!GU60</f>
        <v>74.400000000000006</v>
      </c>
      <c r="K16" s="1213">
        <f>'Haver Pivoted'!GV60</f>
        <v>138.30000000000001</v>
      </c>
      <c r="L16" s="1213">
        <f>'Haver Pivoted'!GW60</f>
        <v>106.8</v>
      </c>
      <c r="M16" s="1213">
        <f>'Haver Pivoted'!GX60</f>
        <v>89.2</v>
      </c>
      <c r="N16" s="1213">
        <f>'Haver Pivoted'!GY60</f>
        <v>72.3</v>
      </c>
      <c r="O16" s="1213">
        <f>'Haver Pivoted'!GZ60</f>
        <v>43.5</v>
      </c>
      <c r="P16" s="1213">
        <f>'Haver Pivoted'!HA60</f>
        <v>2.1</v>
      </c>
      <c r="Q16" s="1213">
        <f>'Haver Pivoted'!HB60</f>
        <v>0.8</v>
      </c>
      <c r="R16" s="1213">
        <f>'Haver Pivoted'!HC60</f>
        <v>0.4</v>
      </c>
      <c r="S16" s="1214">
        <f>'Haver Pivoted'!HD60</f>
        <v>0.2</v>
      </c>
      <c r="T16" s="1214">
        <f>'Haver Pivoted'!HE60</f>
        <v>0.1</v>
      </c>
      <c r="U16" s="174">
        <f>'Haver Pivoted'!HF60</f>
        <v>0</v>
      </c>
      <c r="V16" s="1274">
        <f t="shared" si="6"/>
        <v>0</v>
      </c>
      <c r="W16" s="1274">
        <f t="shared" si="6"/>
        <v>0</v>
      </c>
      <c r="X16" s="1274">
        <f t="shared" si="6"/>
        <v>0</v>
      </c>
      <c r="Y16" s="1274">
        <f t="shared" si="6"/>
        <v>0</v>
      </c>
      <c r="Z16" s="1274">
        <f t="shared" si="6"/>
        <v>0</v>
      </c>
      <c r="AA16" s="1274">
        <f t="shared" si="6"/>
        <v>0</v>
      </c>
      <c r="AB16" s="1274">
        <f t="shared" si="6"/>
        <v>0</v>
      </c>
      <c r="AC16" s="183">
        <f t="shared" si="6"/>
        <v>0</v>
      </c>
    </row>
    <row r="17" spans="2:33" ht="18" customHeight="1" x14ac:dyDescent="0.35">
      <c r="B17" s="1128" t="s">
        <v>295</v>
      </c>
      <c r="C17" s="1212" t="s">
        <v>296</v>
      </c>
      <c r="D17" s="195">
        <f>'Haver Pivoted'!GO61</f>
        <v>0</v>
      </c>
      <c r="E17" s="1213">
        <f>'Haver Pivoted'!GP61</f>
        <v>0</v>
      </c>
      <c r="F17" s="1213">
        <f>'Haver Pivoted'!GQ61</f>
        <v>0</v>
      </c>
      <c r="G17" s="1213">
        <f>'Haver Pivoted'!GR61</f>
        <v>0</v>
      </c>
      <c r="H17" s="1213">
        <f>'Haver Pivoted'!GS61</f>
        <v>0</v>
      </c>
      <c r="I17" s="1213">
        <f>'Haver Pivoted'!GT61</f>
        <v>0</v>
      </c>
      <c r="J17" s="1213">
        <f>'Haver Pivoted'!GU61</f>
        <v>698.9</v>
      </c>
      <c r="K17" s="1213">
        <f>'Haver Pivoted'!GV61</f>
        <v>413.9</v>
      </c>
      <c r="L17" s="1213">
        <f>'Haver Pivoted'!GW61</f>
        <v>14.7</v>
      </c>
      <c r="M17" s="1213">
        <f>'Haver Pivoted'!GX61</f>
        <v>288.2</v>
      </c>
      <c r="N17" s="1213">
        <f>'Haver Pivoted'!GY61</f>
        <v>233.3</v>
      </c>
      <c r="O17" s="1213">
        <f>'Haver Pivoted'!GZ61</f>
        <v>110.5</v>
      </c>
      <c r="P17" s="1213">
        <f>'Haver Pivoted'!HA61</f>
        <v>0</v>
      </c>
      <c r="Q17" s="1213">
        <f>'Haver Pivoted'!HB61</f>
        <v>0</v>
      </c>
      <c r="R17" s="1213">
        <f>'Haver Pivoted'!HC61</f>
        <v>0</v>
      </c>
      <c r="S17" s="1214">
        <f>'Haver Pivoted'!HD61</f>
        <v>0</v>
      </c>
      <c r="T17" s="1214">
        <f>'Haver Pivoted'!HE61</f>
        <v>0</v>
      </c>
      <c r="U17" s="174">
        <f>'Haver Pivoted'!HF61</f>
        <v>0</v>
      </c>
      <c r="V17" s="1274">
        <f t="shared" si="6"/>
        <v>0</v>
      </c>
      <c r="W17" s="1274">
        <f t="shared" si="6"/>
        <v>0</v>
      </c>
      <c r="X17" s="1274">
        <f t="shared" si="6"/>
        <v>0</v>
      </c>
      <c r="Y17" s="1274">
        <f t="shared" si="6"/>
        <v>0</v>
      </c>
      <c r="Z17" s="1274">
        <f t="shared" si="6"/>
        <v>0</v>
      </c>
      <c r="AA17" s="1274">
        <f t="shared" si="6"/>
        <v>0</v>
      </c>
      <c r="AB17" s="1274">
        <f t="shared" si="6"/>
        <v>0</v>
      </c>
      <c r="AC17" s="183">
        <f t="shared" si="6"/>
        <v>0</v>
      </c>
    </row>
    <row r="18" spans="2:33" x14ac:dyDescent="0.35">
      <c r="B18" s="1131" t="s">
        <v>158</v>
      </c>
      <c r="C18" s="1189" t="s">
        <v>297</v>
      </c>
      <c r="D18" s="196">
        <f>'Haver Pivoted'!GO64</f>
        <v>0</v>
      </c>
      <c r="E18" s="1208">
        <f>'Haver Pivoted'!GP64</f>
        <v>0</v>
      </c>
      <c r="F18" s="1208">
        <f>'Haver Pivoted'!GQ64</f>
        <v>0</v>
      </c>
      <c r="G18" s="1208">
        <f>'Haver Pivoted'!GR64</f>
        <v>0</v>
      </c>
      <c r="H18" s="1208">
        <f>'Haver Pivoted'!GS64</f>
        <v>0</v>
      </c>
      <c r="I18" s="1208">
        <f>'Haver Pivoted'!GT64</f>
        <v>0</v>
      </c>
      <c r="J18" s="1208">
        <f>'Haver Pivoted'!GU64</f>
        <v>0</v>
      </c>
      <c r="K18" s="1208">
        <f>'Haver Pivoted'!GV64</f>
        <v>106.2</v>
      </c>
      <c r="L18" s="1208">
        <f>'Haver Pivoted'!GW64</f>
        <v>35.9</v>
      </c>
      <c r="M18" s="1208">
        <f>'Haver Pivoted'!GX64</f>
        <v>1.6</v>
      </c>
      <c r="N18" s="1208">
        <f>'Haver Pivoted'!GY64</f>
        <v>0.6</v>
      </c>
      <c r="O18" s="1208">
        <f>'Haver Pivoted'!GZ64</f>
        <v>0.1</v>
      </c>
      <c r="P18" s="1208">
        <f>'Haver Pivoted'!HA64</f>
        <v>0</v>
      </c>
      <c r="Q18" s="1213">
        <f>'Haver Pivoted'!HB64</f>
        <v>0</v>
      </c>
      <c r="R18" s="1213">
        <f>'Haver Pivoted'!HC64</f>
        <v>0</v>
      </c>
      <c r="S18" s="1214">
        <f>'Haver Pivoted'!HD64</f>
        <v>0</v>
      </c>
      <c r="T18" s="1214">
        <f>'Haver Pivoted'!HE64</f>
        <v>0</v>
      </c>
      <c r="U18" s="174">
        <f>'Haver Pivoted'!HF64</f>
        <v>0</v>
      </c>
      <c r="V18" s="1274"/>
      <c r="W18" s="1274"/>
      <c r="X18" s="1274"/>
      <c r="Y18" s="1274"/>
      <c r="Z18" s="1274"/>
      <c r="AA18" s="1274"/>
      <c r="AB18" s="1274"/>
      <c r="AC18" s="183"/>
    </row>
    <row r="19" spans="2:33" ht="14.9" customHeight="1" x14ac:dyDescent="0.35">
      <c r="B19" s="187" t="s">
        <v>298</v>
      </c>
      <c r="C19" s="1215"/>
      <c r="D19" s="176">
        <f t="shared" ref="D19:N19" si="7">D11-D20</f>
        <v>0</v>
      </c>
      <c r="E19" s="1216">
        <f t="shared" si="7"/>
        <v>0</v>
      </c>
      <c r="F19" s="1216">
        <f t="shared" si="7"/>
        <v>0</v>
      </c>
      <c r="G19" s="1216">
        <f t="shared" si="7"/>
        <v>0</v>
      </c>
      <c r="H19" s="1216">
        <f t="shared" si="7"/>
        <v>0</v>
      </c>
      <c r="I19" s="1216">
        <f t="shared" si="7"/>
        <v>0</v>
      </c>
      <c r="J19" s="1216">
        <f t="shared" si="7"/>
        <v>779.80000000000007</v>
      </c>
      <c r="K19" s="1216">
        <f t="shared" si="7"/>
        <v>586.29999999999995</v>
      </c>
      <c r="L19" s="1216">
        <f t="shared" si="7"/>
        <v>229.4</v>
      </c>
      <c r="M19" s="1216">
        <f t="shared" si="7"/>
        <v>523.1</v>
      </c>
      <c r="N19" s="1217">
        <f t="shared" si="7"/>
        <v>405.3</v>
      </c>
      <c r="O19" s="1217">
        <f>O11-O20</f>
        <v>209.20000000000002</v>
      </c>
      <c r="P19" s="1217">
        <f t="shared" ref="P19" si="8">P11-P20</f>
        <v>6.1000000000000014</v>
      </c>
      <c r="Q19" s="1217">
        <f>Q11-Q20</f>
        <v>0.19999999999999929</v>
      </c>
      <c r="R19" s="1217">
        <f>R11-R20</f>
        <v>1.1000000000000014</v>
      </c>
      <c r="S19" s="1218">
        <f>S11-S20</f>
        <v>0.5</v>
      </c>
      <c r="T19" s="1218">
        <f>T11-T20</f>
        <v>0.30000000000000071</v>
      </c>
      <c r="U19" s="173">
        <f>U11-U20</f>
        <v>0</v>
      </c>
      <c r="V19" s="1275">
        <f t="shared" ref="V19:AC19" si="9">V11-V20</f>
        <v>0</v>
      </c>
      <c r="W19" s="1275">
        <f t="shared" si="9"/>
        <v>0</v>
      </c>
      <c r="X19" s="1275">
        <f t="shared" si="9"/>
        <v>0</v>
      </c>
      <c r="Y19" s="1275">
        <f t="shared" si="9"/>
        <v>0</v>
      </c>
      <c r="Z19" s="1275">
        <f t="shared" si="9"/>
        <v>0</v>
      </c>
      <c r="AA19" s="1275">
        <f t="shared" si="9"/>
        <v>0</v>
      </c>
      <c r="AB19" s="1275">
        <f t="shared" si="9"/>
        <v>0</v>
      </c>
      <c r="AC19" s="156">
        <f t="shared" si="9"/>
        <v>0</v>
      </c>
    </row>
    <row r="20" spans="2:33" ht="14.9" customHeight="1" x14ac:dyDescent="0.35">
      <c r="B20" s="187" t="s">
        <v>299</v>
      </c>
      <c r="C20" s="1215"/>
      <c r="D20" s="176">
        <f t="shared" ref="D20:H20" si="10">D11</f>
        <v>27.8</v>
      </c>
      <c r="E20" s="1216">
        <f t="shared" si="10"/>
        <v>29.4</v>
      </c>
      <c r="F20" s="1216">
        <f t="shared" si="10"/>
        <v>26.9</v>
      </c>
      <c r="G20" s="1216">
        <f t="shared" si="10"/>
        <v>26.4</v>
      </c>
      <c r="H20" s="1216">
        <f t="shared" si="10"/>
        <v>27.7</v>
      </c>
      <c r="I20" s="1216">
        <f>I11</f>
        <v>40.700000000000003</v>
      </c>
      <c r="J20" s="1216">
        <f>J11-J13-J12</f>
        <v>227.69999999999996</v>
      </c>
      <c r="K20" s="1216">
        <f>K11-K13-K12</f>
        <v>206.59999999999997</v>
      </c>
      <c r="L20" s="1216">
        <f>L11-L13-L12</f>
        <v>79.099999999999994</v>
      </c>
      <c r="M20" s="1216">
        <f>M11-M13-M12</f>
        <v>33.100000000000023</v>
      </c>
      <c r="N20" s="1217">
        <f t="shared" ref="N20:U20" si="11">N11-N12-N13</f>
        <v>43.300000000000011</v>
      </c>
      <c r="O20" s="1217">
        <f t="shared" si="11"/>
        <v>35.899999999999977</v>
      </c>
      <c r="P20" s="1217">
        <f t="shared" si="11"/>
        <v>27.699999999999996</v>
      </c>
      <c r="Q20" s="1213">
        <f t="shared" si="11"/>
        <v>23.400000000000002</v>
      </c>
      <c r="R20" s="1213">
        <f t="shared" si="11"/>
        <v>17.5</v>
      </c>
      <c r="S20" s="1214">
        <f t="shared" si="11"/>
        <v>18</v>
      </c>
      <c r="T20" s="1214">
        <f t="shared" si="11"/>
        <v>20.099999999999998</v>
      </c>
      <c r="U20" s="174">
        <f t="shared" si="11"/>
        <v>22.8</v>
      </c>
      <c r="V20" s="1275">
        <f>U20*V23/U23</f>
        <v>23.451428571428572</v>
      </c>
      <c r="W20" s="1275">
        <f>V20*W23/V23</f>
        <v>26.702057142857143</v>
      </c>
      <c r="X20" s="1275">
        <f t="shared" ref="V20:AC20" si="12">W20*X23/W23</f>
        <v>29.959199999999999</v>
      </c>
      <c r="Y20" s="1275">
        <f t="shared" si="12"/>
        <v>31.913485714285713</v>
      </c>
      <c r="Z20" s="1275">
        <f t="shared" si="12"/>
        <v>33.314057142857138</v>
      </c>
      <c r="AA20" s="1275">
        <f t="shared" si="12"/>
        <v>33.216342857142855</v>
      </c>
      <c r="AB20" s="1275">
        <f t="shared" si="12"/>
        <v>32.200114285714285</v>
      </c>
      <c r="AC20" s="156">
        <f t="shared" si="12"/>
        <v>31.652914285714289</v>
      </c>
      <c r="AD20" s="177" t="s">
        <v>300</v>
      </c>
    </row>
    <row r="21" spans="2:33" x14ac:dyDescent="0.35">
      <c r="B21" s="1131"/>
      <c r="C21" s="1219"/>
      <c r="D21" s="195"/>
      <c r="E21" s="1213"/>
      <c r="F21" s="1213"/>
      <c r="G21" s="1213"/>
      <c r="H21" s="1209"/>
      <c r="I21" s="1209"/>
      <c r="J21" s="1209"/>
      <c r="K21" s="1209"/>
      <c r="L21" s="1209"/>
      <c r="M21" s="1209"/>
      <c r="N21" s="1209"/>
      <c r="O21" s="1209"/>
      <c r="P21" s="1209"/>
      <c r="Q21" s="1209"/>
      <c r="R21" s="1209"/>
      <c r="S21" s="1209"/>
      <c r="T21" s="1236"/>
      <c r="U21" s="398"/>
      <c r="V21" s="1274"/>
      <c r="W21" s="1274"/>
      <c r="X21" s="1274"/>
      <c r="Y21" s="1274"/>
      <c r="Z21" s="1274"/>
      <c r="AA21" s="1274"/>
      <c r="AB21" s="1274"/>
      <c r="AC21" s="183"/>
    </row>
    <row r="22" spans="2:33" x14ac:dyDescent="0.35">
      <c r="B22" s="482" t="s">
        <v>1809</v>
      </c>
      <c r="C22" s="1219"/>
      <c r="D22" s="1213"/>
      <c r="E22" s="1213"/>
      <c r="F22" s="1213"/>
      <c r="G22" s="1213"/>
      <c r="H22" s="1209"/>
      <c r="I22" s="1209"/>
      <c r="J22" s="1209"/>
      <c r="K22" s="1209"/>
      <c r="L22" s="1209"/>
      <c r="M22" s="1209"/>
      <c r="N22" s="1209"/>
      <c r="O22" s="1209"/>
      <c r="P22" s="1209"/>
      <c r="Q22" s="1209"/>
      <c r="R22" s="1209"/>
      <c r="S22" s="1209"/>
      <c r="T22" s="1236"/>
      <c r="U22" s="1238"/>
      <c r="V22" s="1191">
        <v>4.5990000000000002</v>
      </c>
      <c r="W22" s="1191">
        <v>4.899</v>
      </c>
      <c r="X22" s="1191">
        <v>5.1139999999999999</v>
      </c>
      <c r="Y22" s="1191">
        <v>5.0990000000000002</v>
      </c>
      <c r="Z22" s="1191">
        <v>4.9429999999999996</v>
      </c>
      <c r="AA22" s="1191">
        <v>4.859</v>
      </c>
      <c r="AB22" s="1191">
        <v>4.7990000000000004</v>
      </c>
      <c r="AC22" s="1276">
        <v>4.7759999999999998</v>
      </c>
    </row>
    <row r="23" spans="2:33" x14ac:dyDescent="0.35">
      <c r="B23" s="1131" t="s">
        <v>2226</v>
      </c>
      <c r="C23" s="217"/>
      <c r="D23" s="218"/>
      <c r="E23" s="219"/>
      <c r="F23" s="219"/>
      <c r="G23" s="219"/>
      <c r="H23" s="220"/>
      <c r="I23" s="220"/>
      <c r="J23" s="220"/>
      <c r="K23" s="220"/>
      <c r="L23" s="220"/>
      <c r="M23" s="220">
        <f>GETPIVOTDATA("Monthly UR",$E$49,"Quarters",M24,"Years",M25)</f>
        <v>6.166666666666667</v>
      </c>
      <c r="N23" s="220">
        <f t="shared" ref="N23:U23" si="13">GETPIVOTDATA("Monthly UR",$E$49,"Quarters",N24,"Years",N25)</f>
        <v>5.7666666666666657</v>
      </c>
      <c r="O23" s="220">
        <f t="shared" si="13"/>
        <v>5.1333333333333337</v>
      </c>
      <c r="P23" s="220">
        <f t="shared" si="13"/>
        <v>4.2333333333333334</v>
      </c>
      <c r="Q23" s="1209">
        <f t="shared" si="13"/>
        <v>3.8000000000000003</v>
      </c>
      <c r="R23" s="1209">
        <f t="shared" si="13"/>
        <v>3.6</v>
      </c>
      <c r="S23" s="1209">
        <f t="shared" si="13"/>
        <v>3.5666666666666664</v>
      </c>
      <c r="T23" s="1209">
        <f t="shared" si="13"/>
        <v>3.6</v>
      </c>
      <c r="U23" s="595">
        <f t="shared" si="13"/>
        <v>3.5</v>
      </c>
      <c r="V23" s="1178">
        <v>3.6</v>
      </c>
      <c r="W23" s="1178">
        <v>4.0990000000000002</v>
      </c>
      <c r="X23" s="1178">
        <f>V22</f>
        <v>4.5990000000000002</v>
      </c>
      <c r="Y23" s="1178">
        <f t="shared" ref="Y23:AC23" si="14">W22</f>
        <v>4.899</v>
      </c>
      <c r="Z23" s="1178">
        <f t="shared" si="14"/>
        <v>5.1139999999999999</v>
      </c>
      <c r="AA23" s="1178">
        <f t="shared" si="14"/>
        <v>5.0990000000000002</v>
      </c>
      <c r="AB23" s="1178">
        <f t="shared" si="14"/>
        <v>4.9429999999999996</v>
      </c>
      <c r="AC23" s="1178">
        <f t="shared" si="14"/>
        <v>4.859</v>
      </c>
      <c r="AD23" s="188" t="s">
        <v>301</v>
      </c>
    </row>
    <row r="24" spans="2:33" ht="15.75" customHeight="1" x14ac:dyDescent="0.35">
      <c r="B24" s="1220" t="s">
        <v>1909</v>
      </c>
      <c r="C24" s="1221"/>
      <c r="D24" s="1222"/>
      <c r="E24" s="1222"/>
      <c r="F24" s="1222"/>
      <c r="G24" s="1222"/>
      <c r="H24" s="1222"/>
      <c r="I24" s="1222"/>
      <c r="J24" s="1222"/>
      <c r="K24" s="1222"/>
      <c r="L24" s="1222"/>
      <c r="M24" s="1222">
        <v>1</v>
      </c>
      <c r="N24" s="1222">
        <v>2</v>
      </c>
      <c r="O24" s="1222">
        <v>3</v>
      </c>
      <c r="P24" s="1222">
        <v>4</v>
      </c>
      <c r="Q24" s="1222">
        <v>1</v>
      </c>
      <c r="R24" s="1222">
        <v>2</v>
      </c>
      <c r="S24" s="1222">
        <v>3</v>
      </c>
      <c r="T24" s="1222">
        <v>4</v>
      </c>
      <c r="U24" s="1223">
        <v>1</v>
      </c>
      <c r="V24" s="1222">
        <v>2</v>
      </c>
      <c r="W24" s="1222">
        <v>3</v>
      </c>
      <c r="X24" s="1222">
        <v>4</v>
      </c>
      <c r="Y24" s="1222">
        <v>1</v>
      </c>
      <c r="Z24" s="1222">
        <v>2</v>
      </c>
      <c r="AA24" s="1222">
        <v>3</v>
      </c>
      <c r="AB24" s="1222">
        <v>4</v>
      </c>
      <c r="AC24" s="1223">
        <v>1</v>
      </c>
      <c r="AD24" s="1084">
        <v>2</v>
      </c>
      <c r="AE24" s="1084">
        <v>3</v>
      </c>
      <c r="AF24" s="1084">
        <v>4</v>
      </c>
    </row>
    <row r="25" spans="2:33" x14ac:dyDescent="0.35">
      <c r="B25" s="1224" t="s">
        <v>1910</v>
      </c>
      <c r="C25" s="1225"/>
      <c r="D25" s="1226"/>
      <c r="E25" s="1226"/>
      <c r="F25" s="1226"/>
      <c r="G25" s="1226"/>
      <c r="H25" s="1226"/>
      <c r="I25" s="1226"/>
      <c r="J25" s="1226"/>
      <c r="K25" s="1226"/>
      <c r="L25" s="1226"/>
      <c r="M25" s="1226">
        <v>2021</v>
      </c>
      <c r="N25" s="1226">
        <v>2021</v>
      </c>
      <c r="O25" s="1226">
        <v>2021</v>
      </c>
      <c r="P25" s="1226">
        <v>2021</v>
      </c>
      <c r="Q25" s="1226">
        <v>2022</v>
      </c>
      <c r="R25" s="1226">
        <v>2022</v>
      </c>
      <c r="S25" s="1226">
        <v>2022</v>
      </c>
      <c r="T25" s="1226">
        <v>2022</v>
      </c>
      <c r="U25" s="1227">
        <v>2023</v>
      </c>
      <c r="V25" s="1226">
        <v>2023</v>
      </c>
      <c r="W25" s="1226">
        <v>2023</v>
      </c>
      <c r="X25" s="1226">
        <v>2023</v>
      </c>
      <c r="Y25" s="1226">
        <v>2024</v>
      </c>
      <c r="Z25" s="1226">
        <v>2024</v>
      </c>
      <c r="AA25" s="1226">
        <v>2024</v>
      </c>
      <c r="AB25" s="1226">
        <v>2024</v>
      </c>
      <c r="AC25" s="1227">
        <v>2025</v>
      </c>
      <c r="AD25" s="188"/>
    </row>
    <row r="26" spans="2:33" s="1157" customFormat="1" x14ac:dyDescent="0.35">
      <c r="B26" s="1158"/>
      <c r="C26" s="1159"/>
      <c r="D26" s="1160"/>
      <c r="E26" s="1160"/>
      <c r="F26" s="1160"/>
      <c r="G26" s="1160"/>
      <c r="H26" s="1160"/>
      <c r="I26" s="1160"/>
      <c r="J26" s="1160"/>
      <c r="K26" s="1160"/>
      <c r="L26" s="1160"/>
      <c r="M26" s="1160"/>
      <c r="N26" s="1160"/>
      <c r="O26" s="1160"/>
      <c r="P26" s="1160"/>
      <c r="Q26" s="1160"/>
      <c r="R26" s="1160"/>
      <c r="S26" s="1160"/>
      <c r="T26" s="1160"/>
      <c r="U26" s="1160"/>
      <c r="V26" s="1160"/>
      <c r="W26" s="1160"/>
      <c r="X26" s="1160"/>
      <c r="Y26" s="1160"/>
      <c r="Z26" s="1160"/>
      <c r="AA26" s="1160"/>
      <c r="AB26" s="1160"/>
      <c r="AC26" s="1160"/>
      <c r="AD26" s="1161"/>
    </row>
    <row r="27" spans="2:33" s="1157" customFormat="1" x14ac:dyDescent="0.35">
      <c r="B27"/>
      <c r="C27"/>
      <c r="D27" s="1176"/>
      <c r="E27" s="1176"/>
      <c r="F27" s="1176"/>
      <c r="G27" s="1176"/>
      <c r="H27" s="1176"/>
      <c r="I27" s="1176"/>
      <c r="J27" s="1176"/>
      <c r="K27" s="1176"/>
      <c r="L27" s="1176"/>
      <c r="M27" s="1176"/>
      <c r="N27" s="1176"/>
      <c r="O27" s="1176"/>
      <c r="P27" s="1176"/>
      <c r="Q27" s="1176"/>
      <c r="R27" s="1176"/>
      <c r="S27" s="1176"/>
      <c r="T27" s="1176"/>
      <c r="U27" s="1629" t="s">
        <v>281</v>
      </c>
      <c r="V27" s="1629"/>
      <c r="W27" s="1629"/>
      <c r="X27" s="1629"/>
      <c r="Y27" s="1629"/>
      <c r="Z27" s="1629"/>
      <c r="AA27" s="1629"/>
      <c r="AB27" s="1629"/>
      <c r="AC27" s="1630"/>
      <c r="AD27" s="1161"/>
    </row>
    <row r="28" spans="2:33" s="1157" customFormat="1" x14ac:dyDescent="0.35">
      <c r="B28"/>
      <c r="C28"/>
      <c r="D28" s="1167"/>
      <c r="E28" s="1177"/>
      <c r="F28" s="1177"/>
      <c r="G28" s="1177"/>
      <c r="H28" s="1177"/>
      <c r="I28" s="1177"/>
      <c r="J28" s="1177"/>
      <c r="K28" s="1177"/>
      <c r="L28" s="1177"/>
      <c r="M28" s="1177"/>
      <c r="N28" s="1177"/>
      <c r="O28" s="1177"/>
      <c r="P28" s="1177"/>
      <c r="Q28" s="1177"/>
      <c r="R28" s="1177"/>
      <c r="S28" s="1168"/>
      <c r="T28" s="1168"/>
      <c r="U28" s="1631">
        <v>2023</v>
      </c>
      <c r="V28" s="1631"/>
      <c r="W28" s="1631"/>
      <c r="X28" s="1632"/>
      <c r="Y28" s="1633">
        <v>2024</v>
      </c>
      <c r="Z28" s="1631"/>
      <c r="AA28" s="1631"/>
      <c r="AB28" s="1631"/>
      <c r="AC28" s="1162">
        <v>2025</v>
      </c>
      <c r="AD28" s="1161"/>
    </row>
    <row r="29" spans="2:33" s="1157" customFormat="1" x14ac:dyDescent="0.35">
      <c r="B29"/>
      <c r="C29"/>
      <c r="D29" s="1167"/>
      <c r="E29" s="1167"/>
      <c r="F29" s="1167"/>
      <c r="G29" s="1167"/>
      <c r="H29" s="1167"/>
      <c r="I29" s="1167"/>
      <c r="J29" s="1167"/>
      <c r="K29" s="1167"/>
      <c r="L29" s="1167"/>
      <c r="M29" s="1167"/>
      <c r="N29" s="1167"/>
      <c r="O29" s="1167"/>
      <c r="P29" s="1167"/>
      <c r="Q29" s="1167"/>
      <c r="R29" s="1167"/>
      <c r="S29" s="1167"/>
      <c r="T29" s="1167"/>
      <c r="U29" s="190" t="s">
        <v>283</v>
      </c>
      <c r="V29" s="190" t="s">
        <v>284</v>
      </c>
      <c r="W29" s="190" t="s">
        <v>238</v>
      </c>
      <c r="X29" s="191" t="s">
        <v>282</v>
      </c>
      <c r="Y29" s="189" t="s">
        <v>283</v>
      </c>
      <c r="Z29" s="186" t="s">
        <v>284</v>
      </c>
      <c r="AA29" s="190" t="s">
        <v>238</v>
      </c>
      <c r="AB29" s="190" t="s">
        <v>282</v>
      </c>
      <c r="AC29" s="192" t="s">
        <v>283</v>
      </c>
      <c r="AD29" s="1161"/>
    </row>
    <row r="30" spans="2:33" s="1157" customFormat="1" x14ac:dyDescent="0.35">
      <c r="B30" s="1144" t="s">
        <v>102</v>
      </c>
      <c r="C30" s="194" t="s">
        <v>285</v>
      </c>
      <c r="D30" s="1167"/>
      <c r="E30" s="1167"/>
      <c r="F30" s="1167"/>
      <c r="G30" s="1167"/>
      <c r="H30" s="1167"/>
      <c r="I30" s="1167"/>
      <c r="J30" s="1167"/>
      <c r="K30" s="1167"/>
      <c r="L30" s="1167"/>
      <c r="M30" s="1167"/>
      <c r="N30" s="1167"/>
      <c r="O30" s="1167"/>
      <c r="P30" s="1167"/>
      <c r="Q30" s="1167"/>
      <c r="R30" s="1167"/>
      <c r="S30" s="1167"/>
      <c r="T30" s="1167"/>
      <c r="U30" s="201">
        <v>22.830999999999996</v>
      </c>
      <c r="V30" s="201">
        <v>26.060999999999996</v>
      </c>
      <c r="W30" s="201">
        <v>27.760999999999992</v>
      </c>
      <c r="X30" s="201">
        <v>28.979333333333326</v>
      </c>
      <c r="Y30" s="201">
        <v>28.894333333333329</v>
      </c>
      <c r="Z30" s="201">
        <v>28.010333333333325</v>
      </c>
      <c r="AA30" s="201">
        <v>27.534333333333322</v>
      </c>
      <c r="AB30" s="201">
        <v>27.194333333333322</v>
      </c>
      <c r="AC30" s="1112">
        <v>27.063999999999986</v>
      </c>
      <c r="AD30" s="1161"/>
    </row>
    <row r="31" spans="2:33" s="1157" customFormat="1" x14ac:dyDescent="0.35">
      <c r="B31" s="179" t="s">
        <v>287</v>
      </c>
      <c r="C31" s="180" t="s">
        <v>288</v>
      </c>
      <c r="D31" s="1167"/>
      <c r="E31" s="1167"/>
      <c r="F31" s="1167"/>
      <c r="G31" s="1167"/>
      <c r="H31" s="1167"/>
      <c r="I31" s="1167"/>
      <c r="J31" s="1167"/>
      <c r="K31" s="1167"/>
      <c r="L31" s="1167"/>
      <c r="M31" s="1167"/>
      <c r="N31" s="1167"/>
      <c r="O31" s="1167"/>
      <c r="P31" s="1167"/>
      <c r="Q31" s="1167"/>
      <c r="R31" s="1167"/>
      <c r="S31" s="1167"/>
      <c r="T31" s="1167"/>
      <c r="U31" s="175">
        <v>0</v>
      </c>
      <c r="V31" s="175">
        <v>0</v>
      </c>
      <c r="W31" s="175">
        <v>0</v>
      </c>
      <c r="X31" s="175">
        <v>0</v>
      </c>
      <c r="Y31" s="175">
        <v>0</v>
      </c>
      <c r="Z31" s="175">
        <v>0</v>
      </c>
      <c r="AA31" s="175">
        <v>0</v>
      </c>
      <c r="AB31" s="175">
        <v>0</v>
      </c>
      <c r="AC31" s="183">
        <v>0</v>
      </c>
      <c r="AD31" s="1161"/>
      <c r="AE31" s="1628" t="s">
        <v>2214</v>
      </c>
      <c r="AF31" s="1628"/>
      <c r="AG31" s="1628"/>
    </row>
    <row r="32" spans="2:33" s="1157" customFormat="1" x14ac:dyDescent="0.35">
      <c r="B32" s="179" t="s">
        <v>289</v>
      </c>
      <c r="C32" s="180"/>
      <c r="D32" s="1167"/>
      <c r="E32" s="1167"/>
      <c r="F32" s="1167"/>
      <c r="G32" s="1167"/>
      <c r="H32" s="1169"/>
      <c r="I32" s="1169"/>
      <c r="J32" s="1169"/>
      <c r="K32" s="1169"/>
      <c r="L32" s="1169"/>
      <c r="M32" s="1169"/>
      <c r="N32" s="1170"/>
      <c r="O32" s="1170"/>
      <c r="P32" s="1170"/>
      <c r="Q32" s="1170"/>
      <c r="R32" s="1170"/>
      <c r="S32" s="1170"/>
      <c r="T32" s="1170"/>
      <c r="U32" s="175">
        <v>0.33575000000000005</v>
      </c>
      <c r="V32" s="175">
        <v>0.38324999999999998</v>
      </c>
      <c r="W32" s="175">
        <v>0.40825</v>
      </c>
      <c r="X32" s="175">
        <v>0.42616666666666664</v>
      </c>
      <c r="Y32" s="175">
        <v>0.42491666666666672</v>
      </c>
      <c r="Z32" s="175">
        <v>0.4119166666666666</v>
      </c>
      <c r="AA32" s="175">
        <v>0.40491666666666665</v>
      </c>
      <c r="AB32" s="175">
        <v>0.3999166666666667</v>
      </c>
      <c r="AC32" s="183">
        <v>0.39799999999999996</v>
      </c>
      <c r="AD32" s="1161"/>
      <c r="AE32" s="1628"/>
      <c r="AF32" s="1628"/>
      <c r="AG32" s="1628"/>
    </row>
    <row r="33" spans="2:33" s="1157" customFormat="1" ht="28" x14ac:dyDescent="0.35">
      <c r="B33" s="1097" t="s">
        <v>290</v>
      </c>
      <c r="C33" s="1098" t="s">
        <v>288</v>
      </c>
      <c r="D33" s="1171"/>
      <c r="E33" s="1171"/>
      <c r="F33" s="1171"/>
      <c r="G33" s="1171"/>
      <c r="H33" s="1171"/>
      <c r="I33" s="1171"/>
      <c r="J33" s="1171"/>
      <c r="K33" s="1171"/>
      <c r="L33" s="1171"/>
      <c r="M33" s="1171"/>
      <c r="N33" s="1171"/>
      <c r="O33" s="1171"/>
      <c r="P33" s="1171"/>
      <c r="Q33" s="1171"/>
      <c r="R33" s="1171"/>
      <c r="S33" s="1171"/>
      <c r="T33" s="1171"/>
      <c r="U33" s="175">
        <v>0</v>
      </c>
      <c r="V33" s="175">
        <v>0</v>
      </c>
      <c r="W33" s="175">
        <v>0</v>
      </c>
      <c r="X33" s="175">
        <v>0</v>
      </c>
      <c r="Y33" s="175">
        <v>0</v>
      </c>
      <c r="Z33" s="175">
        <v>0</v>
      </c>
      <c r="AA33" s="175">
        <v>0</v>
      </c>
      <c r="AB33" s="175">
        <v>0</v>
      </c>
      <c r="AC33" s="183">
        <v>0</v>
      </c>
      <c r="AD33" s="1161"/>
      <c r="AE33" s="1628"/>
      <c r="AF33" s="1628"/>
      <c r="AG33" s="1628"/>
    </row>
    <row r="34" spans="2:33" s="1157" customFormat="1" ht="28" x14ac:dyDescent="0.35">
      <c r="B34" s="1097" t="s">
        <v>291</v>
      </c>
      <c r="C34" s="1098" t="s">
        <v>292</v>
      </c>
      <c r="D34" s="1171"/>
      <c r="E34" s="1171"/>
      <c r="F34" s="1171"/>
      <c r="G34" s="1171"/>
      <c r="H34" s="1171"/>
      <c r="I34" s="1171"/>
      <c r="J34" s="1171"/>
      <c r="K34" s="1171"/>
      <c r="L34" s="1171"/>
      <c r="M34" s="1171"/>
      <c r="N34" s="1171"/>
      <c r="O34" s="1171"/>
      <c r="P34" s="1171"/>
      <c r="Q34" s="1171"/>
      <c r="R34" s="1171"/>
      <c r="S34" s="1171"/>
      <c r="T34" s="1171"/>
      <c r="U34" s="175">
        <v>0.22383333333333336</v>
      </c>
      <c r="V34" s="175">
        <v>0.2555</v>
      </c>
      <c r="W34" s="175">
        <v>0.27216666666666667</v>
      </c>
      <c r="X34" s="175">
        <v>0.28411111111111109</v>
      </c>
      <c r="Y34" s="175">
        <v>0.28327777777777779</v>
      </c>
      <c r="Z34" s="175">
        <v>0.27461111111111108</v>
      </c>
      <c r="AA34" s="175">
        <v>0.26994444444444443</v>
      </c>
      <c r="AB34" s="175">
        <v>0.26661111111111113</v>
      </c>
      <c r="AC34" s="183">
        <v>0.26533333333333331</v>
      </c>
      <c r="AD34" s="1161"/>
      <c r="AE34" s="1628"/>
      <c r="AF34" s="1628"/>
      <c r="AG34" s="1628"/>
    </row>
    <row r="35" spans="2:33" s="1157" customFormat="1" x14ac:dyDescent="0.35">
      <c r="B35" s="1097" t="s">
        <v>293</v>
      </c>
      <c r="C35" s="1098" t="s">
        <v>294</v>
      </c>
      <c r="D35" s="1171"/>
      <c r="E35" s="1171"/>
      <c r="F35" s="1171"/>
      <c r="G35" s="1171"/>
      <c r="H35" s="1171"/>
      <c r="I35" s="1171"/>
      <c r="J35" s="1171"/>
      <c r="K35" s="1171"/>
      <c r="L35" s="1171"/>
      <c r="M35" s="1171"/>
      <c r="N35" s="1171"/>
      <c r="O35" s="1171"/>
      <c r="P35" s="1171"/>
      <c r="Q35" s="1171"/>
      <c r="R35" s="1171"/>
      <c r="S35" s="1171"/>
      <c r="T35" s="1171"/>
      <c r="U35" s="175">
        <v>0.11191666666666668</v>
      </c>
      <c r="V35" s="175">
        <v>0.12775</v>
      </c>
      <c r="W35" s="175">
        <v>0.13608333333333333</v>
      </c>
      <c r="X35" s="175">
        <v>0.14205555555555555</v>
      </c>
      <c r="Y35" s="175">
        <v>0.1416388888888889</v>
      </c>
      <c r="Z35" s="175">
        <v>0.13730555555555554</v>
      </c>
      <c r="AA35" s="175">
        <v>0.13497222222222222</v>
      </c>
      <c r="AB35" s="175">
        <v>0.13330555555555557</v>
      </c>
      <c r="AC35" s="183">
        <v>0.13266666666666665</v>
      </c>
      <c r="AD35" s="1161"/>
      <c r="AE35" s="1628"/>
      <c r="AF35" s="1628"/>
      <c r="AG35" s="1628"/>
    </row>
    <row r="36" spans="2:33" s="1157" customFormat="1" x14ac:dyDescent="0.35">
      <c r="B36" s="1097" t="s">
        <v>295</v>
      </c>
      <c r="C36" s="1098" t="s">
        <v>296</v>
      </c>
      <c r="D36" s="1171"/>
      <c r="E36" s="1171"/>
      <c r="F36" s="1171"/>
      <c r="G36" s="1171"/>
      <c r="H36" s="1171"/>
      <c r="I36" s="1171"/>
      <c r="J36" s="1171"/>
      <c r="K36" s="1171"/>
      <c r="L36" s="1171"/>
      <c r="M36" s="1171"/>
      <c r="N36" s="1171"/>
      <c r="O36" s="1171"/>
      <c r="P36" s="1171"/>
      <c r="Q36" s="1171"/>
      <c r="R36" s="1171"/>
      <c r="S36" s="1171"/>
      <c r="T36" s="1171"/>
      <c r="U36" s="175">
        <v>0</v>
      </c>
      <c r="V36" s="175">
        <v>0</v>
      </c>
      <c r="W36" s="175">
        <v>0</v>
      </c>
      <c r="X36" s="175">
        <v>0</v>
      </c>
      <c r="Y36" s="175">
        <v>0</v>
      </c>
      <c r="Z36" s="175">
        <v>0</v>
      </c>
      <c r="AA36" s="175">
        <v>0</v>
      </c>
      <c r="AB36" s="175">
        <v>0</v>
      </c>
      <c r="AC36" s="183">
        <v>0</v>
      </c>
      <c r="AD36" s="1161"/>
    </row>
    <row r="37" spans="2:33" s="1157" customFormat="1" x14ac:dyDescent="0.35">
      <c r="B37" s="1099" t="s">
        <v>158</v>
      </c>
      <c r="C37" s="163" t="s">
        <v>297</v>
      </c>
      <c r="D37" s="1167"/>
      <c r="E37" s="1167"/>
      <c r="F37" s="1167"/>
      <c r="G37" s="1167"/>
      <c r="H37" s="1167"/>
      <c r="I37" s="1167"/>
      <c r="J37" s="1167"/>
      <c r="K37" s="1167"/>
      <c r="L37" s="1167"/>
      <c r="M37" s="1167"/>
      <c r="N37" s="1167"/>
      <c r="O37" s="1167"/>
      <c r="P37" s="1167"/>
      <c r="Q37" s="1171"/>
      <c r="R37" s="1171"/>
      <c r="S37" s="1171"/>
      <c r="T37" s="1171"/>
      <c r="U37" s="175"/>
      <c r="V37" s="175"/>
      <c r="W37" s="175"/>
      <c r="X37" s="175"/>
      <c r="Y37" s="175"/>
      <c r="Z37" s="175"/>
      <c r="AA37" s="175"/>
      <c r="AB37" s="175"/>
      <c r="AC37" s="183"/>
      <c r="AD37" s="1161"/>
    </row>
    <row r="38" spans="2:33" s="1157" customFormat="1" x14ac:dyDescent="0.35">
      <c r="B38" s="187" t="s">
        <v>298</v>
      </c>
      <c r="C38" s="193"/>
      <c r="D38" s="1172"/>
      <c r="E38" s="1172"/>
      <c r="F38" s="1172"/>
      <c r="G38" s="1172"/>
      <c r="H38" s="1172"/>
      <c r="I38" s="1172"/>
      <c r="J38" s="1172"/>
      <c r="K38" s="1172"/>
      <c r="L38" s="1172"/>
      <c r="M38" s="1172"/>
      <c r="N38" s="1173"/>
      <c r="O38" s="1173"/>
      <c r="P38" s="1173"/>
      <c r="Q38" s="1173"/>
      <c r="R38" s="1173"/>
      <c r="S38" s="1173"/>
      <c r="T38" s="1173"/>
      <c r="U38" s="155">
        <v>0.33575000000000088</v>
      </c>
      <c r="V38" s="155">
        <v>0.38325000000000031</v>
      </c>
      <c r="W38" s="155">
        <v>0.40824999999999889</v>
      </c>
      <c r="X38" s="155">
        <v>0.42616666666666703</v>
      </c>
      <c r="Y38" s="155">
        <v>0.42491666666666816</v>
      </c>
      <c r="Z38" s="155">
        <v>0.41191666666666649</v>
      </c>
      <c r="AA38" s="155">
        <v>0.40491666666666504</v>
      </c>
      <c r="AB38" s="155">
        <v>0.39991666666666603</v>
      </c>
      <c r="AC38" s="155">
        <v>0.39799999999999969</v>
      </c>
      <c r="AD38" s="1161"/>
    </row>
    <row r="39" spans="2:33" s="1157" customFormat="1" x14ac:dyDescent="0.35">
      <c r="B39" s="187" t="s">
        <v>299</v>
      </c>
      <c r="C39" s="193"/>
      <c r="D39" s="1172"/>
      <c r="E39" s="1172"/>
      <c r="F39" s="1172"/>
      <c r="G39" s="1172"/>
      <c r="H39" s="1172"/>
      <c r="I39" s="1172"/>
      <c r="J39" s="1172"/>
      <c r="K39" s="1172"/>
      <c r="L39" s="1172"/>
      <c r="M39" s="1172"/>
      <c r="N39" s="1173"/>
      <c r="O39" s="1173"/>
      <c r="P39" s="1173"/>
      <c r="Q39" s="1171"/>
      <c r="R39" s="1171"/>
      <c r="S39" s="1171"/>
      <c r="T39" s="1171"/>
      <c r="U39" s="155">
        <v>22.495249999999995</v>
      </c>
      <c r="V39" s="155">
        <v>25.677749999999996</v>
      </c>
      <c r="W39" s="155">
        <v>27.352749999999993</v>
      </c>
      <c r="X39" s="155">
        <v>28.553166666666659</v>
      </c>
      <c r="Y39" s="155">
        <v>28.46941666666666</v>
      </c>
      <c r="Z39" s="155">
        <v>27.598416666666658</v>
      </c>
      <c r="AA39" s="155">
        <v>27.129416666666657</v>
      </c>
      <c r="AB39" s="155">
        <v>26.794416666666656</v>
      </c>
      <c r="AC39" s="156">
        <v>26.665999999999986</v>
      </c>
      <c r="AD39" s="1161"/>
    </row>
    <row r="40" spans="2:33" s="1157" customFormat="1" x14ac:dyDescent="0.35">
      <c r="B40" s="1099"/>
      <c r="C40" s="1100"/>
      <c r="D40" s="1171"/>
      <c r="E40" s="1171"/>
      <c r="F40" s="1171"/>
      <c r="G40" s="1171"/>
      <c r="H40" s="1169"/>
      <c r="I40" s="1169"/>
      <c r="J40" s="1169"/>
      <c r="K40" s="1169"/>
      <c r="L40" s="1169"/>
      <c r="M40" s="1169"/>
      <c r="N40" s="1169"/>
      <c r="O40" s="1169"/>
      <c r="P40" s="1169"/>
      <c r="Q40" s="1169"/>
      <c r="R40" s="1169"/>
      <c r="S40" s="1169"/>
      <c r="T40" s="1174"/>
      <c r="U40" s="175"/>
      <c r="V40" s="175"/>
      <c r="W40" s="175"/>
      <c r="X40" s="175"/>
      <c r="Y40" s="175"/>
      <c r="Z40" s="175"/>
      <c r="AA40" s="175"/>
      <c r="AB40" s="175"/>
      <c r="AC40" s="183"/>
      <c r="AD40" s="1161"/>
    </row>
    <row r="41" spans="2:33" s="1157" customFormat="1" x14ac:dyDescent="0.35">
      <c r="B41" s="1163" t="s">
        <v>1809</v>
      </c>
      <c r="C41" s="1100"/>
      <c r="D41" s="1171"/>
      <c r="E41" s="1171"/>
      <c r="F41" s="1171"/>
      <c r="G41" s="1171"/>
      <c r="H41" s="1169"/>
      <c r="I41" s="1169"/>
      <c r="J41" s="1169"/>
      <c r="K41" s="1169"/>
      <c r="L41" s="1169"/>
      <c r="M41" s="1169"/>
      <c r="N41" s="1169"/>
      <c r="O41" s="1169"/>
      <c r="P41" s="1169"/>
      <c r="Q41" s="1169"/>
      <c r="R41" s="1169"/>
      <c r="S41" s="1169"/>
      <c r="T41" s="1174"/>
      <c r="U41" s="1164">
        <v>4.0990000000000002</v>
      </c>
      <c r="V41" s="1164">
        <v>4.5990000000000002</v>
      </c>
      <c r="W41" s="1164">
        <v>4.899</v>
      </c>
      <c r="X41" s="1164">
        <v>5.1139999999999999</v>
      </c>
      <c r="Y41" s="1164">
        <v>5.0990000000000002</v>
      </c>
      <c r="Z41" s="1164">
        <v>4.9429999999999996</v>
      </c>
      <c r="AA41" s="1164">
        <v>4.859</v>
      </c>
      <c r="AB41" s="1164">
        <v>4.7990000000000004</v>
      </c>
      <c r="AC41" s="1165">
        <v>4.7759999999999998</v>
      </c>
      <c r="AD41" s="1161"/>
    </row>
    <row r="42" spans="2:33" s="1157" customFormat="1" x14ac:dyDescent="0.35">
      <c r="B42" s="1099" t="s">
        <v>1892</v>
      </c>
      <c r="C42" s="1166"/>
      <c r="D42" s="1167"/>
      <c r="E42" s="1167"/>
      <c r="F42" s="1167"/>
      <c r="G42" s="1167"/>
      <c r="H42" s="1169"/>
      <c r="I42" s="1169"/>
      <c r="J42" s="1169"/>
      <c r="K42" s="1169"/>
      <c r="L42" s="1169"/>
      <c r="M42" s="1169"/>
      <c r="N42" s="1169"/>
      <c r="O42" s="1169"/>
      <c r="P42" s="1169"/>
      <c r="Q42" s="1169"/>
      <c r="R42" s="1175"/>
      <c r="S42" s="1175"/>
      <c r="T42" s="1174"/>
      <c r="U42" s="1164">
        <v>4.0289999999999999</v>
      </c>
      <c r="V42" s="1164">
        <v>4.5990000000000002</v>
      </c>
      <c r="W42" s="1164">
        <v>4.899</v>
      </c>
      <c r="X42" s="1164">
        <v>5.1139999999999999</v>
      </c>
      <c r="Y42" s="1164">
        <v>5.0990000000000002</v>
      </c>
      <c r="Z42" s="1164">
        <v>4.9429999999999996</v>
      </c>
      <c r="AA42" s="1164">
        <v>4.859</v>
      </c>
      <c r="AB42" s="1164">
        <v>4.7990000000000004</v>
      </c>
      <c r="AC42" s="1165">
        <v>4.7759999999999998</v>
      </c>
      <c r="AD42" s="1161"/>
    </row>
    <row r="43" spans="2:33" s="1157" customFormat="1" x14ac:dyDescent="0.35">
      <c r="B43" s="1158"/>
      <c r="C43" s="1159"/>
      <c r="D43" s="1160"/>
      <c r="E43" s="1160"/>
      <c r="F43" s="1160"/>
      <c r="G43" s="1160"/>
      <c r="H43" s="1160"/>
      <c r="I43" s="1160"/>
      <c r="J43" s="1160"/>
      <c r="K43" s="1160"/>
      <c r="L43" s="1160"/>
      <c r="M43" s="1160"/>
      <c r="N43" s="1160"/>
      <c r="O43" s="1160"/>
      <c r="P43" s="1160"/>
      <c r="Q43" s="1160"/>
      <c r="R43" s="1160"/>
      <c r="S43" s="1160"/>
      <c r="T43" s="1160"/>
      <c r="U43" s="1160"/>
      <c r="V43" s="1160"/>
      <c r="W43" s="1160"/>
      <c r="X43" s="1160"/>
      <c r="Y43" s="1160"/>
      <c r="Z43" s="1160"/>
      <c r="AA43" s="1160"/>
      <c r="AB43" s="1160"/>
      <c r="AC43" s="1160"/>
      <c r="AD43" s="1161"/>
    </row>
    <row r="44" spans="2:33" s="1157" customFormat="1" x14ac:dyDescent="0.35">
      <c r="B44" s="1158"/>
      <c r="C44" s="1159"/>
      <c r="D44" s="1160"/>
      <c r="E44" s="1160"/>
      <c r="F44" s="1160"/>
      <c r="G44" s="1160"/>
      <c r="H44" s="1160"/>
      <c r="I44" s="1160"/>
      <c r="J44" s="1160"/>
      <c r="K44" s="1160"/>
      <c r="L44" s="1160"/>
      <c r="M44" s="1160"/>
      <c r="N44" s="1160"/>
      <c r="O44" s="1160"/>
      <c r="P44" s="1160"/>
      <c r="Q44" s="1160"/>
      <c r="R44" s="1160"/>
      <c r="S44" s="1160"/>
      <c r="T44" s="1160"/>
      <c r="U44" s="1160"/>
      <c r="V44" s="1160"/>
      <c r="W44" s="1160"/>
      <c r="X44" s="1160"/>
      <c r="Y44" s="1160"/>
      <c r="Z44" s="1160"/>
      <c r="AA44" s="1160"/>
      <c r="AB44" s="1160"/>
      <c r="AC44" s="1160"/>
      <c r="AD44" s="1161"/>
    </row>
    <row r="45" spans="2:33" s="1157" customFormat="1" x14ac:dyDescent="0.35">
      <c r="B45" s="1158"/>
      <c r="C45" s="1159"/>
      <c r="D45" s="1160"/>
      <c r="E45" s="1160"/>
      <c r="F45" s="1160"/>
      <c r="G45" s="1160"/>
      <c r="H45" s="1160"/>
      <c r="I45" s="1160"/>
      <c r="J45" s="1160"/>
      <c r="K45" s="1160"/>
      <c r="L45" s="1160"/>
      <c r="M45" s="1160"/>
      <c r="N45" s="1160"/>
      <c r="O45" s="1160"/>
      <c r="P45" s="1160"/>
      <c r="Q45" s="1160"/>
      <c r="R45" s="1160"/>
      <c r="S45" s="1160"/>
      <c r="T45" s="1160"/>
      <c r="U45" s="1160"/>
      <c r="V45" s="1160"/>
      <c r="W45" s="1160"/>
      <c r="X45" s="1160"/>
      <c r="Y45" s="1160"/>
      <c r="Z45" s="1160"/>
      <c r="AA45" s="1160"/>
      <c r="AB45" s="1160"/>
      <c r="AC45" s="1160"/>
      <c r="AD45" s="1161"/>
    </row>
    <row r="46" spans="2:33" s="1157" customFormat="1" x14ac:dyDescent="0.35">
      <c r="B46" s="1158"/>
      <c r="C46" s="1159"/>
      <c r="D46" s="1160"/>
      <c r="E46" s="1160"/>
      <c r="F46" s="1160"/>
      <c r="G46" s="1160"/>
      <c r="H46" s="1160"/>
      <c r="I46" s="1160"/>
      <c r="J46" s="1160"/>
      <c r="K46" s="1160"/>
      <c r="L46" s="1160"/>
      <c r="M46" s="1160"/>
      <c r="N46" s="1160"/>
      <c r="O46" s="1160"/>
      <c r="P46" s="1160"/>
      <c r="Q46" s="1160"/>
      <c r="R46" s="1160"/>
      <c r="S46" s="1160"/>
      <c r="T46" s="1160"/>
      <c r="U46" s="1160"/>
      <c r="V46" s="1160"/>
      <c r="W46" s="1160"/>
      <c r="X46" s="1160"/>
      <c r="Y46" s="1160"/>
      <c r="Z46" s="1160"/>
      <c r="AA46" s="1160"/>
      <c r="AB46" s="1160"/>
      <c r="AC46" s="1160"/>
      <c r="AD46" s="1161"/>
    </row>
    <row r="47" spans="2:33" x14ac:dyDescent="0.35">
      <c r="C47" s="163"/>
      <c r="D47" s="1084"/>
      <c r="E47" s="1084"/>
      <c r="F47" s="1084"/>
      <c r="G47" s="1084"/>
      <c r="H47" s="161"/>
      <c r="I47" s="161"/>
      <c r="J47" s="161"/>
      <c r="K47" s="161"/>
      <c r="L47" s="161"/>
      <c r="M47" s="161"/>
      <c r="N47" s="161"/>
      <c r="O47" s="161"/>
      <c r="P47" s="161"/>
      <c r="AD47" s="188"/>
    </row>
    <row r="48" spans="2:33" x14ac:dyDescent="0.35">
      <c r="M48" s="163"/>
      <c r="N48" s="163"/>
      <c r="O48" s="163"/>
    </row>
    <row r="49" spans="1:38" ht="45" customHeight="1" x14ac:dyDescent="0.35">
      <c r="B49" s="210" t="s">
        <v>302</v>
      </c>
      <c r="C49" s="211" t="s">
        <v>303</v>
      </c>
      <c r="D49" s="207"/>
      <c r="E49" s="1088" t="s">
        <v>1899</v>
      </c>
      <c r="F49" s="209" t="s">
        <v>1904</v>
      </c>
      <c r="G49" s="209"/>
      <c r="H49" s="209"/>
      <c r="I49" s="209"/>
      <c r="J49" s="209"/>
      <c r="O49" s="225"/>
    </row>
    <row r="50" spans="1:38" x14ac:dyDescent="0.35">
      <c r="B50" s="197">
        <v>44197</v>
      </c>
      <c r="C50" s="123">
        <v>6.3</v>
      </c>
      <c r="D50" s="208"/>
      <c r="E50" s="203" t="s">
        <v>1807</v>
      </c>
      <c r="F50" s="81"/>
      <c r="G50" s="81"/>
      <c r="H50" s="157"/>
      <c r="I50" s="81"/>
      <c r="J50" s="157"/>
      <c r="O50" s="163"/>
    </row>
    <row r="51" spans="1:38" x14ac:dyDescent="0.35">
      <c r="B51" s="197">
        <v>44228</v>
      </c>
      <c r="C51" s="123">
        <v>6.2</v>
      </c>
      <c r="D51" s="208"/>
      <c r="E51" s="204" t="s">
        <v>1900</v>
      </c>
      <c r="F51" s="206">
        <v>6.166666666666667</v>
      </c>
      <c r="G51" s="81"/>
      <c r="H51" s="157"/>
      <c r="I51" s="81"/>
      <c r="J51" s="157"/>
      <c r="O51" s="163"/>
    </row>
    <row r="52" spans="1:38" x14ac:dyDescent="0.35">
      <c r="B52" s="197">
        <v>44256</v>
      </c>
      <c r="C52" s="123">
        <v>6</v>
      </c>
      <c r="D52" s="208"/>
      <c r="E52" s="204" t="s">
        <v>1901</v>
      </c>
      <c r="F52" s="206">
        <v>5.7666666666666657</v>
      </c>
      <c r="G52" s="81"/>
      <c r="H52" s="157"/>
      <c r="I52" s="81"/>
      <c r="J52" s="157"/>
      <c r="O52" s="163"/>
    </row>
    <row r="53" spans="1:38" x14ac:dyDescent="0.35">
      <c r="B53" s="197">
        <v>44287</v>
      </c>
      <c r="C53" s="123">
        <v>6.1</v>
      </c>
      <c r="D53" s="208"/>
      <c r="E53" s="204" t="s">
        <v>1902</v>
      </c>
      <c r="F53" s="206">
        <v>5.1333333333333337</v>
      </c>
      <c r="G53" s="81"/>
      <c r="H53" s="157"/>
      <c r="I53" s="81"/>
      <c r="J53" s="157"/>
      <c r="O53" s="163"/>
    </row>
    <row r="54" spans="1:38" x14ac:dyDescent="0.35">
      <c r="A54" s="35"/>
      <c r="B54" s="197">
        <v>44317</v>
      </c>
      <c r="C54" s="123">
        <v>5.8</v>
      </c>
      <c r="D54" s="208"/>
      <c r="E54" s="204" t="s">
        <v>1903</v>
      </c>
      <c r="F54" s="206">
        <v>4.2333333333333334</v>
      </c>
      <c r="G54" s="81"/>
      <c r="H54" s="157"/>
      <c r="I54" s="81"/>
      <c r="J54" s="157"/>
      <c r="O54" s="163"/>
    </row>
    <row r="55" spans="1:38" x14ac:dyDescent="0.35">
      <c r="A55" s="35"/>
      <c r="B55" s="197">
        <v>44348</v>
      </c>
      <c r="C55" s="123">
        <v>5.4</v>
      </c>
      <c r="D55" s="208"/>
      <c r="E55" s="203" t="s">
        <v>1753</v>
      </c>
      <c r="F55" s="206"/>
      <c r="G55" s="81"/>
      <c r="H55" s="157"/>
      <c r="I55" s="81"/>
      <c r="J55" s="157"/>
      <c r="O55" s="163"/>
    </row>
    <row r="56" spans="1:38" x14ac:dyDescent="0.35">
      <c r="A56" s="35"/>
      <c r="B56" s="197">
        <v>44378</v>
      </c>
      <c r="C56" s="123">
        <v>5.4</v>
      </c>
      <c r="D56" s="208"/>
      <c r="E56" s="204" t="s">
        <v>1900</v>
      </c>
      <c r="F56" s="206">
        <v>3.8000000000000003</v>
      </c>
      <c r="G56" s="81"/>
      <c r="H56" s="157"/>
      <c r="I56" s="81"/>
      <c r="J56" s="157"/>
      <c r="O56" s="163"/>
    </row>
    <row r="57" spans="1:38" x14ac:dyDescent="0.35">
      <c r="A57" s="35"/>
      <c r="B57" s="197">
        <v>44409</v>
      </c>
      <c r="C57" s="123">
        <v>5.2</v>
      </c>
      <c r="D57" s="208"/>
      <c r="E57" s="204" t="s">
        <v>1901</v>
      </c>
      <c r="F57" s="206">
        <v>3.6</v>
      </c>
      <c r="G57" s="81"/>
      <c r="H57" s="157"/>
      <c r="I57" s="81"/>
      <c r="J57" s="157"/>
      <c r="O57" s="163"/>
    </row>
    <row r="58" spans="1:38" x14ac:dyDescent="0.35">
      <c r="A58" s="35"/>
      <c r="B58" s="197">
        <v>44440</v>
      </c>
      <c r="C58" s="123">
        <v>4.8</v>
      </c>
      <c r="D58" s="208"/>
      <c r="E58" s="204" t="s">
        <v>1902</v>
      </c>
      <c r="F58" s="206">
        <v>3.5666666666666664</v>
      </c>
      <c r="G58" s="81"/>
      <c r="H58" s="157"/>
      <c r="I58" s="81"/>
      <c r="J58" s="157"/>
      <c r="O58" s="163"/>
    </row>
    <row r="59" spans="1:38" x14ac:dyDescent="0.35">
      <c r="A59" s="35"/>
      <c r="B59" s="197">
        <v>44470</v>
      </c>
      <c r="C59" s="123">
        <v>4.5999999999999996</v>
      </c>
      <c r="D59" s="208"/>
      <c r="E59" s="204" t="s">
        <v>1903</v>
      </c>
      <c r="F59" s="206">
        <v>3.6</v>
      </c>
      <c r="G59" s="81"/>
      <c r="H59" s="157"/>
      <c r="I59" s="81"/>
      <c r="J59" s="157"/>
      <c r="O59" s="163"/>
    </row>
    <row r="60" spans="1:38" x14ac:dyDescent="0.35">
      <c r="A60" s="35"/>
      <c r="B60" s="197">
        <v>44501</v>
      </c>
      <c r="C60" s="123">
        <v>4.2</v>
      </c>
      <c r="D60" s="208"/>
      <c r="E60" s="203" t="s">
        <v>1905</v>
      </c>
      <c r="F60" s="206"/>
      <c r="G60" s="81"/>
      <c r="H60" s="157"/>
      <c r="I60" s="81"/>
      <c r="J60" s="157"/>
      <c r="O60" s="163"/>
      <c r="AD60" s="163"/>
      <c r="AE60" s="163"/>
      <c r="AF60" s="163"/>
      <c r="AG60" s="163"/>
      <c r="AH60" s="163"/>
      <c r="AI60" s="163"/>
      <c r="AJ60" s="163"/>
      <c r="AK60" s="163"/>
      <c r="AL60" s="163"/>
    </row>
    <row r="61" spans="1:38" x14ac:dyDescent="0.35">
      <c r="A61" s="35"/>
      <c r="B61" s="197">
        <v>44531</v>
      </c>
      <c r="C61" s="123">
        <v>3.9</v>
      </c>
      <c r="D61" s="208"/>
      <c r="E61" s="204" t="s">
        <v>1900</v>
      </c>
      <c r="F61" s="206">
        <v>3.5</v>
      </c>
      <c r="G61" s="81"/>
      <c r="H61" s="157"/>
      <c r="I61" s="81"/>
      <c r="J61" s="157"/>
      <c r="O61" s="163"/>
      <c r="AD61" s="163"/>
      <c r="AE61" s="163"/>
      <c r="AF61" s="163"/>
      <c r="AG61" s="163"/>
      <c r="AH61" s="163"/>
      <c r="AI61" s="163"/>
      <c r="AJ61" s="163"/>
      <c r="AK61" s="163"/>
      <c r="AL61" s="163"/>
    </row>
    <row r="62" spans="1:38" x14ac:dyDescent="0.35">
      <c r="A62" s="35"/>
      <c r="B62" s="197">
        <v>44562</v>
      </c>
      <c r="C62" s="123">
        <v>4</v>
      </c>
      <c r="D62" s="1083"/>
      <c r="E62" s="204" t="s">
        <v>1901</v>
      </c>
      <c r="F62" s="206"/>
      <c r="G62" s="81"/>
      <c r="H62" s="157"/>
      <c r="I62" s="81"/>
      <c r="J62" s="157"/>
      <c r="O62" s="163"/>
    </row>
    <row r="63" spans="1:38" x14ac:dyDescent="0.35">
      <c r="A63" s="35"/>
      <c r="B63" s="197">
        <v>44593</v>
      </c>
      <c r="C63" s="123">
        <v>3.8</v>
      </c>
      <c r="D63" s="1083"/>
      <c r="E63" s="204" t="s">
        <v>1902</v>
      </c>
      <c r="F63" s="206"/>
      <c r="G63" s="81"/>
      <c r="H63" s="157"/>
      <c r="I63" s="81"/>
      <c r="J63" s="157"/>
    </row>
    <row r="64" spans="1:38" x14ac:dyDescent="0.35">
      <c r="A64" s="35"/>
      <c r="B64" s="197">
        <v>44621</v>
      </c>
      <c r="C64" s="123">
        <v>3.6</v>
      </c>
      <c r="D64" s="1083"/>
      <c r="E64" s="204" t="s">
        <v>1903</v>
      </c>
      <c r="F64" s="206"/>
      <c r="G64" s="81"/>
      <c r="H64" s="157"/>
      <c r="I64" s="81"/>
      <c r="J64" s="157"/>
    </row>
    <row r="65" spans="1:10" x14ac:dyDescent="0.35">
      <c r="A65" s="35"/>
      <c r="B65" s="197">
        <v>44652</v>
      </c>
      <c r="C65" s="123">
        <v>3.6</v>
      </c>
      <c r="D65" s="1083"/>
      <c r="E65" s="203" t="s">
        <v>1906</v>
      </c>
      <c r="F65" s="206"/>
      <c r="G65" s="81"/>
      <c r="H65" s="157"/>
      <c r="I65" s="81"/>
      <c r="J65" s="157"/>
    </row>
    <row r="66" spans="1:10" x14ac:dyDescent="0.35">
      <c r="A66" s="35"/>
      <c r="B66" s="197">
        <v>44682</v>
      </c>
      <c r="C66" s="123">
        <v>3.6</v>
      </c>
      <c r="D66" s="1083"/>
      <c r="E66" s="204" t="s">
        <v>1900</v>
      </c>
      <c r="F66" s="206"/>
      <c r="G66" s="81"/>
      <c r="H66" s="157"/>
      <c r="I66" s="81"/>
      <c r="J66" s="157"/>
    </row>
    <row r="67" spans="1:10" x14ac:dyDescent="0.35">
      <c r="A67" s="35"/>
      <c r="B67" s="197">
        <v>44713</v>
      </c>
      <c r="C67" s="123">
        <v>3.6</v>
      </c>
      <c r="D67" s="1083"/>
      <c r="E67" s="204" t="s">
        <v>1901</v>
      </c>
      <c r="F67" s="206"/>
      <c r="G67" s="81"/>
      <c r="H67" s="157"/>
      <c r="I67" s="81"/>
      <c r="J67" s="157"/>
    </row>
    <row r="68" spans="1:10" x14ac:dyDescent="0.35">
      <c r="A68" s="35"/>
      <c r="B68" s="197">
        <v>44743</v>
      </c>
      <c r="C68" s="123">
        <v>3.5</v>
      </c>
      <c r="D68" s="1083"/>
      <c r="E68" s="204" t="s">
        <v>1902</v>
      </c>
      <c r="F68" s="206"/>
      <c r="G68" s="81"/>
      <c r="H68" s="157"/>
      <c r="I68" s="81"/>
      <c r="J68" s="157"/>
    </row>
    <row r="69" spans="1:10" x14ac:dyDescent="0.35">
      <c r="A69" s="35"/>
      <c r="B69" s="197">
        <v>44774</v>
      </c>
      <c r="C69" s="123">
        <v>3.7</v>
      </c>
      <c r="D69" s="1083"/>
      <c r="E69" s="204" t="s">
        <v>1903</v>
      </c>
      <c r="F69" s="206"/>
      <c r="G69" s="81"/>
      <c r="H69" s="157"/>
      <c r="I69" s="81"/>
      <c r="J69" s="157"/>
    </row>
    <row r="70" spans="1:10" x14ac:dyDescent="0.35">
      <c r="A70" s="35"/>
      <c r="B70" s="197">
        <v>44805</v>
      </c>
      <c r="C70" s="123">
        <v>3.5</v>
      </c>
      <c r="D70" s="1083"/>
      <c r="E70" s="203" t="s">
        <v>1907</v>
      </c>
      <c r="F70" s="206"/>
      <c r="G70" s="81"/>
      <c r="H70" s="81"/>
      <c r="I70" s="81"/>
      <c r="J70" s="81"/>
    </row>
    <row r="71" spans="1:10" x14ac:dyDescent="0.35">
      <c r="A71" s="35"/>
      <c r="B71" s="197">
        <v>44835</v>
      </c>
      <c r="C71" s="123">
        <v>3.7</v>
      </c>
      <c r="D71" s="1083"/>
      <c r="E71" s="204" t="s">
        <v>1900</v>
      </c>
      <c r="F71" s="206"/>
      <c r="G71" s="81"/>
      <c r="H71" s="81"/>
      <c r="I71" s="81"/>
      <c r="J71" s="81"/>
    </row>
    <row r="72" spans="1:10" x14ac:dyDescent="0.35">
      <c r="A72" s="35"/>
      <c r="B72" s="197">
        <v>44866</v>
      </c>
      <c r="C72" s="123">
        <v>3.6</v>
      </c>
      <c r="D72" s="1083"/>
      <c r="E72" s="204" t="s">
        <v>1901</v>
      </c>
      <c r="F72" s="206"/>
      <c r="G72" s="81"/>
      <c r="H72" s="81"/>
      <c r="I72" s="81"/>
      <c r="J72" s="81"/>
    </row>
    <row r="73" spans="1:10" x14ac:dyDescent="0.35">
      <c r="A73" s="35"/>
      <c r="B73" s="197">
        <v>44896</v>
      </c>
      <c r="C73" s="123">
        <v>3.5</v>
      </c>
      <c r="D73" s="1083"/>
      <c r="E73" s="204" t="s">
        <v>1902</v>
      </c>
      <c r="F73" s="206"/>
      <c r="G73" s="81"/>
      <c r="H73" s="81"/>
      <c r="I73" s="81"/>
      <c r="J73" s="81"/>
    </row>
    <row r="74" spans="1:10" x14ac:dyDescent="0.35">
      <c r="B74" s="197">
        <v>44927</v>
      </c>
      <c r="C74" s="205">
        <v>3.4</v>
      </c>
      <c r="D74" s="1083"/>
      <c r="E74" s="204" t="s">
        <v>1903</v>
      </c>
      <c r="F74" s="206"/>
      <c r="G74" s="81"/>
      <c r="H74" s="81"/>
      <c r="I74" s="81"/>
      <c r="J74" s="81"/>
    </row>
    <row r="75" spans="1:10" x14ac:dyDescent="0.35">
      <c r="B75" s="197">
        <v>44958</v>
      </c>
      <c r="C75" s="205">
        <v>3.6</v>
      </c>
      <c r="D75" s="81"/>
      <c r="E75" s="203" t="s">
        <v>1908</v>
      </c>
      <c r="F75" s="206"/>
      <c r="G75" s="81"/>
      <c r="H75" s="81"/>
      <c r="I75" s="81"/>
      <c r="J75" s="81"/>
    </row>
    <row r="76" spans="1:10" x14ac:dyDescent="0.35">
      <c r="B76" s="197">
        <v>44986</v>
      </c>
      <c r="C76" s="205">
        <v>3.5</v>
      </c>
      <c r="D76" s="81"/>
      <c r="E76" s="204" t="s">
        <v>1900</v>
      </c>
      <c r="F76" s="206"/>
      <c r="G76" s="81"/>
      <c r="H76" s="81"/>
      <c r="I76" s="81"/>
      <c r="J76" s="81"/>
    </row>
    <row r="77" spans="1:10" x14ac:dyDescent="0.35">
      <c r="B77" s="197">
        <v>45017</v>
      </c>
      <c r="C77" s="205"/>
      <c r="D77" s="81"/>
      <c r="E77" s="204" t="s">
        <v>1901</v>
      </c>
      <c r="F77" s="206"/>
      <c r="G77" s="81"/>
      <c r="H77" s="81"/>
      <c r="I77" s="81"/>
      <c r="J77" s="81"/>
    </row>
    <row r="78" spans="1:10" x14ac:dyDescent="0.35">
      <c r="B78" s="197">
        <v>45047</v>
      </c>
      <c r="C78" s="205"/>
      <c r="D78" s="81"/>
      <c r="E78" s="204" t="s">
        <v>1902</v>
      </c>
      <c r="F78" s="206"/>
      <c r="G78" s="81"/>
      <c r="H78" s="81"/>
      <c r="I78" s="81"/>
      <c r="J78" s="81"/>
    </row>
    <row r="79" spans="1:10" x14ac:dyDescent="0.35">
      <c r="B79" s="197">
        <v>45078</v>
      </c>
      <c r="C79" s="205"/>
      <c r="D79" s="81"/>
      <c r="E79" s="204" t="s">
        <v>1903</v>
      </c>
      <c r="F79" s="206"/>
      <c r="G79" s="81"/>
      <c r="H79" s="81"/>
      <c r="I79" s="81"/>
      <c r="J79" s="81"/>
    </row>
    <row r="80" spans="1:10" x14ac:dyDescent="0.35">
      <c r="B80" s="197">
        <v>45108</v>
      </c>
      <c r="C80" s="205"/>
      <c r="D80" s="81"/>
      <c r="E80" s="81"/>
      <c r="F80" s="81"/>
      <c r="G80" s="81"/>
      <c r="H80" s="81"/>
      <c r="I80" s="81"/>
      <c r="J80" s="81"/>
    </row>
    <row r="81" spans="2:10" x14ac:dyDescent="0.35">
      <c r="B81" s="197">
        <v>45139</v>
      </c>
      <c r="C81" s="205"/>
      <c r="D81" s="81"/>
      <c r="E81" s="81"/>
      <c r="F81" s="81"/>
      <c r="G81" s="81"/>
      <c r="H81" s="81"/>
      <c r="I81" s="81"/>
      <c r="J81" s="81"/>
    </row>
    <row r="82" spans="2:10" x14ac:dyDescent="0.35">
      <c r="B82" s="197">
        <v>45170</v>
      </c>
      <c r="C82" s="205"/>
      <c r="D82" s="81"/>
      <c r="E82" s="81"/>
      <c r="F82" s="81"/>
      <c r="G82" s="81"/>
      <c r="H82" s="81"/>
      <c r="I82" s="81"/>
      <c r="J82" s="81"/>
    </row>
    <row r="83" spans="2:10" x14ac:dyDescent="0.35">
      <c r="B83" s="197">
        <v>45200</v>
      </c>
      <c r="C83" s="205"/>
      <c r="D83" s="81"/>
      <c r="E83" s="81"/>
      <c r="F83" s="81"/>
      <c r="G83" s="81"/>
      <c r="H83" s="81"/>
      <c r="I83" s="81"/>
      <c r="J83" s="81"/>
    </row>
    <row r="84" spans="2:10" x14ac:dyDescent="0.35">
      <c r="B84" s="197">
        <v>45231</v>
      </c>
      <c r="C84" s="205"/>
      <c r="D84" s="81"/>
      <c r="E84" s="81"/>
      <c r="F84" s="81"/>
      <c r="G84" s="81"/>
      <c r="H84" s="81"/>
      <c r="I84" s="81"/>
      <c r="J84" s="81"/>
    </row>
    <row r="85" spans="2:10" x14ac:dyDescent="0.35">
      <c r="B85" s="197">
        <v>45261</v>
      </c>
      <c r="C85" s="205"/>
      <c r="D85" s="81"/>
      <c r="E85" s="81"/>
      <c r="F85" s="81"/>
      <c r="G85" s="81"/>
      <c r="H85" s="81"/>
      <c r="I85" s="81"/>
      <c r="J85" s="81"/>
    </row>
    <row r="86" spans="2:10" x14ac:dyDescent="0.35">
      <c r="B86" s="197">
        <v>45292</v>
      </c>
      <c r="C86" s="205"/>
      <c r="D86" s="81"/>
      <c r="E86" s="81"/>
      <c r="F86" s="81"/>
      <c r="G86" s="81"/>
      <c r="H86" s="81"/>
      <c r="I86" s="81"/>
      <c r="J86" s="81"/>
    </row>
    <row r="87" spans="2:10" x14ac:dyDescent="0.35">
      <c r="B87" s="197">
        <v>45323</v>
      </c>
      <c r="C87" s="205"/>
      <c r="D87" s="81"/>
      <c r="E87" s="81"/>
      <c r="F87" s="81"/>
      <c r="G87" s="81"/>
      <c r="H87" s="81"/>
      <c r="I87" s="81"/>
      <c r="J87" s="81"/>
    </row>
    <row r="88" spans="2:10" x14ac:dyDescent="0.35">
      <c r="B88" s="197">
        <v>45352</v>
      </c>
      <c r="C88" s="205"/>
      <c r="D88" s="81"/>
      <c r="E88" s="81"/>
      <c r="F88" s="81"/>
      <c r="G88" s="81"/>
      <c r="H88" s="81"/>
      <c r="I88" s="81"/>
      <c r="J88" s="81"/>
    </row>
    <row r="89" spans="2:10" x14ac:dyDescent="0.35">
      <c r="B89" s="197">
        <v>45383</v>
      </c>
      <c r="C89" s="205"/>
      <c r="D89" s="81"/>
      <c r="E89" s="81"/>
      <c r="F89" s="81"/>
      <c r="G89" s="81"/>
      <c r="H89" s="81"/>
      <c r="I89" s="81"/>
      <c r="J89" s="81"/>
    </row>
    <row r="90" spans="2:10" x14ac:dyDescent="0.35">
      <c r="B90" s="197">
        <v>45413</v>
      </c>
      <c r="C90" s="205"/>
      <c r="D90" s="81"/>
      <c r="E90" s="81"/>
      <c r="F90" s="81"/>
      <c r="G90" s="81"/>
      <c r="H90" s="81"/>
      <c r="I90" s="81"/>
      <c r="J90" s="81"/>
    </row>
    <row r="91" spans="2:10" x14ac:dyDescent="0.35">
      <c r="B91" s="197">
        <v>45444</v>
      </c>
      <c r="C91" s="205"/>
      <c r="D91" s="81"/>
      <c r="E91" s="81"/>
      <c r="F91" s="81"/>
      <c r="G91" s="81"/>
      <c r="H91" s="81"/>
      <c r="I91" s="81"/>
      <c r="J91" s="81"/>
    </row>
    <row r="92" spans="2:10" x14ac:dyDescent="0.35">
      <c r="B92" s="197">
        <v>45474</v>
      </c>
      <c r="C92" s="205"/>
      <c r="D92" s="81"/>
      <c r="E92" s="81"/>
      <c r="F92" s="81"/>
      <c r="G92" s="81"/>
      <c r="H92" s="81"/>
      <c r="I92" s="81"/>
      <c r="J92" s="81"/>
    </row>
    <row r="93" spans="2:10" x14ac:dyDescent="0.35">
      <c r="B93" s="197">
        <v>45505</v>
      </c>
      <c r="C93" s="205"/>
      <c r="D93" s="81"/>
      <c r="E93" s="81"/>
      <c r="F93" s="81"/>
      <c r="G93" s="81"/>
      <c r="H93" s="81"/>
      <c r="I93" s="81"/>
      <c r="J93" s="81"/>
    </row>
    <row r="94" spans="2:10" x14ac:dyDescent="0.35">
      <c r="B94" s="197">
        <v>45536</v>
      </c>
      <c r="C94" s="205"/>
      <c r="D94" s="81"/>
      <c r="E94" s="81"/>
      <c r="F94" s="81"/>
      <c r="G94" s="81"/>
      <c r="H94" s="81"/>
      <c r="I94" s="81"/>
      <c r="J94" s="81"/>
    </row>
    <row r="95" spans="2:10" x14ac:dyDescent="0.35">
      <c r="B95" s="197">
        <v>45566</v>
      </c>
      <c r="C95" s="205"/>
      <c r="D95" s="81"/>
      <c r="E95" s="81"/>
      <c r="F95" s="81"/>
      <c r="G95" s="81"/>
      <c r="H95" s="81"/>
      <c r="I95" s="81"/>
      <c r="J95" s="81"/>
    </row>
    <row r="96" spans="2:10" x14ac:dyDescent="0.35">
      <c r="B96" s="197">
        <v>45597</v>
      </c>
      <c r="C96" s="205"/>
      <c r="D96" s="81"/>
      <c r="E96" s="81"/>
      <c r="F96" s="81"/>
      <c r="G96" s="81"/>
      <c r="H96" s="81"/>
      <c r="I96" s="81"/>
      <c r="J96" s="81"/>
    </row>
    <row r="97" spans="2:10" x14ac:dyDescent="0.35">
      <c r="B97" s="197">
        <v>45627</v>
      </c>
      <c r="C97" s="205"/>
      <c r="D97" s="81"/>
      <c r="E97" s="81"/>
      <c r="F97" s="81"/>
      <c r="G97" s="81"/>
      <c r="H97" s="81"/>
      <c r="I97" s="81"/>
      <c r="J97" s="81"/>
    </row>
    <row r="98" spans="2:10" x14ac:dyDescent="0.35">
      <c r="B98" s="197">
        <v>45658</v>
      </c>
      <c r="C98" s="205"/>
      <c r="D98" s="81"/>
      <c r="E98" s="81"/>
      <c r="F98" s="81"/>
      <c r="G98" s="81"/>
      <c r="H98" s="81"/>
      <c r="I98" s="81"/>
      <c r="J98" s="81"/>
    </row>
    <row r="99" spans="2:10" x14ac:dyDescent="0.35">
      <c r="B99" s="197">
        <v>45689</v>
      </c>
      <c r="C99" s="205"/>
      <c r="D99" s="81"/>
      <c r="E99" s="81"/>
      <c r="F99" s="81"/>
      <c r="G99" s="81"/>
      <c r="H99" s="81"/>
      <c r="I99" s="81"/>
      <c r="J99" s="81"/>
    </row>
    <row r="100" spans="2:10" x14ac:dyDescent="0.35">
      <c r="B100" s="197">
        <v>45717</v>
      </c>
      <c r="C100" s="205"/>
      <c r="D100" s="81"/>
      <c r="E100" s="81"/>
      <c r="F100" s="81"/>
      <c r="G100" s="81"/>
      <c r="H100" s="81"/>
      <c r="I100" s="81"/>
      <c r="J100" s="81"/>
    </row>
    <row r="101" spans="2:10" x14ac:dyDescent="0.35">
      <c r="B101" s="197">
        <v>45748</v>
      </c>
      <c r="C101" s="205"/>
      <c r="D101" s="81"/>
      <c r="E101" s="81"/>
      <c r="F101" s="81"/>
      <c r="G101" s="81"/>
      <c r="H101" s="81"/>
      <c r="I101" s="81"/>
      <c r="J101" s="81"/>
    </row>
    <row r="102" spans="2:10" x14ac:dyDescent="0.35">
      <c r="B102" s="197">
        <v>45778</v>
      </c>
      <c r="C102" s="205"/>
      <c r="D102" s="81"/>
      <c r="E102" s="81"/>
      <c r="F102" s="81"/>
      <c r="G102" s="81"/>
      <c r="H102" s="81"/>
      <c r="I102" s="81"/>
      <c r="J102" s="81"/>
    </row>
    <row r="103" spans="2:10" x14ac:dyDescent="0.35">
      <c r="B103" s="197">
        <v>45809</v>
      </c>
      <c r="C103" s="205"/>
      <c r="D103" s="81"/>
      <c r="E103" s="81"/>
      <c r="F103" s="81"/>
      <c r="G103" s="81"/>
      <c r="H103" s="81"/>
      <c r="I103" s="81"/>
      <c r="J103" s="81"/>
    </row>
    <row r="104" spans="2:10" x14ac:dyDescent="0.35">
      <c r="B104" s="197">
        <v>45839</v>
      </c>
      <c r="C104" s="205"/>
      <c r="D104" s="81"/>
      <c r="E104" s="81"/>
      <c r="F104" s="81"/>
      <c r="G104" s="81"/>
      <c r="H104" s="81"/>
      <c r="I104" s="81"/>
      <c r="J104" s="81"/>
    </row>
    <row r="105" spans="2:10" x14ac:dyDescent="0.35">
      <c r="B105" s="197">
        <v>45870</v>
      </c>
      <c r="C105" s="205"/>
      <c r="D105" s="81"/>
      <c r="E105" s="81"/>
      <c r="F105" s="81"/>
      <c r="G105" s="81"/>
      <c r="H105" s="81"/>
      <c r="I105" s="81"/>
      <c r="J105" s="81"/>
    </row>
    <row r="106" spans="2:10" x14ac:dyDescent="0.35">
      <c r="B106" s="197">
        <v>45901</v>
      </c>
      <c r="C106" s="205"/>
      <c r="D106" s="81"/>
      <c r="E106" s="81"/>
      <c r="F106" s="81"/>
      <c r="G106" s="81"/>
      <c r="H106" s="81"/>
      <c r="I106" s="81"/>
      <c r="J106" s="81"/>
    </row>
    <row r="107" spans="2:10" x14ac:dyDescent="0.35">
      <c r="B107" s="197">
        <v>45931</v>
      </c>
      <c r="C107" s="205"/>
      <c r="D107" s="81"/>
      <c r="E107" s="81"/>
      <c r="F107" s="81"/>
      <c r="G107" s="81"/>
      <c r="H107" s="81"/>
      <c r="I107" s="81"/>
      <c r="J107" s="81"/>
    </row>
    <row r="108" spans="2:10" x14ac:dyDescent="0.35">
      <c r="B108" s="197">
        <v>45962</v>
      </c>
      <c r="C108" s="205"/>
      <c r="D108" s="81"/>
      <c r="E108" s="81"/>
      <c r="F108" s="81"/>
      <c r="G108" s="81"/>
      <c r="H108" s="81"/>
      <c r="I108" s="81"/>
      <c r="J108" s="81"/>
    </row>
    <row r="109" spans="2:10" x14ac:dyDescent="0.35">
      <c r="B109" s="197">
        <v>45992</v>
      </c>
      <c r="C109" s="205"/>
      <c r="D109" s="81"/>
      <c r="E109" s="81"/>
      <c r="F109" s="81"/>
      <c r="G109" s="81"/>
      <c r="H109" s="81"/>
      <c r="I109" s="81"/>
      <c r="J109" s="81"/>
    </row>
    <row r="110" spans="2:10" x14ac:dyDescent="0.35">
      <c r="B110" s="197">
        <v>46023</v>
      </c>
      <c r="C110" s="205"/>
      <c r="D110" s="81"/>
      <c r="E110" s="81"/>
      <c r="F110" s="81"/>
      <c r="G110" s="81"/>
      <c r="H110" s="81"/>
      <c r="I110" s="81"/>
      <c r="J110" s="81"/>
    </row>
    <row r="111" spans="2:10" x14ac:dyDescent="0.35">
      <c r="B111" s="197">
        <v>46054</v>
      </c>
      <c r="C111" s="205"/>
      <c r="D111" s="81"/>
      <c r="E111" s="81"/>
      <c r="F111" s="81"/>
      <c r="G111" s="81"/>
      <c r="H111" s="81"/>
      <c r="I111" s="81"/>
      <c r="J111" s="81"/>
    </row>
    <row r="112" spans="2:10" x14ac:dyDescent="0.35">
      <c r="B112" s="197">
        <v>46082</v>
      </c>
      <c r="C112" s="205"/>
      <c r="D112" s="81"/>
      <c r="E112" s="81"/>
      <c r="F112" s="81"/>
      <c r="G112" s="81"/>
      <c r="H112" s="81"/>
      <c r="I112" s="81"/>
      <c r="J112" s="81"/>
    </row>
    <row r="113" spans="2:10" x14ac:dyDescent="0.35">
      <c r="B113" s="197">
        <v>46113</v>
      </c>
      <c r="C113" s="205"/>
      <c r="D113" s="81"/>
      <c r="E113" s="81"/>
      <c r="F113" s="81"/>
      <c r="G113" s="81"/>
      <c r="H113" s="81"/>
      <c r="I113" s="81"/>
      <c r="J113" s="81"/>
    </row>
    <row r="114" spans="2:10" x14ac:dyDescent="0.35">
      <c r="B114" s="197">
        <v>46143</v>
      </c>
      <c r="C114" s="205"/>
      <c r="D114" s="81"/>
      <c r="E114" s="81"/>
      <c r="F114" s="81"/>
      <c r="G114" s="81"/>
      <c r="H114" s="81"/>
      <c r="I114" s="81"/>
      <c r="J114" s="81"/>
    </row>
    <row r="115" spans="2:10" x14ac:dyDescent="0.35">
      <c r="B115" s="197">
        <v>46174</v>
      </c>
      <c r="C115" s="205"/>
      <c r="D115" s="81"/>
      <c r="E115" s="81"/>
      <c r="F115" s="81"/>
      <c r="G115" s="81"/>
      <c r="H115" s="81"/>
      <c r="I115" s="81"/>
      <c r="J115" s="81"/>
    </row>
    <row r="116" spans="2:10" x14ac:dyDescent="0.35">
      <c r="B116" s="197">
        <v>46204</v>
      </c>
      <c r="C116" s="205"/>
      <c r="D116" s="81"/>
      <c r="E116" s="81"/>
      <c r="F116" s="81"/>
      <c r="G116" s="81"/>
      <c r="H116" s="81"/>
      <c r="I116" s="81"/>
      <c r="J116" s="81"/>
    </row>
    <row r="117" spans="2:10" x14ac:dyDescent="0.35">
      <c r="B117" s="197">
        <v>46235</v>
      </c>
      <c r="C117" s="205"/>
      <c r="D117" s="81"/>
      <c r="E117" s="81"/>
      <c r="F117" s="81"/>
      <c r="G117" s="81"/>
      <c r="H117" s="81"/>
      <c r="I117" s="81"/>
      <c r="J117" s="81"/>
    </row>
    <row r="118" spans="2:10" x14ac:dyDescent="0.35">
      <c r="B118" s="197">
        <v>46266</v>
      </c>
      <c r="C118" s="205"/>
      <c r="D118" s="81"/>
      <c r="E118" s="81"/>
      <c r="F118" s="81"/>
      <c r="G118" s="81"/>
      <c r="H118" s="81"/>
      <c r="I118" s="81"/>
      <c r="J118" s="81"/>
    </row>
    <row r="119" spans="2:10" x14ac:dyDescent="0.35">
      <c r="B119" s="197">
        <v>46296</v>
      </c>
      <c r="C119" s="205"/>
      <c r="D119" s="81"/>
      <c r="E119" s="81"/>
      <c r="F119" s="81"/>
      <c r="G119" s="81"/>
      <c r="H119" s="81"/>
      <c r="I119" s="81"/>
      <c r="J119" s="81"/>
    </row>
    <row r="120" spans="2:10" x14ac:dyDescent="0.35">
      <c r="B120" s="197">
        <v>46327</v>
      </c>
      <c r="C120" s="205"/>
      <c r="D120" s="81"/>
      <c r="E120" s="81"/>
      <c r="F120" s="81"/>
      <c r="G120" s="81"/>
      <c r="H120" s="81"/>
      <c r="I120" s="81"/>
      <c r="J120" s="81"/>
    </row>
    <row r="121" spans="2:10" x14ac:dyDescent="0.35">
      <c r="B121" s="198">
        <v>46357</v>
      </c>
      <c r="C121" s="202"/>
      <c r="D121" s="81"/>
      <c r="E121" s="81"/>
      <c r="F121" s="81"/>
      <c r="G121" s="81"/>
      <c r="H121" s="81"/>
      <c r="I121" s="81"/>
      <c r="J121" s="81"/>
    </row>
  </sheetData>
  <mergeCells count="14">
    <mergeCell ref="AE31:AG35"/>
    <mergeCell ref="U27:AC27"/>
    <mergeCell ref="U28:X28"/>
    <mergeCell ref="Y28:AB28"/>
    <mergeCell ref="B1:AC1"/>
    <mergeCell ref="B2:AC6"/>
    <mergeCell ref="E9:H9"/>
    <mergeCell ref="B8:C10"/>
    <mergeCell ref="I9:L9"/>
    <mergeCell ref="Y9:AB9"/>
    <mergeCell ref="M9:P9"/>
    <mergeCell ref="Q9:R9"/>
    <mergeCell ref="D8:T8"/>
    <mergeCell ref="V8:AC8"/>
  </mergeCells>
  <pageMargins left="0.7" right="0.7" top="0.75" bottom="0.75" header="0.3" footer="0.3"/>
  <pageSetup orientation="portrait" r:id="rId2"/>
  <drawing r:id="rId3"/>
  <legacyDrawing r:id="rId4"/>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FFFF00"/>
  </sheetPr>
  <dimension ref="A1:AL100"/>
  <sheetViews>
    <sheetView zoomScale="90" zoomScaleNormal="90" workbookViewId="0">
      <selection activeCell="L34" sqref="L34"/>
    </sheetView>
  </sheetViews>
  <sheetFormatPr defaultColWidth="11.453125" defaultRowHeight="14.5" x14ac:dyDescent="0.35"/>
  <cols>
    <col min="2" max="2" width="52.453125" customWidth="1"/>
    <col min="3" max="4" width="11.453125" customWidth="1"/>
    <col min="5" max="5" width="12.81640625" customWidth="1"/>
    <col min="6" max="6" width="10.81640625" customWidth="1"/>
    <col min="7" max="7" width="11.453125" customWidth="1"/>
    <col min="8" max="8" width="12.1796875" customWidth="1"/>
    <col min="9" max="9" width="8.453125" customWidth="1"/>
    <col min="10" max="10" width="10.453125" customWidth="1"/>
    <col min="11" max="11" width="8.453125" customWidth="1"/>
    <col min="12" max="12" width="12.81640625" customWidth="1"/>
    <col min="13" max="13" width="20.453125" customWidth="1"/>
    <col min="14" max="20" width="9.453125" customWidth="1"/>
    <col min="21" max="25" width="10.81640625" customWidth="1"/>
    <col min="26" max="26" width="11.1796875" customWidth="1"/>
    <col min="27" max="32" width="9.453125" customWidth="1"/>
    <col min="33" max="36" width="8.453125" customWidth="1"/>
  </cols>
  <sheetData>
    <row r="1" spans="2:30" x14ac:dyDescent="0.35">
      <c r="B1" s="1634" t="s">
        <v>53</v>
      </c>
      <c r="C1" s="1634"/>
      <c r="D1" s="1634"/>
      <c r="E1" s="1634"/>
      <c r="F1" s="1634"/>
      <c r="G1" s="1634"/>
      <c r="H1" s="1634"/>
      <c r="I1" s="1634"/>
      <c r="J1" s="1634"/>
      <c r="K1" s="1634"/>
      <c r="L1" s="1634"/>
      <c r="M1" s="1634"/>
      <c r="N1" s="1634"/>
      <c r="O1" s="1634"/>
      <c r="P1" s="1634"/>
      <c r="Q1" s="1634"/>
      <c r="R1" s="1634"/>
      <c r="S1" s="1634"/>
      <c r="T1" s="1634"/>
      <c r="U1" s="1634"/>
      <c r="V1" s="1634"/>
      <c r="W1" s="1634"/>
      <c r="X1" s="1634"/>
      <c r="Y1" s="1634"/>
      <c r="Z1" s="1634"/>
      <c r="AA1" s="1634"/>
      <c r="AB1" s="1634"/>
      <c r="AC1" s="1634"/>
    </row>
    <row r="2" spans="2:30" ht="14.25" customHeight="1" x14ac:dyDescent="0.35">
      <c r="B2" s="1635" t="s">
        <v>278</v>
      </c>
      <c r="C2" s="1635"/>
      <c r="D2" s="1635"/>
      <c r="E2" s="1635"/>
      <c r="F2" s="1635"/>
      <c r="G2" s="1635"/>
      <c r="H2" s="1635"/>
      <c r="I2" s="1635"/>
      <c r="J2" s="1635"/>
      <c r="K2" s="1635"/>
      <c r="L2" s="1635"/>
      <c r="M2" s="1635"/>
      <c r="N2" s="1635"/>
      <c r="O2" s="1635"/>
      <c r="P2" s="1635"/>
      <c r="Q2" s="1635"/>
      <c r="R2" s="1635"/>
      <c r="S2" s="1635"/>
      <c r="T2" s="1635"/>
      <c r="U2" s="1635"/>
      <c r="V2" s="1635"/>
      <c r="W2" s="1635"/>
      <c r="X2" s="1635"/>
      <c r="Y2" s="1635"/>
      <c r="Z2" s="1635"/>
      <c r="AA2" s="1635"/>
      <c r="AB2" s="1635"/>
      <c r="AC2" s="1635"/>
    </row>
    <row r="3" spans="2:30" x14ac:dyDescent="0.35">
      <c r="B3" s="1635"/>
      <c r="C3" s="1635"/>
      <c r="D3" s="1635"/>
      <c r="E3" s="1635"/>
      <c r="F3" s="1635"/>
      <c r="G3" s="1635"/>
      <c r="H3" s="1635"/>
      <c r="I3" s="1635"/>
      <c r="J3" s="1635"/>
      <c r="K3" s="1635"/>
      <c r="L3" s="1635"/>
      <c r="M3" s="1635"/>
      <c r="N3" s="1635"/>
      <c r="O3" s="1635"/>
      <c r="P3" s="1635"/>
      <c r="Q3" s="1635"/>
      <c r="R3" s="1635"/>
      <c r="S3" s="1635"/>
      <c r="T3" s="1635"/>
      <c r="U3" s="1635"/>
      <c r="V3" s="1635"/>
      <c r="W3" s="1635"/>
      <c r="X3" s="1635"/>
      <c r="Y3" s="1635"/>
      <c r="Z3" s="1635"/>
      <c r="AA3" s="1635"/>
      <c r="AB3" s="1635"/>
      <c r="AC3" s="1635"/>
    </row>
    <row r="4" spans="2:30" x14ac:dyDescent="0.35">
      <c r="B4" s="1635"/>
      <c r="C4" s="1635"/>
      <c r="D4" s="1635"/>
      <c r="E4" s="1635"/>
      <c r="F4" s="1635"/>
      <c r="G4" s="1635"/>
      <c r="H4" s="1635"/>
      <c r="I4" s="1635"/>
      <c r="J4" s="1635"/>
      <c r="K4" s="1635"/>
      <c r="L4" s="1635"/>
      <c r="M4" s="1635"/>
      <c r="N4" s="1635"/>
      <c r="O4" s="1635"/>
      <c r="P4" s="1635"/>
      <c r="Q4" s="1635"/>
      <c r="R4" s="1635"/>
      <c r="S4" s="1635"/>
      <c r="T4" s="1635"/>
      <c r="U4" s="1635"/>
      <c r="V4" s="1635"/>
      <c r="W4" s="1635"/>
      <c r="X4" s="1635"/>
      <c r="Y4" s="1635"/>
      <c r="Z4" s="1635"/>
      <c r="AA4" s="1635"/>
      <c r="AB4" s="1635"/>
      <c r="AC4" s="1635"/>
    </row>
    <row r="5" spans="2:30" x14ac:dyDescent="0.35">
      <c r="B5" s="1635"/>
      <c r="C5" s="1635"/>
      <c r="D5" s="1635"/>
      <c r="E5" s="1635"/>
      <c r="F5" s="1635"/>
      <c r="G5" s="1635"/>
      <c r="H5" s="1635"/>
      <c r="I5" s="1635"/>
      <c r="J5" s="1635"/>
      <c r="K5" s="1635"/>
      <c r="L5" s="1635"/>
      <c r="M5" s="1635"/>
      <c r="N5" s="1635"/>
      <c r="O5" s="1635"/>
      <c r="P5" s="1635"/>
      <c r="Q5" s="1635"/>
      <c r="R5" s="1635"/>
      <c r="S5" s="1635"/>
      <c r="T5" s="1635"/>
      <c r="U5" s="1635"/>
      <c r="V5" s="1635"/>
      <c r="W5" s="1635"/>
      <c r="X5" s="1635"/>
      <c r="Y5" s="1635"/>
      <c r="Z5" s="1635"/>
      <c r="AA5" s="1635"/>
      <c r="AB5" s="1635"/>
      <c r="AC5" s="1635"/>
    </row>
    <row r="6" spans="2:30" ht="38.9" customHeight="1" x14ac:dyDescent="0.35">
      <c r="B6" s="1635"/>
      <c r="C6" s="1635"/>
      <c r="D6" s="1635"/>
      <c r="E6" s="1635"/>
      <c r="F6" s="1635"/>
      <c r="G6" s="1635"/>
      <c r="H6" s="1635"/>
      <c r="I6" s="1635"/>
      <c r="J6" s="1635"/>
      <c r="K6" s="1635"/>
      <c r="L6" s="1635"/>
      <c r="M6" s="1635"/>
      <c r="N6" s="1635"/>
      <c r="O6" s="1635"/>
      <c r="P6" s="1635"/>
      <c r="Q6" s="1635"/>
      <c r="R6" s="1635"/>
      <c r="S6" s="1635"/>
      <c r="T6" s="1635"/>
      <c r="U6" s="1635"/>
      <c r="V6" s="1635"/>
      <c r="W6" s="1635"/>
      <c r="X6" s="1635"/>
      <c r="Y6" s="1635"/>
      <c r="Z6" s="1635"/>
      <c r="AA6" s="1635"/>
      <c r="AB6" s="1635"/>
      <c r="AC6" s="1635"/>
    </row>
    <row r="7" spans="2:30" x14ac:dyDescent="0.35">
      <c r="B7" s="184"/>
      <c r="C7" s="184"/>
      <c r="D7" s="184"/>
      <c r="E7" s="184"/>
      <c r="F7" s="184"/>
      <c r="G7" s="184"/>
      <c r="H7" s="185"/>
      <c r="I7" s="185"/>
      <c r="J7" s="185"/>
      <c r="K7" s="185"/>
      <c r="L7" s="185"/>
      <c r="M7" s="185"/>
      <c r="N7" s="185"/>
      <c r="O7" s="185"/>
      <c r="P7" s="185"/>
      <c r="Q7" s="185"/>
      <c r="R7" s="185"/>
      <c r="S7" s="185"/>
      <c r="T7" s="185"/>
      <c r="U7" s="185"/>
      <c r="V7" s="185"/>
      <c r="W7" s="185"/>
      <c r="X7" s="185"/>
      <c r="Y7" s="185"/>
    </row>
    <row r="8" spans="2:30" ht="14.9" customHeight="1" x14ac:dyDescent="0.35">
      <c r="B8" s="1653" t="s">
        <v>279</v>
      </c>
      <c r="C8" s="1654"/>
      <c r="D8" s="1655" t="s">
        <v>280</v>
      </c>
      <c r="E8" s="1656"/>
      <c r="F8" s="1656"/>
      <c r="G8" s="1656"/>
      <c r="H8" s="1656"/>
      <c r="I8" s="1656"/>
      <c r="J8" s="1656"/>
      <c r="K8" s="1656"/>
      <c r="L8" s="1656"/>
      <c r="M8" s="1656"/>
      <c r="N8" s="1656"/>
      <c r="O8" s="1656"/>
      <c r="P8" s="1656"/>
      <c r="Q8" s="1656"/>
      <c r="R8" s="1656"/>
      <c r="S8" s="1656"/>
      <c r="T8" s="1657"/>
      <c r="U8" s="1658" t="s">
        <v>281</v>
      </c>
      <c r="V8" s="1659"/>
      <c r="W8" s="1659"/>
      <c r="X8" s="1659"/>
      <c r="Y8" s="1659"/>
      <c r="Z8" s="1659"/>
      <c r="AA8" s="1659"/>
      <c r="AB8" s="1659"/>
      <c r="AC8" s="1660"/>
    </row>
    <row r="9" spans="2:30" ht="12.75" customHeight="1" x14ac:dyDescent="0.35">
      <c r="B9" s="1641"/>
      <c r="C9" s="1642"/>
      <c r="D9" s="127">
        <v>2018</v>
      </c>
      <c r="E9" s="1624">
        <v>2019</v>
      </c>
      <c r="F9" s="1646"/>
      <c r="G9" s="1646"/>
      <c r="H9" s="1661"/>
      <c r="I9" s="1646">
        <v>2020</v>
      </c>
      <c r="J9" s="1646"/>
      <c r="K9" s="1646"/>
      <c r="L9" s="1646"/>
      <c r="M9" s="1624">
        <v>2021</v>
      </c>
      <c r="N9" s="1646"/>
      <c r="O9" s="1646"/>
      <c r="P9" s="1646"/>
      <c r="Q9" s="1662">
        <v>2022</v>
      </c>
      <c r="R9" s="1663"/>
      <c r="S9" s="158"/>
      <c r="T9" s="168"/>
      <c r="U9" s="1664">
        <v>2023</v>
      </c>
      <c r="V9" s="1631"/>
      <c r="W9" s="1631"/>
      <c r="X9" s="1665"/>
      <c r="Y9" s="1652">
        <v>2024</v>
      </c>
      <c r="Z9" s="1631"/>
      <c r="AA9" s="1631"/>
      <c r="AB9" s="1631"/>
      <c r="AC9" s="178">
        <v>2025</v>
      </c>
    </row>
    <row r="10" spans="2:30" ht="14.9" customHeight="1" x14ac:dyDescent="0.35">
      <c r="B10" s="1641"/>
      <c r="C10" s="1642"/>
      <c r="D10" s="118" t="s">
        <v>282</v>
      </c>
      <c r="E10" s="118" t="s">
        <v>283</v>
      </c>
      <c r="F10" s="132" t="s">
        <v>284</v>
      </c>
      <c r="G10" s="132" t="s">
        <v>238</v>
      </c>
      <c r="H10" s="115" t="s">
        <v>282</v>
      </c>
      <c r="I10" s="132" t="s">
        <v>283</v>
      </c>
      <c r="J10" s="132" t="s">
        <v>284</v>
      </c>
      <c r="K10" s="132" t="s">
        <v>238</v>
      </c>
      <c r="L10" s="132" t="s">
        <v>282</v>
      </c>
      <c r="M10" s="118" t="s">
        <v>283</v>
      </c>
      <c r="N10" s="132" t="s">
        <v>284</v>
      </c>
      <c r="O10" s="132" t="s">
        <v>238</v>
      </c>
      <c r="P10" s="132" t="s">
        <v>282</v>
      </c>
      <c r="Q10" s="118" t="s">
        <v>283</v>
      </c>
      <c r="R10" s="132" t="s">
        <v>284</v>
      </c>
      <c r="S10" s="132" t="s">
        <v>238</v>
      </c>
      <c r="T10" s="115" t="s">
        <v>282</v>
      </c>
      <c r="U10" s="190" t="s">
        <v>283</v>
      </c>
      <c r="V10" s="190" t="s">
        <v>284</v>
      </c>
      <c r="W10" s="190" t="s">
        <v>238</v>
      </c>
      <c r="X10" s="191" t="s">
        <v>282</v>
      </c>
      <c r="Y10" s="189" t="s">
        <v>283</v>
      </c>
      <c r="Z10" s="186" t="s">
        <v>284</v>
      </c>
      <c r="AA10" s="190" t="s">
        <v>238</v>
      </c>
      <c r="AB10" s="190" t="s">
        <v>282</v>
      </c>
      <c r="AC10" s="192" t="s">
        <v>283</v>
      </c>
    </row>
    <row r="11" spans="2:30" x14ac:dyDescent="0.35">
      <c r="B11" s="182" t="s">
        <v>102</v>
      </c>
      <c r="C11" s="194" t="s">
        <v>285</v>
      </c>
      <c r="D11" s="171">
        <f>'Haver Pivoted'!GO14</f>
        <v>27.8</v>
      </c>
      <c r="E11" s="172">
        <f>'Haver Pivoted'!GP14</f>
        <v>29.4</v>
      </c>
      <c r="F11" s="172">
        <f>'Haver Pivoted'!GQ14</f>
        <v>26.9</v>
      </c>
      <c r="G11" s="172">
        <f>'Haver Pivoted'!GR14</f>
        <v>26.4</v>
      </c>
      <c r="H11" s="172">
        <f>'Haver Pivoted'!GS14</f>
        <v>27.7</v>
      </c>
      <c r="I11" s="172">
        <f>'Haver Pivoted'!GT14</f>
        <v>40.700000000000003</v>
      </c>
      <c r="J11" s="172">
        <f>'Haver Pivoted'!GU14</f>
        <v>1007.5</v>
      </c>
      <c r="K11" s="172">
        <f>'Haver Pivoted'!GV14</f>
        <v>792.9</v>
      </c>
      <c r="L11" s="172">
        <f>'Haver Pivoted'!GW14</f>
        <v>308.5</v>
      </c>
      <c r="M11" s="172">
        <f>'Haver Pivoted'!GX14</f>
        <v>556.20000000000005</v>
      </c>
      <c r="N11" s="172">
        <f>'Haver Pivoted'!GY14</f>
        <v>448.6</v>
      </c>
      <c r="O11" s="172">
        <f>'Haver Pivoted'!GZ14</f>
        <v>245.1</v>
      </c>
      <c r="P11" s="172">
        <f>'Haver Pivoted'!HA14</f>
        <v>33.799999999999997</v>
      </c>
      <c r="Q11" s="172">
        <f>'Haver Pivoted'!HB14</f>
        <v>23.6</v>
      </c>
      <c r="R11" s="172">
        <f>'Haver Pivoted'!HC14</f>
        <v>18.600000000000001</v>
      </c>
      <c r="S11" s="128">
        <f>'Haver Pivoted'!HD14</f>
        <v>18.5</v>
      </c>
      <c r="T11" s="146">
        <f>'Haver Pivoted'!HE14</f>
        <v>20.399999999999999</v>
      </c>
      <c r="U11" s="146">
        <f>'Haver Pivoted'!HF14</f>
        <v>22.8</v>
      </c>
      <c r="V11" s="201">
        <f t="shared" ref="V11:AC11" si="0">V12+V13+V20</f>
        <v>29.959200000000003</v>
      </c>
      <c r="W11" s="201">
        <f t="shared" si="0"/>
        <v>31.913485714285713</v>
      </c>
      <c r="X11" s="201">
        <f t="shared" si="0"/>
        <v>33.314057142857138</v>
      </c>
      <c r="Y11" s="201">
        <f t="shared" si="0"/>
        <v>33.216342857142855</v>
      </c>
      <c r="Z11" s="201">
        <f t="shared" si="0"/>
        <v>32.200114285714285</v>
      </c>
      <c r="AA11" s="201">
        <f t="shared" si="0"/>
        <v>31.652914285714289</v>
      </c>
      <c r="AB11" s="201">
        <f t="shared" si="0"/>
        <v>31.262057142857149</v>
      </c>
      <c r="AC11" s="200">
        <f t="shared" si="0"/>
        <v>31.112228571428574</v>
      </c>
      <c r="AD11" s="163" t="s">
        <v>286</v>
      </c>
    </row>
    <row r="12" spans="2:30" x14ac:dyDescent="0.35">
      <c r="B12" s="179" t="s">
        <v>287</v>
      </c>
      <c r="C12" s="180" t="s">
        <v>288</v>
      </c>
      <c r="D12" s="196">
        <f>'Haver Pivoted'!GO63</f>
        <v>0</v>
      </c>
      <c r="E12" s="159">
        <f>'Haver Pivoted'!GP63</f>
        <v>0</v>
      </c>
      <c r="F12" s="159">
        <f>'Haver Pivoted'!GQ63</f>
        <v>0</v>
      </c>
      <c r="G12" s="159">
        <f>'Haver Pivoted'!GR63</f>
        <v>0</v>
      </c>
      <c r="H12" s="159">
        <f>'Haver Pivoted'!GS63</f>
        <v>0</v>
      </c>
      <c r="I12" s="159">
        <f>'Haver Pivoted'!GT63</f>
        <v>0</v>
      </c>
      <c r="J12" s="159">
        <f>'Haver Pivoted'!GU63</f>
        <v>0.1</v>
      </c>
      <c r="K12" s="159">
        <f>'Haver Pivoted'!GV63</f>
        <v>3.7</v>
      </c>
      <c r="L12" s="159">
        <f>'Haver Pivoted'!GW63</f>
        <v>12.9</v>
      </c>
      <c r="M12" s="159">
        <f>'Haver Pivoted'!GX63</f>
        <v>25.5</v>
      </c>
      <c r="N12" s="159">
        <f>'Haver Pivoted'!GY63</f>
        <v>3.8</v>
      </c>
      <c r="O12" s="159">
        <f>'Haver Pivoted'!GZ63</f>
        <v>1.8</v>
      </c>
      <c r="P12" s="159">
        <f>'Haver Pivoted'!HA63</f>
        <v>0.6</v>
      </c>
      <c r="Q12" s="159">
        <f>'Haver Pivoted'!HB63</f>
        <v>0.2</v>
      </c>
      <c r="R12" s="159">
        <f>'Haver Pivoted'!HC63</f>
        <v>0.1</v>
      </c>
      <c r="S12" s="132">
        <f>'Haver Pivoted'!HD63</f>
        <v>0</v>
      </c>
      <c r="T12" s="115">
        <f>'Haver Pivoted'!HE63</f>
        <v>0</v>
      </c>
      <c r="U12" s="115">
        <f>'Haver Pivoted'!HF63</f>
        <v>0</v>
      </c>
      <c r="V12" s="175">
        <f>U12*V23/U23</f>
        <v>0</v>
      </c>
      <c r="W12" s="175">
        <f t="shared" ref="W12:AB12" si="1">V12*W23/V23</f>
        <v>0</v>
      </c>
      <c r="X12" s="175">
        <f t="shared" si="1"/>
        <v>0</v>
      </c>
      <c r="Y12" s="175">
        <f t="shared" si="1"/>
        <v>0</v>
      </c>
      <c r="Z12" s="175">
        <f t="shared" si="1"/>
        <v>0</v>
      </c>
      <c r="AA12" s="175">
        <f t="shared" si="1"/>
        <v>0</v>
      </c>
      <c r="AB12" s="175">
        <f t="shared" si="1"/>
        <v>0</v>
      </c>
      <c r="AC12" s="183">
        <f>AB12*AC23/AB23</f>
        <v>0</v>
      </c>
    </row>
    <row r="13" spans="2:30" x14ac:dyDescent="0.35">
      <c r="B13" s="179" t="s">
        <v>289</v>
      </c>
      <c r="C13" s="180"/>
      <c r="D13" s="196"/>
      <c r="E13" s="159"/>
      <c r="F13" s="159"/>
      <c r="G13" s="159"/>
      <c r="H13" s="161">
        <f>SUM(H14:H17)</f>
        <v>0</v>
      </c>
      <c r="I13" s="161">
        <f t="shared" ref="I13:M13" si="2">SUM(I14:I17)</f>
        <v>0</v>
      </c>
      <c r="J13" s="161">
        <f t="shared" si="2"/>
        <v>779.7</v>
      </c>
      <c r="K13" s="161">
        <f t="shared" si="2"/>
        <v>582.6</v>
      </c>
      <c r="L13" s="161">
        <f t="shared" si="2"/>
        <v>216.5</v>
      </c>
      <c r="M13" s="161">
        <f t="shared" si="2"/>
        <v>497.6</v>
      </c>
      <c r="N13" s="164">
        <f>SUM(N14:N17)</f>
        <v>401.5</v>
      </c>
      <c r="O13" s="164">
        <f t="shared" ref="O13:AC13" si="3">SUM(O14:O17)</f>
        <v>207.4</v>
      </c>
      <c r="P13" s="164">
        <f t="shared" si="3"/>
        <v>5.5</v>
      </c>
      <c r="Q13" s="164">
        <v>0</v>
      </c>
      <c r="R13" s="164">
        <f t="shared" si="3"/>
        <v>1</v>
      </c>
      <c r="S13" s="169">
        <f t="shared" si="3"/>
        <v>0.5</v>
      </c>
      <c r="T13" s="199">
        <f t="shared" si="3"/>
        <v>0.30000000000000004</v>
      </c>
      <c r="U13" s="199">
        <f t="shared" si="3"/>
        <v>0</v>
      </c>
      <c r="V13" s="175">
        <f t="shared" si="3"/>
        <v>0</v>
      </c>
      <c r="W13" s="175">
        <f t="shared" si="3"/>
        <v>0</v>
      </c>
      <c r="X13" s="175">
        <f t="shared" si="3"/>
        <v>0</v>
      </c>
      <c r="Y13" s="175">
        <f t="shared" si="3"/>
        <v>0</v>
      </c>
      <c r="Z13" s="175">
        <f t="shared" si="3"/>
        <v>0</v>
      </c>
      <c r="AA13" s="175">
        <f t="shared" si="3"/>
        <v>0</v>
      </c>
      <c r="AB13" s="175">
        <f t="shared" si="3"/>
        <v>0</v>
      </c>
      <c r="AC13" s="183">
        <f t="shared" si="3"/>
        <v>0</v>
      </c>
    </row>
    <row r="14" spans="2:30" ht="18" customHeight="1" x14ac:dyDescent="0.35">
      <c r="B14" s="181" t="s">
        <v>290</v>
      </c>
      <c r="C14" s="160" t="s">
        <v>288</v>
      </c>
      <c r="D14" s="195">
        <f>'Haver Pivoted'!GO63</f>
        <v>0</v>
      </c>
      <c r="E14" s="162">
        <f>'Haver Pivoted'!GP63</f>
        <v>0</v>
      </c>
      <c r="F14" s="162">
        <f>'Haver Pivoted'!GQ63</f>
        <v>0</v>
      </c>
      <c r="G14" s="162">
        <f>'Haver Pivoted'!GR63</f>
        <v>0</v>
      </c>
      <c r="H14" s="162">
        <f>'Haver Pivoted'!GS63</f>
        <v>0</v>
      </c>
      <c r="I14" s="162">
        <f>'Haver Pivoted'!GT63</f>
        <v>0</v>
      </c>
      <c r="J14" s="162">
        <f>'Haver Pivoted'!GU63</f>
        <v>0.1</v>
      </c>
      <c r="K14" s="162">
        <f>'Haver Pivoted'!GV63</f>
        <v>3.7</v>
      </c>
      <c r="L14" s="162">
        <f>'Haver Pivoted'!GW63</f>
        <v>12.9</v>
      </c>
      <c r="M14" s="162">
        <f>'Haver Pivoted'!GX63</f>
        <v>25.5</v>
      </c>
      <c r="N14" s="162">
        <f>'Haver Pivoted'!GY63</f>
        <v>3.8</v>
      </c>
      <c r="O14" s="162">
        <f>'Haver Pivoted'!GZ63</f>
        <v>1.8</v>
      </c>
      <c r="P14" s="162">
        <f>'Haver Pivoted'!HA63</f>
        <v>0.6</v>
      </c>
      <c r="Q14" s="162">
        <f>'Haver Pivoted'!HB63</f>
        <v>0.2</v>
      </c>
      <c r="R14" s="162">
        <f>'Haver Pivoted'!HC63</f>
        <v>0.1</v>
      </c>
      <c r="S14" s="166">
        <f>'Haver Pivoted'!HD63</f>
        <v>0</v>
      </c>
      <c r="T14" s="174">
        <f>'Haver Pivoted'!HE63</f>
        <v>0</v>
      </c>
      <c r="U14" s="174">
        <f>'Haver Pivoted'!HF63</f>
        <v>0</v>
      </c>
      <c r="V14" s="175">
        <f t="shared" ref="V14:X14" si="4">V12</f>
        <v>0</v>
      </c>
      <c r="W14" s="175">
        <f t="shared" si="4"/>
        <v>0</v>
      </c>
      <c r="X14" s="175">
        <f t="shared" si="4"/>
        <v>0</v>
      </c>
      <c r="Y14" s="175">
        <f>Y12</f>
        <v>0</v>
      </c>
      <c r="Z14" s="175">
        <f t="shared" ref="Z14:AC14" si="5">Z12</f>
        <v>0</v>
      </c>
      <c r="AA14" s="175">
        <f t="shared" si="5"/>
        <v>0</v>
      </c>
      <c r="AB14" s="175">
        <f t="shared" si="5"/>
        <v>0</v>
      </c>
      <c r="AC14" s="183">
        <f t="shared" si="5"/>
        <v>0</v>
      </c>
    </row>
    <row r="15" spans="2:30" ht="18" customHeight="1" x14ac:dyDescent="0.35">
      <c r="B15" s="181" t="s">
        <v>291</v>
      </c>
      <c r="C15" s="160" t="s">
        <v>292</v>
      </c>
      <c r="D15" s="195">
        <f>'Haver Pivoted'!GO59</f>
        <v>0</v>
      </c>
      <c r="E15" s="162">
        <f>'Haver Pivoted'!GP59</f>
        <v>0</v>
      </c>
      <c r="F15" s="162">
        <f>'Haver Pivoted'!GQ59</f>
        <v>0</v>
      </c>
      <c r="G15" s="162">
        <f>'Haver Pivoted'!GR59</f>
        <v>0</v>
      </c>
      <c r="H15" s="162">
        <f>'Haver Pivoted'!GS59</f>
        <v>0</v>
      </c>
      <c r="I15" s="162">
        <f>'Haver Pivoted'!GT59</f>
        <v>0</v>
      </c>
      <c r="J15" s="162">
        <f>'Haver Pivoted'!GU59</f>
        <v>6.3</v>
      </c>
      <c r="K15" s="162">
        <f>'Haver Pivoted'!GV59</f>
        <v>26.7</v>
      </c>
      <c r="L15" s="162">
        <f>'Haver Pivoted'!GW59</f>
        <v>82.1</v>
      </c>
      <c r="M15" s="162">
        <f>'Haver Pivoted'!GX59</f>
        <v>94.7</v>
      </c>
      <c r="N15" s="162">
        <f>'Haver Pivoted'!GY59</f>
        <v>92.1</v>
      </c>
      <c r="O15" s="162">
        <f>'Haver Pivoted'!GZ59</f>
        <v>51.6</v>
      </c>
      <c r="P15" s="162">
        <f>'Haver Pivoted'!HA59</f>
        <v>2.8</v>
      </c>
      <c r="Q15" s="162">
        <f>'Haver Pivoted'!HB59</f>
        <v>0.8</v>
      </c>
      <c r="R15" s="162">
        <f>'Haver Pivoted'!HC59</f>
        <v>0.5</v>
      </c>
      <c r="S15" s="166">
        <f>'Haver Pivoted'!HD59</f>
        <v>0.3</v>
      </c>
      <c r="T15" s="174">
        <f>'Haver Pivoted'!HE59</f>
        <v>0.2</v>
      </c>
      <c r="U15" s="174">
        <f>'Haver Pivoted'!HF59</f>
        <v>0</v>
      </c>
      <c r="V15" s="175">
        <f t="shared" ref="V15:AB17" si="6">U15*V$23/U$23</f>
        <v>0</v>
      </c>
      <c r="W15" s="175">
        <f t="shared" si="6"/>
        <v>0</v>
      </c>
      <c r="X15" s="175">
        <f t="shared" si="6"/>
        <v>0</v>
      </c>
      <c r="Y15" s="175">
        <f t="shared" si="6"/>
        <v>0</v>
      </c>
      <c r="Z15" s="175">
        <f t="shared" si="6"/>
        <v>0</v>
      </c>
      <c r="AA15" s="175">
        <f t="shared" si="6"/>
        <v>0</v>
      </c>
      <c r="AB15" s="175">
        <f t="shared" si="6"/>
        <v>0</v>
      </c>
      <c r="AC15" s="183">
        <f>AB15*AC$23/AB$23</f>
        <v>0</v>
      </c>
    </row>
    <row r="16" spans="2:30" ht="18" customHeight="1" x14ac:dyDescent="0.35">
      <c r="B16" s="181" t="s">
        <v>293</v>
      </c>
      <c r="C16" s="160" t="s">
        <v>294</v>
      </c>
      <c r="D16" s="195">
        <f>'Haver Pivoted'!GO60</f>
        <v>0</v>
      </c>
      <c r="E16" s="162">
        <f>'Haver Pivoted'!GP60</f>
        <v>0</v>
      </c>
      <c r="F16" s="162">
        <f>'Haver Pivoted'!GQ60</f>
        <v>0</v>
      </c>
      <c r="G16" s="162">
        <f>'Haver Pivoted'!GR60</f>
        <v>0</v>
      </c>
      <c r="H16" s="162">
        <f>'Haver Pivoted'!GS60</f>
        <v>0</v>
      </c>
      <c r="I16" s="162">
        <f>'Haver Pivoted'!GT60</f>
        <v>0</v>
      </c>
      <c r="J16" s="162">
        <f>'Haver Pivoted'!GU60</f>
        <v>74.400000000000006</v>
      </c>
      <c r="K16" s="162">
        <f>'Haver Pivoted'!GV60</f>
        <v>138.30000000000001</v>
      </c>
      <c r="L16" s="162">
        <f>'Haver Pivoted'!GW60</f>
        <v>106.8</v>
      </c>
      <c r="M16" s="162">
        <f>'Haver Pivoted'!GX60</f>
        <v>89.2</v>
      </c>
      <c r="N16" s="162">
        <f>'Haver Pivoted'!GY60</f>
        <v>72.3</v>
      </c>
      <c r="O16" s="162">
        <f>'Haver Pivoted'!GZ60</f>
        <v>43.5</v>
      </c>
      <c r="P16" s="162">
        <f>'Haver Pivoted'!HA60</f>
        <v>2.1</v>
      </c>
      <c r="Q16" s="162">
        <f>'Haver Pivoted'!HB60</f>
        <v>0.8</v>
      </c>
      <c r="R16" s="162">
        <f>'Haver Pivoted'!HC60</f>
        <v>0.4</v>
      </c>
      <c r="S16" s="166">
        <f>'Haver Pivoted'!HD60</f>
        <v>0.2</v>
      </c>
      <c r="T16" s="174">
        <f>'Haver Pivoted'!HE60</f>
        <v>0.1</v>
      </c>
      <c r="U16" s="174">
        <f>'Haver Pivoted'!HF60</f>
        <v>0</v>
      </c>
      <c r="V16" s="175">
        <f t="shared" si="6"/>
        <v>0</v>
      </c>
      <c r="W16" s="175">
        <f t="shared" si="6"/>
        <v>0</v>
      </c>
      <c r="X16" s="175">
        <f t="shared" si="6"/>
        <v>0</v>
      </c>
      <c r="Y16" s="175">
        <f t="shared" si="6"/>
        <v>0</v>
      </c>
      <c r="Z16" s="175">
        <f t="shared" si="6"/>
        <v>0</v>
      </c>
      <c r="AA16" s="175">
        <f t="shared" si="6"/>
        <v>0</v>
      </c>
      <c r="AB16" s="175">
        <f t="shared" si="6"/>
        <v>0</v>
      </c>
      <c r="AC16" s="183">
        <f>AB16*AC$23/AB$23</f>
        <v>0</v>
      </c>
    </row>
    <row r="17" spans="1:32" ht="18" customHeight="1" x14ac:dyDescent="0.35">
      <c r="B17" s="181" t="s">
        <v>295</v>
      </c>
      <c r="C17" s="160" t="s">
        <v>296</v>
      </c>
      <c r="D17" s="195">
        <f>'Haver Pivoted'!GO61</f>
        <v>0</v>
      </c>
      <c r="E17" s="162">
        <f>'Haver Pivoted'!GP61</f>
        <v>0</v>
      </c>
      <c r="F17" s="162">
        <f>'Haver Pivoted'!GQ61</f>
        <v>0</v>
      </c>
      <c r="G17" s="162">
        <f>'Haver Pivoted'!GR61</f>
        <v>0</v>
      </c>
      <c r="H17" s="162">
        <f>'Haver Pivoted'!GS61</f>
        <v>0</v>
      </c>
      <c r="I17" s="162">
        <f>'Haver Pivoted'!GT61</f>
        <v>0</v>
      </c>
      <c r="J17" s="162">
        <f>'Haver Pivoted'!GU61</f>
        <v>698.9</v>
      </c>
      <c r="K17" s="162">
        <f>'Haver Pivoted'!GV61</f>
        <v>413.9</v>
      </c>
      <c r="L17" s="162">
        <f>'Haver Pivoted'!GW61</f>
        <v>14.7</v>
      </c>
      <c r="M17" s="162">
        <f>'Haver Pivoted'!GX61</f>
        <v>288.2</v>
      </c>
      <c r="N17" s="162">
        <f>'Haver Pivoted'!GY61</f>
        <v>233.3</v>
      </c>
      <c r="O17" s="162">
        <f>'Haver Pivoted'!GZ61</f>
        <v>110.5</v>
      </c>
      <c r="P17" s="162">
        <f>'Haver Pivoted'!HA61</f>
        <v>0</v>
      </c>
      <c r="Q17" s="162">
        <f>'Haver Pivoted'!HB61</f>
        <v>0</v>
      </c>
      <c r="R17" s="162">
        <f>'Haver Pivoted'!HC61</f>
        <v>0</v>
      </c>
      <c r="S17" s="166">
        <f>'Haver Pivoted'!HD61</f>
        <v>0</v>
      </c>
      <c r="T17" s="174">
        <f>'Haver Pivoted'!HE61</f>
        <v>0</v>
      </c>
      <c r="U17" s="174">
        <f>'Haver Pivoted'!HF61</f>
        <v>0</v>
      </c>
      <c r="V17" s="175">
        <f t="shared" si="6"/>
        <v>0</v>
      </c>
      <c r="W17" s="175">
        <f t="shared" si="6"/>
        <v>0</v>
      </c>
      <c r="X17" s="175">
        <f t="shared" si="6"/>
        <v>0</v>
      </c>
      <c r="Y17" s="175">
        <f t="shared" si="6"/>
        <v>0</v>
      </c>
      <c r="Z17" s="175">
        <f t="shared" si="6"/>
        <v>0</v>
      </c>
      <c r="AA17" s="175">
        <f t="shared" si="6"/>
        <v>0</v>
      </c>
      <c r="AB17" s="175">
        <f t="shared" si="6"/>
        <v>0</v>
      </c>
      <c r="AC17" s="183">
        <f>AB17*AC$23/AB$23</f>
        <v>0</v>
      </c>
    </row>
    <row r="18" spans="1:32" x14ac:dyDescent="0.35">
      <c r="B18" s="153" t="s">
        <v>158</v>
      </c>
      <c r="C18" s="163" t="s">
        <v>297</v>
      </c>
      <c r="D18" s="196">
        <f>'Haver Pivoted'!GO64</f>
        <v>0</v>
      </c>
      <c r="E18" s="159">
        <f>'Haver Pivoted'!GP64</f>
        <v>0</v>
      </c>
      <c r="F18" s="159">
        <f>'Haver Pivoted'!GQ64</f>
        <v>0</v>
      </c>
      <c r="G18" s="159">
        <f>'Haver Pivoted'!GR64</f>
        <v>0</v>
      </c>
      <c r="H18" s="159">
        <f>'Haver Pivoted'!GS64</f>
        <v>0</v>
      </c>
      <c r="I18" s="159">
        <f>'Haver Pivoted'!GT64</f>
        <v>0</v>
      </c>
      <c r="J18" s="159">
        <f>'Haver Pivoted'!GU64</f>
        <v>0</v>
      </c>
      <c r="K18" s="159">
        <f>'Haver Pivoted'!GV64</f>
        <v>106.2</v>
      </c>
      <c r="L18" s="159">
        <f>'Haver Pivoted'!GW64</f>
        <v>35.9</v>
      </c>
      <c r="M18" s="159">
        <f>'Haver Pivoted'!GX64</f>
        <v>1.6</v>
      </c>
      <c r="N18" s="159">
        <f>'Haver Pivoted'!GY64</f>
        <v>0.6</v>
      </c>
      <c r="O18" s="159">
        <f>'Haver Pivoted'!GZ64</f>
        <v>0.1</v>
      </c>
      <c r="P18" s="159">
        <f>'Haver Pivoted'!HA64</f>
        <v>0</v>
      </c>
      <c r="Q18" s="162">
        <f>'Haver Pivoted'!HB64</f>
        <v>0</v>
      </c>
      <c r="R18" s="162">
        <f>'Haver Pivoted'!HC64</f>
        <v>0</v>
      </c>
      <c r="S18" s="166">
        <f>'Haver Pivoted'!HD64</f>
        <v>0</v>
      </c>
      <c r="T18" s="174">
        <f>'Haver Pivoted'!HE64</f>
        <v>0</v>
      </c>
      <c r="U18" s="174">
        <f>'Haver Pivoted'!HF64</f>
        <v>0</v>
      </c>
      <c r="V18" s="175"/>
      <c r="W18" s="175"/>
      <c r="X18" s="175"/>
      <c r="Y18" s="175"/>
      <c r="Z18" s="175"/>
      <c r="AA18" s="175"/>
      <c r="AB18" s="175"/>
      <c r="AC18" s="183"/>
    </row>
    <row r="19" spans="1:32" ht="14.9" customHeight="1" x14ac:dyDescent="0.35">
      <c r="B19" s="187" t="s">
        <v>298</v>
      </c>
      <c r="C19" s="193"/>
      <c r="D19" s="176">
        <f t="shared" ref="D19:N19" si="7">D11-D20</f>
        <v>0</v>
      </c>
      <c r="E19" s="170">
        <f t="shared" si="7"/>
        <v>0</v>
      </c>
      <c r="F19" s="170">
        <f t="shared" si="7"/>
        <v>0</v>
      </c>
      <c r="G19" s="170">
        <f t="shared" si="7"/>
        <v>0</v>
      </c>
      <c r="H19" s="170">
        <f t="shared" si="7"/>
        <v>0</v>
      </c>
      <c r="I19" s="170">
        <f t="shared" si="7"/>
        <v>0</v>
      </c>
      <c r="J19" s="170">
        <f t="shared" si="7"/>
        <v>779.80000000000007</v>
      </c>
      <c r="K19" s="170">
        <f t="shared" si="7"/>
        <v>586.29999999999995</v>
      </c>
      <c r="L19" s="170">
        <f t="shared" si="7"/>
        <v>229.4</v>
      </c>
      <c r="M19" s="170">
        <f t="shared" si="7"/>
        <v>523.1</v>
      </c>
      <c r="N19" s="167">
        <f t="shared" si="7"/>
        <v>405.3</v>
      </c>
      <c r="O19" s="167">
        <f>O11-O20</f>
        <v>209.20000000000002</v>
      </c>
      <c r="P19" s="167">
        <f t="shared" ref="P19" si="8">P11-P20</f>
        <v>6.1000000000000014</v>
      </c>
      <c r="Q19" s="167">
        <f>Q11-Q20</f>
        <v>0.19999999999999929</v>
      </c>
      <c r="R19" s="167">
        <f>R11-R20</f>
        <v>1.1000000000000014</v>
      </c>
      <c r="S19" s="165">
        <f>S11-S20</f>
        <v>0.5</v>
      </c>
      <c r="T19" s="173">
        <f>T11-T20</f>
        <v>0.30000000000000071</v>
      </c>
      <c r="U19" s="173">
        <f>U11-U20</f>
        <v>0</v>
      </c>
      <c r="V19" s="155">
        <f t="shared" ref="V19:AC19" si="9">V11-V20</f>
        <v>0</v>
      </c>
      <c r="W19" s="155">
        <f t="shared" si="9"/>
        <v>0</v>
      </c>
      <c r="X19" s="155">
        <f t="shared" si="9"/>
        <v>0</v>
      </c>
      <c r="Y19" s="155">
        <f t="shared" si="9"/>
        <v>0</v>
      </c>
      <c r="Z19" s="155">
        <f t="shared" si="9"/>
        <v>0</v>
      </c>
      <c r="AA19" s="155">
        <f t="shared" si="9"/>
        <v>0</v>
      </c>
      <c r="AB19" s="155">
        <f t="shared" si="9"/>
        <v>0</v>
      </c>
      <c r="AC19" s="155">
        <f t="shared" si="9"/>
        <v>0</v>
      </c>
    </row>
    <row r="20" spans="1:32" ht="14.9" customHeight="1" x14ac:dyDescent="0.35">
      <c r="B20" s="187" t="s">
        <v>299</v>
      </c>
      <c r="C20" s="193"/>
      <c r="D20" s="176">
        <f t="shared" ref="D20:H20" si="10">D11</f>
        <v>27.8</v>
      </c>
      <c r="E20" s="170">
        <f t="shared" si="10"/>
        <v>29.4</v>
      </c>
      <c r="F20" s="170">
        <f t="shared" si="10"/>
        <v>26.9</v>
      </c>
      <c r="G20" s="170">
        <f t="shared" si="10"/>
        <v>26.4</v>
      </c>
      <c r="H20" s="170">
        <f t="shared" si="10"/>
        <v>27.7</v>
      </c>
      <c r="I20" s="170">
        <f>I11</f>
        <v>40.700000000000003</v>
      </c>
      <c r="J20" s="170">
        <f>J11-J13-J12</f>
        <v>227.69999999999996</v>
      </c>
      <c r="K20" s="170">
        <f>K11-K13-K12</f>
        <v>206.59999999999997</v>
      </c>
      <c r="L20" s="170">
        <f>L11-L13-L12</f>
        <v>79.099999999999994</v>
      </c>
      <c r="M20" s="170">
        <f>M11-M13-M12</f>
        <v>33.100000000000023</v>
      </c>
      <c r="N20" s="167">
        <f t="shared" ref="N20:U20" si="11">N11-N12-N13</f>
        <v>43.300000000000011</v>
      </c>
      <c r="O20" s="167">
        <f t="shared" si="11"/>
        <v>35.899999999999977</v>
      </c>
      <c r="P20" s="167">
        <f t="shared" si="11"/>
        <v>27.699999999999996</v>
      </c>
      <c r="Q20" s="162">
        <f t="shared" si="11"/>
        <v>23.400000000000002</v>
      </c>
      <c r="R20" s="162">
        <f t="shared" si="11"/>
        <v>17.5</v>
      </c>
      <c r="S20" s="166">
        <f t="shared" si="11"/>
        <v>18</v>
      </c>
      <c r="T20" s="174">
        <f t="shared" si="11"/>
        <v>20.099999999999998</v>
      </c>
      <c r="U20" s="174">
        <f t="shared" si="11"/>
        <v>22.8</v>
      </c>
      <c r="V20" s="155">
        <f t="shared" ref="V20:AB20" si="12">U20*V23/U23</f>
        <v>29.959200000000003</v>
      </c>
      <c r="W20" s="155">
        <f t="shared" si="12"/>
        <v>31.913485714285713</v>
      </c>
      <c r="X20" s="155">
        <f t="shared" si="12"/>
        <v>33.314057142857138</v>
      </c>
      <c r="Y20" s="155">
        <f t="shared" si="12"/>
        <v>33.216342857142855</v>
      </c>
      <c r="Z20" s="155">
        <f t="shared" si="12"/>
        <v>32.200114285714285</v>
      </c>
      <c r="AA20" s="155">
        <f t="shared" si="12"/>
        <v>31.652914285714289</v>
      </c>
      <c r="AB20" s="155">
        <f t="shared" si="12"/>
        <v>31.262057142857149</v>
      </c>
      <c r="AC20" s="156">
        <f>AB20*AC23/AB23</f>
        <v>31.112228571428574</v>
      </c>
      <c r="AD20" s="177" t="s">
        <v>300</v>
      </c>
    </row>
    <row r="21" spans="1:32" x14ac:dyDescent="0.35">
      <c r="B21" s="153"/>
      <c r="C21" s="154"/>
      <c r="D21" s="195"/>
      <c r="E21" s="162"/>
      <c r="F21" s="162"/>
      <c r="G21" s="162"/>
      <c r="H21" s="161"/>
      <c r="I21" s="161"/>
      <c r="J21" s="161"/>
      <c r="K21" s="161"/>
      <c r="L21" s="161"/>
      <c r="M21" s="161"/>
      <c r="N21" s="161"/>
      <c r="O21" s="161"/>
      <c r="P21" s="161"/>
      <c r="Q21" s="161"/>
      <c r="R21" s="161"/>
      <c r="S21" s="161"/>
      <c r="T21" s="216"/>
      <c r="U21" s="161"/>
      <c r="V21" s="175"/>
      <c r="W21" s="175"/>
      <c r="X21" s="175"/>
      <c r="Y21" s="175"/>
      <c r="Z21" s="175"/>
      <c r="AA21" s="175"/>
      <c r="AB21" s="175"/>
      <c r="AC21" s="183"/>
    </row>
    <row r="22" spans="1:32" x14ac:dyDescent="0.35">
      <c r="B22" s="163" t="s">
        <v>1809</v>
      </c>
      <c r="C22" s="154"/>
      <c r="D22" s="162"/>
      <c r="E22" s="162"/>
      <c r="F22" s="162"/>
      <c r="G22" s="162"/>
      <c r="H22" s="161"/>
      <c r="I22" s="161"/>
      <c r="J22" s="161"/>
      <c r="K22" s="161"/>
      <c r="L22" s="161"/>
      <c r="M22" s="161"/>
      <c r="N22" s="161"/>
      <c r="O22" s="161"/>
      <c r="P22" s="161"/>
      <c r="Q22" s="161"/>
      <c r="R22" s="161"/>
      <c r="S22" s="161"/>
      <c r="T22" s="223"/>
      <c r="U22" s="188"/>
      <c r="V22" s="224">
        <v>4.5990000000000002</v>
      </c>
      <c r="W22" s="224">
        <v>4.899</v>
      </c>
      <c r="X22" s="224">
        <v>5.1139999999999999</v>
      </c>
      <c r="Y22" s="224">
        <v>5.0990000000000002</v>
      </c>
      <c r="Z22" s="224">
        <v>4.9429999999999996</v>
      </c>
      <c r="AA22" s="224">
        <v>4.859</v>
      </c>
      <c r="AB22" s="224">
        <v>4.7990000000000004</v>
      </c>
      <c r="AC22" s="224">
        <v>4.7759999999999998</v>
      </c>
    </row>
    <row r="23" spans="1:32" x14ac:dyDescent="0.35">
      <c r="B23" s="153" t="s">
        <v>1892</v>
      </c>
      <c r="C23" s="217"/>
      <c r="D23" s="218"/>
      <c r="E23" s="219"/>
      <c r="F23" s="219"/>
      <c r="G23" s="219"/>
      <c r="H23" s="220"/>
      <c r="I23" s="220"/>
      <c r="J23" s="220"/>
      <c r="K23" s="220"/>
      <c r="L23" s="220"/>
      <c r="M23" s="220">
        <f>GETPIVOTDATA("Monthly UR",$E$28,"Quarters",M24,"Years",M25)</f>
        <v>6.166666666666667</v>
      </c>
      <c r="N23" s="220">
        <f t="shared" ref="N23:U23" si="13">GETPIVOTDATA("Monthly UR",$E$28,"Quarters",N24,"Years",N25)</f>
        <v>5.7666666666666657</v>
      </c>
      <c r="O23" s="220">
        <f t="shared" si="13"/>
        <v>5.1333333333333337</v>
      </c>
      <c r="P23" s="220">
        <f t="shared" si="13"/>
        <v>4.2333333333333334</v>
      </c>
      <c r="Q23" s="220">
        <f t="shared" si="13"/>
        <v>3.8000000000000003</v>
      </c>
      <c r="R23" s="220">
        <f t="shared" si="13"/>
        <v>3.6</v>
      </c>
      <c r="S23" s="220">
        <f t="shared" si="13"/>
        <v>3.5666666666666664</v>
      </c>
      <c r="T23" s="220">
        <f t="shared" si="13"/>
        <v>3.6</v>
      </c>
      <c r="U23" s="220">
        <f t="shared" si="13"/>
        <v>3.5</v>
      </c>
      <c r="V23" s="221">
        <v>4.5990000000000002</v>
      </c>
      <c r="W23" s="221">
        <v>4.899</v>
      </c>
      <c r="X23" s="221">
        <v>5.1139999999999999</v>
      </c>
      <c r="Y23" s="221">
        <v>5.0990000000000002</v>
      </c>
      <c r="Z23" s="221">
        <v>4.9429999999999996</v>
      </c>
      <c r="AA23" s="221">
        <v>4.859</v>
      </c>
      <c r="AB23" s="221">
        <v>4.7990000000000004</v>
      </c>
      <c r="AC23" s="222">
        <v>4.7759999999999998</v>
      </c>
      <c r="AD23" s="188" t="s">
        <v>301</v>
      </c>
    </row>
    <row r="24" spans="1:32" ht="15.75" customHeight="1" x14ac:dyDescent="0.35">
      <c r="B24" s="212" t="s">
        <v>1909</v>
      </c>
      <c r="C24" s="213"/>
      <c r="D24" s="214"/>
      <c r="E24" s="214"/>
      <c r="F24" s="214"/>
      <c r="G24" s="214"/>
      <c r="H24" s="214"/>
      <c r="I24" s="214"/>
      <c r="J24" s="214"/>
      <c r="K24" s="214"/>
      <c r="L24" s="214"/>
      <c r="M24" s="214">
        <v>1</v>
      </c>
      <c r="N24" s="214">
        <v>2</v>
      </c>
      <c r="O24" s="214">
        <v>3</v>
      </c>
      <c r="P24" s="214">
        <v>4</v>
      </c>
      <c r="Q24" s="214">
        <v>1</v>
      </c>
      <c r="R24" s="214">
        <v>2</v>
      </c>
      <c r="S24" s="214">
        <v>3</v>
      </c>
      <c r="T24" s="214">
        <v>4</v>
      </c>
      <c r="U24" s="214">
        <v>1</v>
      </c>
      <c r="V24" s="214">
        <v>2</v>
      </c>
      <c r="W24" s="214">
        <v>3</v>
      </c>
      <c r="X24" s="214">
        <v>4</v>
      </c>
      <c r="Y24" s="214">
        <v>1</v>
      </c>
      <c r="Z24" s="214">
        <v>2</v>
      </c>
      <c r="AA24" s="214">
        <v>3</v>
      </c>
      <c r="AB24" s="214">
        <v>4</v>
      </c>
      <c r="AC24" s="214">
        <v>1</v>
      </c>
      <c r="AD24" s="159">
        <v>2</v>
      </c>
      <c r="AE24" s="159">
        <v>3</v>
      </c>
      <c r="AF24" s="159">
        <v>4</v>
      </c>
    </row>
    <row r="25" spans="1:32" x14ac:dyDescent="0.35">
      <c r="B25" s="215" t="s">
        <v>1910</v>
      </c>
      <c r="C25" s="213"/>
      <c r="D25" s="214"/>
      <c r="E25" s="214"/>
      <c r="F25" s="214"/>
      <c r="G25" s="214"/>
      <c r="H25" s="214"/>
      <c r="I25" s="214"/>
      <c r="J25" s="214"/>
      <c r="K25" s="214"/>
      <c r="L25" s="214"/>
      <c r="M25" s="214">
        <v>2021</v>
      </c>
      <c r="N25" s="214">
        <v>2021</v>
      </c>
      <c r="O25" s="214">
        <v>2021</v>
      </c>
      <c r="P25" s="214">
        <v>2021</v>
      </c>
      <c r="Q25" s="214">
        <v>2022</v>
      </c>
      <c r="R25" s="214">
        <v>2022</v>
      </c>
      <c r="S25" s="214">
        <v>2022</v>
      </c>
      <c r="T25" s="214">
        <v>2022</v>
      </c>
      <c r="U25" s="214">
        <v>2023</v>
      </c>
      <c r="V25" s="214">
        <v>2023</v>
      </c>
      <c r="W25" s="214">
        <v>2023</v>
      </c>
      <c r="X25" s="214">
        <v>2023</v>
      </c>
      <c r="Y25" s="214">
        <v>2024</v>
      </c>
      <c r="Z25" s="214">
        <v>2024</v>
      </c>
      <c r="AA25" s="214">
        <v>2024</v>
      </c>
      <c r="AB25" s="214">
        <v>2024</v>
      </c>
      <c r="AC25" s="214">
        <v>2025</v>
      </c>
      <c r="AD25" s="188"/>
    </row>
    <row r="26" spans="1:32" x14ac:dyDescent="0.35">
      <c r="C26" s="163"/>
      <c r="D26" s="159"/>
      <c r="E26" s="159"/>
      <c r="F26" s="159"/>
      <c r="G26" s="159"/>
      <c r="H26" s="161"/>
      <c r="I26" s="161"/>
      <c r="J26" s="161"/>
      <c r="K26" s="161"/>
      <c r="L26" s="161"/>
      <c r="M26" s="161"/>
      <c r="N26" s="161"/>
      <c r="O26" s="161"/>
      <c r="P26" s="161"/>
      <c r="AD26" s="188"/>
    </row>
    <row r="27" spans="1:32" x14ac:dyDescent="0.35">
      <c r="M27" s="163"/>
      <c r="N27" s="163"/>
      <c r="O27" s="163"/>
    </row>
    <row r="28" spans="1:32" ht="43.5" customHeight="1" x14ac:dyDescent="0.35">
      <c r="B28" s="210" t="s">
        <v>302</v>
      </c>
      <c r="C28" s="211" t="s">
        <v>303</v>
      </c>
      <c r="D28" s="207"/>
      <c r="E28" s="209" t="s">
        <v>1899</v>
      </c>
      <c r="F28" s="209" t="s">
        <v>1904</v>
      </c>
      <c r="G28" s="209"/>
      <c r="H28" s="209"/>
      <c r="I28" s="209"/>
      <c r="J28" s="209"/>
      <c r="O28" s="225"/>
    </row>
    <row r="29" spans="1:32" x14ac:dyDescent="0.35">
      <c r="A29" s="35"/>
      <c r="B29" s="197">
        <v>44197</v>
      </c>
      <c r="C29" s="123">
        <v>6.3</v>
      </c>
      <c r="D29" s="208"/>
      <c r="E29" s="203" t="s">
        <v>1807</v>
      </c>
      <c r="F29" s="81"/>
      <c r="G29" s="81"/>
      <c r="H29" s="157"/>
      <c r="I29" s="81"/>
      <c r="J29" s="157"/>
      <c r="O29" s="163"/>
    </row>
    <row r="30" spans="1:32" x14ac:dyDescent="0.35">
      <c r="A30" s="35"/>
      <c r="B30" s="197">
        <v>44228</v>
      </c>
      <c r="C30" s="123">
        <v>6.2</v>
      </c>
      <c r="D30" s="208"/>
      <c r="E30" s="204" t="s">
        <v>1900</v>
      </c>
      <c r="F30" s="206">
        <v>6.166666666666667</v>
      </c>
      <c r="G30" s="81"/>
      <c r="H30" s="157"/>
      <c r="I30" s="81"/>
      <c r="J30" s="157"/>
      <c r="O30" s="163"/>
    </row>
    <row r="31" spans="1:32" x14ac:dyDescent="0.35">
      <c r="A31" s="35"/>
      <c r="B31" s="197">
        <v>44256</v>
      </c>
      <c r="C31" s="123">
        <v>6</v>
      </c>
      <c r="D31" s="208"/>
      <c r="E31" s="204" t="s">
        <v>1901</v>
      </c>
      <c r="F31" s="206">
        <v>5.7666666666666657</v>
      </c>
      <c r="G31" s="81"/>
      <c r="H31" s="157"/>
      <c r="I31" s="81"/>
      <c r="J31" s="157"/>
      <c r="O31" s="163"/>
    </row>
    <row r="32" spans="1:32" x14ac:dyDescent="0.35">
      <c r="A32" s="35"/>
      <c r="B32" s="197">
        <v>44287</v>
      </c>
      <c r="C32" s="123">
        <v>6.1</v>
      </c>
      <c r="D32" s="208"/>
      <c r="E32" s="204" t="s">
        <v>1902</v>
      </c>
      <c r="F32" s="206">
        <v>5.1333333333333337</v>
      </c>
      <c r="G32" s="81"/>
      <c r="H32" s="157"/>
      <c r="I32" s="81"/>
      <c r="J32" s="157"/>
      <c r="O32" s="163"/>
    </row>
    <row r="33" spans="1:38" x14ac:dyDescent="0.35">
      <c r="A33" s="35"/>
      <c r="B33" s="197">
        <v>44317</v>
      </c>
      <c r="C33" s="123">
        <v>5.8</v>
      </c>
      <c r="D33" s="208"/>
      <c r="E33" s="204" t="s">
        <v>1903</v>
      </c>
      <c r="F33" s="206">
        <v>4.2333333333333334</v>
      </c>
      <c r="G33" s="81"/>
      <c r="H33" s="157"/>
      <c r="I33" s="81"/>
      <c r="J33" s="157"/>
      <c r="O33" s="163"/>
    </row>
    <row r="34" spans="1:38" x14ac:dyDescent="0.35">
      <c r="A34" s="35"/>
      <c r="B34" s="197">
        <v>44348</v>
      </c>
      <c r="C34" s="123">
        <v>5.4</v>
      </c>
      <c r="D34" s="208"/>
      <c r="E34" s="203" t="s">
        <v>1753</v>
      </c>
      <c r="F34" s="206"/>
      <c r="G34" s="81"/>
      <c r="H34" s="157"/>
      <c r="I34" s="81"/>
      <c r="J34" s="157"/>
      <c r="O34" s="163"/>
    </row>
    <row r="35" spans="1:38" x14ac:dyDescent="0.35">
      <c r="A35" s="35"/>
      <c r="B35" s="197">
        <v>44378</v>
      </c>
      <c r="C35" s="123">
        <v>5.4</v>
      </c>
      <c r="D35" s="208"/>
      <c r="E35" s="204" t="s">
        <v>1900</v>
      </c>
      <c r="F35" s="206">
        <v>3.8000000000000003</v>
      </c>
      <c r="G35" s="81"/>
      <c r="H35" s="157"/>
      <c r="I35" s="81"/>
      <c r="J35" s="157"/>
      <c r="O35" s="163"/>
    </row>
    <row r="36" spans="1:38" x14ac:dyDescent="0.35">
      <c r="A36" s="35"/>
      <c r="B36" s="197">
        <v>44409</v>
      </c>
      <c r="C36" s="123">
        <v>5.2</v>
      </c>
      <c r="D36" s="208"/>
      <c r="E36" s="204" t="s">
        <v>1901</v>
      </c>
      <c r="F36" s="206">
        <v>3.6</v>
      </c>
      <c r="G36" s="81"/>
      <c r="H36" s="157"/>
      <c r="I36" s="81"/>
      <c r="J36" s="157"/>
      <c r="O36" s="163"/>
    </row>
    <row r="37" spans="1:38" x14ac:dyDescent="0.35">
      <c r="A37" s="35"/>
      <c r="B37" s="197">
        <v>44440</v>
      </c>
      <c r="C37" s="123">
        <v>4.8</v>
      </c>
      <c r="D37" s="208"/>
      <c r="E37" s="204" t="s">
        <v>1902</v>
      </c>
      <c r="F37" s="206">
        <v>3.5666666666666664</v>
      </c>
      <c r="G37" s="81"/>
      <c r="H37" s="157"/>
      <c r="I37" s="81"/>
      <c r="J37" s="157"/>
      <c r="O37" s="163"/>
    </row>
    <row r="38" spans="1:38" x14ac:dyDescent="0.35">
      <c r="A38" s="35"/>
      <c r="B38" s="197">
        <v>44470</v>
      </c>
      <c r="C38" s="123">
        <v>4.5999999999999996</v>
      </c>
      <c r="D38" s="208"/>
      <c r="E38" s="204" t="s">
        <v>1903</v>
      </c>
      <c r="F38" s="206">
        <v>3.6</v>
      </c>
      <c r="G38" s="81"/>
      <c r="H38" s="157"/>
      <c r="I38" s="81"/>
      <c r="J38" s="157"/>
      <c r="O38" s="163"/>
    </row>
    <row r="39" spans="1:38" x14ac:dyDescent="0.35">
      <c r="A39" s="35"/>
      <c r="B39" s="197">
        <v>44501</v>
      </c>
      <c r="C39" s="123">
        <v>4.2</v>
      </c>
      <c r="D39" s="208"/>
      <c r="E39" s="203" t="s">
        <v>1905</v>
      </c>
      <c r="F39" s="206"/>
      <c r="G39" s="81"/>
      <c r="H39" s="157"/>
      <c r="I39" s="81"/>
      <c r="J39" s="157"/>
      <c r="O39" s="163"/>
      <c r="AD39" s="163"/>
      <c r="AE39" s="163"/>
      <c r="AF39" s="163"/>
      <c r="AG39" s="163"/>
      <c r="AH39" s="163"/>
      <c r="AI39" s="163"/>
      <c r="AJ39" s="163"/>
      <c r="AK39" s="163"/>
      <c r="AL39" s="163"/>
    </row>
    <row r="40" spans="1:38" x14ac:dyDescent="0.35">
      <c r="A40" s="35"/>
      <c r="B40" s="197">
        <v>44531</v>
      </c>
      <c r="C40" s="123">
        <v>3.9</v>
      </c>
      <c r="D40" s="208"/>
      <c r="E40" s="204" t="s">
        <v>1900</v>
      </c>
      <c r="F40" s="206">
        <v>3.5</v>
      </c>
      <c r="G40" s="81"/>
      <c r="H40" s="157"/>
      <c r="I40" s="81"/>
      <c r="J40" s="157"/>
      <c r="O40" s="163"/>
      <c r="AD40" s="163"/>
      <c r="AE40" s="163"/>
      <c r="AF40" s="163"/>
      <c r="AG40" s="163"/>
      <c r="AH40" s="163"/>
      <c r="AI40" s="163"/>
      <c r="AJ40" s="163"/>
      <c r="AK40" s="163"/>
      <c r="AL40" s="163"/>
    </row>
    <row r="41" spans="1:38" x14ac:dyDescent="0.35">
      <c r="A41" s="35"/>
      <c r="B41" s="197">
        <v>44562</v>
      </c>
      <c r="C41" s="123">
        <v>4</v>
      </c>
      <c r="D41" s="35"/>
      <c r="E41" s="204" t="s">
        <v>1901</v>
      </c>
      <c r="F41" s="206"/>
      <c r="G41" s="81"/>
      <c r="H41" s="157"/>
      <c r="I41" s="81"/>
      <c r="J41" s="157"/>
      <c r="O41" s="163"/>
    </row>
    <row r="42" spans="1:38" x14ac:dyDescent="0.35">
      <c r="A42" s="35"/>
      <c r="B42" s="197">
        <v>44593</v>
      </c>
      <c r="C42" s="123">
        <v>3.8</v>
      </c>
      <c r="D42" s="35"/>
      <c r="E42" s="204" t="s">
        <v>1902</v>
      </c>
      <c r="F42" s="206"/>
      <c r="G42" s="81"/>
      <c r="H42" s="157"/>
      <c r="I42" s="81"/>
      <c r="J42" s="157"/>
    </row>
    <row r="43" spans="1:38" x14ac:dyDescent="0.35">
      <c r="A43" s="35"/>
      <c r="B43" s="197">
        <v>44621</v>
      </c>
      <c r="C43" s="123">
        <v>3.6</v>
      </c>
      <c r="D43" s="35"/>
      <c r="E43" s="204" t="s">
        <v>1903</v>
      </c>
      <c r="F43" s="206"/>
      <c r="G43" s="81"/>
      <c r="H43" s="157"/>
      <c r="I43" s="81"/>
      <c r="J43" s="157"/>
    </row>
    <row r="44" spans="1:38" x14ac:dyDescent="0.35">
      <c r="A44" s="35"/>
      <c r="B44" s="197">
        <v>44652</v>
      </c>
      <c r="C44" s="123">
        <v>3.6</v>
      </c>
      <c r="D44" s="35"/>
      <c r="E44" s="203" t="s">
        <v>1906</v>
      </c>
      <c r="F44" s="206"/>
      <c r="G44" s="81"/>
      <c r="H44" s="157"/>
      <c r="I44" s="81"/>
      <c r="J44" s="157"/>
    </row>
    <row r="45" spans="1:38" x14ac:dyDescent="0.35">
      <c r="A45" s="35"/>
      <c r="B45" s="197">
        <v>44682</v>
      </c>
      <c r="C45" s="123">
        <v>3.6</v>
      </c>
      <c r="D45" s="35"/>
      <c r="E45" s="204" t="s">
        <v>1900</v>
      </c>
      <c r="F45" s="206"/>
      <c r="G45" s="81"/>
      <c r="H45" s="157"/>
      <c r="I45" s="81"/>
      <c r="J45" s="157"/>
    </row>
    <row r="46" spans="1:38" x14ac:dyDescent="0.35">
      <c r="A46" s="35"/>
      <c r="B46" s="197">
        <v>44713</v>
      </c>
      <c r="C46" s="123">
        <v>3.6</v>
      </c>
      <c r="D46" s="35"/>
      <c r="E46" s="204" t="s">
        <v>1901</v>
      </c>
      <c r="F46" s="206"/>
      <c r="G46" s="81"/>
      <c r="H46" s="157"/>
      <c r="I46" s="81"/>
      <c r="J46" s="157"/>
    </row>
    <row r="47" spans="1:38" x14ac:dyDescent="0.35">
      <c r="A47" s="35"/>
      <c r="B47" s="197">
        <v>44743</v>
      </c>
      <c r="C47" s="123">
        <v>3.5</v>
      </c>
      <c r="D47" s="35"/>
      <c r="E47" s="204" t="s">
        <v>1902</v>
      </c>
      <c r="F47" s="206"/>
      <c r="G47" s="81"/>
      <c r="H47" s="157"/>
      <c r="I47" s="81"/>
      <c r="J47" s="157"/>
    </row>
    <row r="48" spans="1:38" x14ac:dyDescent="0.35">
      <c r="A48" s="35"/>
      <c r="B48" s="197">
        <v>44774</v>
      </c>
      <c r="C48" s="123">
        <v>3.7</v>
      </c>
      <c r="D48" s="35"/>
      <c r="E48" s="204" t="s">
        <v>1903</v>
      </c>
      <c r="F48" s="206"/>
      <c r="G48" s="81"/>
      <c r="H48" s="157"/>
      <c r="I48" s="81"/>
      <c r="J48" s="157"/>
    </row>
    <row r="49" spans="2:10" x14ac:dyDescent="0.35">
      <c r="B49" s="197">
        <v>44805</v>
      </c>
      <c r="C49" s="123">
        <v>3.5</v>
      </c>
      <c r="D49" s="35"/>
      <c r="E49" s="203" t="s">
        <v>1907</v>
      </c>
      <c r="F49" s="206"/>
      <c r="G49" s="81"/>
      <c r="H49" s="81"/>
      <c r="I49" s="81"/>
      <c r="J49" s="81"/>
    </row>
    <row r="50" spans="2:10" x14ac:dyDescent="0.35">
      <c r="B50" s="197">
        <v>44835</v>
      </c>
      <c r="C50" s="123">
        <v>3.7</v>
      </c>
      <c r="D50" s="35"/>
      <c r="E50" s="204" t="s">
        <v>1900</v>
      </c>
      <c r="F50" s="206"/>
      <c r="G50" s="81"/>
      <c r="H50" s="81"/>
      <c r="I50" s="81"/>
      <c r="J50" s="81"/>
    </row>
    <row r="51" spans="2:10" x14ac:dyDescent="0.35">
      <c r="B51" s="197">
        <v>44866</v>
      </c>
      <c r="C51" s="123">
        <v>3.6</v>
      </c>
      <c r="D51" s="35"/>
      <c r="E51" s="204" t="s">
        <v>1901</v>
      </c>
      <c r="F51" s="206"/>
      <c r="G51" s="81"/>
      <c r="H51" s="81"/>
      <c r="I51" s="81"/>
      <c r="J51" s="81"/>
    </row>
    <row r="52" spans="2:10" x14ac:dyDescent="0.35">
      <c r="B52" s="197">
        <v>44896</v>
      </c>
      <c r="C52" s="123">
        <v>3.5</v>
      </c>
      <c r="D52" s="35"/>
      <c r="E52" s="204" t="s">
        <v>1902</v>
      </c>
      <c r="F52" s="206"/>
      <c r="G52" s="81"/>
      <c r="H52" s="81"/>
      <c r="I52" s="81"/>
      <c r="J52" s="81"/>
    </row>
    <row r="53" spans="2:10" x14ac:dyDescent="0.35">
      <c r="B53" s="197">
        <v>44927</v>
      </c>
      <c r="C53" s="205">
        <v>3.4</v>
      </c>
      <c r="D53" s="35"/>
      <c r="E53" s="204" t="s">
        <v>1903</v>
      </c>
      <c r="F53" s="206"/>
      <c r="G53" s="81"/>
      <c r="H53" s="81"/>
      <c r="I53" s="81"/>
      <c r="J53" s="81"/>
    </row>
    <row r="54" spans="2:10" x14ac:dyDescent="0.35">
      <c r="B54" s="197">
        <v>44958</v>
      </c>
      <c r="C54" s="205">
        <v>3.6</v>
      </c>
      <c r="D54" s="81"/>
      <c r="E54" s="203" t="s">
        <v>1908</v>
      </c>
      <c r="F54" s="206"/>
      <c r="G54" s="81"/>
      <c r="H54" s="81"/>
      <c r="I54" s="81"/>
      <c r="J54" s="81"/>
    </row>
    <row r="55" spans="2:10" x14ac:dyDescent="0.35">
      <c r="B55" s="197">
        <v>44986</v>
      </c>
      <c r="C55" s="205">
        <v>3.5</v>
      </c>
      <c r="D55" s="81"/>
      <c r="E55" s="204" t="s">
        <v>1900</v>
      </c>
      <c r="F55" s="206"/>
      <c r="G55" s="81"/>
      <c r="H55" s="81"/>
      <c r="I55" s="81"/>
      <c r="J55" s="81"/>
    </row>
    <row r="56" spans="2:10" x14ac:dyDescent="0.35">
      <c r="B56" s="197">
        <v>45017</v>
      </c>
      <c r="C56" s="205"/>
      <c r="D56" s="81"/>
      <c r="E56" s="204" t="s">
        <v>1901</v>
      </c>
      <c r="F56" s="206"/>
      <c r="G56" s="81"/>
      <c r="H56" s="81"/>
      <c r="I56" s="81"/>
      <c r="J56" s="81"/>
    </row>
    <row r="57" spans="2:10" x14ac:dyDescent="0.35">
      <c r="B57" s="197">
        <v>45047</v>
      </c>
      <c r="C57" s="205"/>
      <c r="D57" s="81"/>
      <c r="E57" s="204" t="s">
        <v>1902</v>
      </c>
      <c r="F57" s="206"/>
      <c r="G57" s="81"/>
      <c r="H57" s="81"/>
      <c r="I57" s="81"/>
      <c r="J57" s="81"/>
    </row>
    <row r="58" spans="2:10" x14ac:dyDescent="0.35">
      <c r="B58" s="197">
        <v>45078</v>
      </c>
      <c r="C58" s="205"/>
      <c r="D58" s="81"/>
      <c r="E58" s="204" t="s">
        <v>1903</v>
      </c>
      <c r="F58" s="206"/>
      <c r="G58" s="81"/>
      <c r="H58" s="81"/>
      <c r="I58" s="81"/>
      <c r="J58" s="81"/>
    </row>
    <row r="59" spans="2:10" x14ac:dyDescent="0.35">
      <c r="B59" s="197">
        <v>45108</v>
      </c>
      <c r="C59" s="205"/>
      <c r="D59" s="81"/>
      <c r="E59" s="81"/>
      <c r="F59" s="81"/>
      <c r="G59" s="81"/>
      <c r="H59" s="81"/>
      <c r="I59" s="81"/>
      <c r="J59" s="81"/>
    </row>
    <row r="60" spans="2:10" x14ac:dyDescent="0.35">
      <c r="B60" s="197">
        <v>45139</v>
      </c>
      <c r="C60" s="205"/>
      <c r="D60" s="81"/>
      <c r="E60" s="81"/>
      <c r="F60" s="81"/>
      <c r="G60" s="81"/>
      <c r="H60" s="81"/>
      <c r="I60" s="81"/>
      <c r="J60" s="81"/>
    </row>
    <row r="61" spans="2:10" x14ac:dyDescent="0.35">
      <c r="B61" s="197">
        <v>45170</v>
      </c>
      <c r="C61" s="205"/>
      <c r="D61" s="81"/>
      <c r="E61" s="81"/>
      <c r="F61" s="81"/>
      <c r="G61" s="81"/>
      <c r="H61" s="81"/>
      <c r="I61" s="81"/>
      <c r="J61" s="81"/>
    </row>
    <row r="62" spans="2:10" x14ac:dyDescent="0.35">
      <c r="B62" s="197">
        <v>45200</v>
      </c>
      <c r="C62" s="205"/>
      <c r="D62" s="81"/>
      <c r="E62" s="81"/>
      <c r="F62" s="81"/>
      <c r="G62" s="81"/>
      <c r="H62" s="81"/>
      <c r="I62" s="81"/>
      <c r="J62" s="81"/>
    </row>
    <row r="63" spans="2:10" x14ac:dyDescent="0.35">
      <c r="B63" s="197">
        <v>45231</v>
      </c>
      <c r="C63" s="205"/>
      <c r="D63" s="81"/>
      <c r="E63" s="81"/>
      <c r="F63" s="81"/>
      <c r="G63" s="81"/>
      <c r="H63" s="81"/>
      <c r="I63" s="81"/>
      <c r="J63" s="81"/>
    </row>
    <row r="64" spans="2:10" x14ac:dyDescent="0.35">
      <c r="B64" s="197">
        <v>45261</v>
      </c>
      <c r="C64" s="205"/>
      <c r="D64" s="81"/>
      <c r="E64" s="81"/>
      <c r="F64" s="81"/>
      <c r="G64" s="81"/>
      <c r="H64" s="81"/>
      <c r="I64" s="81"/>
      <c r="J64" s="81"/>
    </row>
    <row r="65" spans="2:10" x14ac:dyDescent="0.35">
      <c r="B65" s="197">
        <v>45292</v>
      </c>
      <c r="C65" s="205"/>
      <c r="D65" s="81"/>
      <c r="E65" s="81"/>
      <c r="F65" s="81"/>
      <c r="G65" s="81"/>
      <c r="H65" s="81"/>
      <c r="I65" s="81"/>
      <c r="J65" s="81"/>
    </row>
    <row r="66" spans="2:10" x14ac:dyDescent="0.35">
      <c r="B66" s="197">
        <v>45323</v>
      </c>
      <c r="C66" s="205"/>
      <c r="D66" s="81"/>
      <c r="E66" s="81"/>
      <c r="F66" s="81"/>
      <c r="G66" s="81"/>
      <c r="H66" s="81"/>
      <c r="I66" s="81"/>
      <c r="J66" s="81"/>
    </row>
    <row r="67" spans="2:10" x14ac:dyDescent="0.35">
      <c r="B67" s="197">
        <v>45352</v>
      </c>
      <c r="C67" s="205"/>
      <c r="D67" s="81"/>
      <c r="E67" s="81"/>
      <c r="F67" s="81"/>
      <c r="G67" s="81"/>
      <c r="H67" s="81"/>
      <c r="I67" s="81"/>
      <c r="J67" s="81"/>
    </row>
    <row r="68" spans="2:10" x14ac:dyDescent="0.35">
      <c r="B68" s="197">
        <v>45383</v>
      </c>
      <c r="C68" s="205"/>
      <c r="D68" s="81"/>
      <c r="E68" s="81"/>
      <c r="F68" s="81"/>
      <c r="G68" s="81"/>
      <c r="H68" s="81"/>
      <c r="I68" s="81"/>
      <c r="J68" s="81"/>
    </row>
    <row r="69" spans="2:10" x14ac:dyDescent="0.35">
      <c r="B69" s="197">
        <v>45413</v>
      </c>
      <c r="C69" s="205"/>
      <c r="D69" s="81"/>
      <c r="E69" s="81"/>
      <c r="F69" s="81"/>
      <c r="G69" s="81"/>
      <c r="H69" s="81"/>
      <c r="I69" s="81"/>
      <c r="J69" s="81"/>
    </row>
    <row r="70" spans="2:10" x14ac:dyDescent="0.35">
      <c r="B70" s="197">
        <v>45444</v>
      </c>
      <c r="C70" s="205"/>
      <c r="D70" s="81"/>
      <c r="E70" s="81"/>
      <c r="F70" s="81"/>
      <c r="G70" s="81"/>
      <c r="H70" s="81"/>
      <c r="I70" s="81"/>
      <c r="J70" s="81"/>
    </row>
    <row r="71" spans="2:10" x14ac:dyDescent="0.35">
      <c r="B71" s="197">
        <v>45474</v>
      </c>
      <c r="C71" s="205"/>
      <c r="D71" s="81"/>
      <c r="E71" s="81"/>
      <c r="F71" s="81"/>
      <c r="G71" s="81"/>
      <c r="H71" s="81"/>
      <c r="I71" s="81"/>
      <c r="J71" s="81"/>
    </row>
    <row r="72" spans="2:10" x14ac:dyDescent="0.35">
      <c r="B72" s="197">
        <v>45505</v>
      </c>
      <c r="C72" s="205"/>
      <c r="D72" s="81"/>
      <c r="E72" s="81"/>
      <c r="F72" s="81"/>
      <c r="G72" s="81"/>
      <c r="H72" s="81"/>
      <c r="I72" s="81"/>
      <c r="J72" s="81"/>
    </row>
    <row r="73" spans="2:10" x14ac:dyDescent="0.35">
      <c r="B73" s="197">
        <v>45536</v>
      </c>
      <c r="C73" s="205"/>
      <c r="D73" s="81"/>
      <c r="E73" s="81"/>
      <c r="F73" s="81"/>
      <c r="G73" s="81"/>
      <c r="H73" s="81"/>
      <c r="I73" s="81"/>
      <c r="J73" s="81"/>
    </row>
    <row r="74" spans="2:10" x14ac:dyDescent="0.35">
      <c r="B74" s="197">
        <v>45566</v>
      </c>
      <c r="C74" s="205"/>
      <c r="D74" s="81"/>
      <c r="E74" s="81"/>
      <c r="F74" s="81"/>
      <c r="G74" s="81"/>
      <c r="H74" s="81"/>
      <c r="I74" s="81"/>
      <c r="J74" s="81"/>
    </row>
    <row r="75" spans="2:10" x14ac:dyDescent="0.35">
      <c r="B75" s="197">
        <v>45597</v>
      </c>
      <c r="C75" s="205"/>
      <c r="D75" s="81"/>
      <c r="E75" s="81"/>
      <c r="F75" s="81"/>
      <c r="G75" s="81"/>
      <c r="H75" s="81"/>
      <c r="I75" s="81"/>
      <c r="J75" s="81"/>
    </row>
    <row r="76" spans="2:10" x14ac:dyDescent="0.35">
      <c r="B76" s="197">
        <v>45627</v>
      </c>
      <c r="C76" s="205"/>
      <c r="D76" s="81"/>
      <c r="E76" s="81"/>
      <c r="F76" s="81"/>
      <c r="G76" s="81"/>
      <c r="H76" s="81"/>
      <c r="I76" s="81"/>
      <c r="J76" s="81"/>
    </row>
    <row r="77" spans="2:10" x14ac:dyDescent="0.35">
      <c r="B77" s="197">
        <v>45658</v>
      </c>
      <c r="C77" s="205"/>
      <c r="D77" s="81"/>
      <c r="E77" s="81"/>
      <c r="F77" s="81"/>
      <c r="G77" s="81"/>
      <c r="H77" s="81"/>
      <c r="I77" s="81"/>
      <c r="J77" s="81"/>
    </row>
    <row r="78" spans="2:10" x14ac:dyDescent="0.35">
      <c r="B78" s="197">
        <v>45689</v>
      </c>
      <c r="C78" s="205"/>
      <c r="D78" s="81"/>
      <c r="E78" s="81"/>
      <c r="F78" s="81"/>
      <c r="G78" s="81"/>
      <c r="H78" s="81"/>
      <c r="I78" s="81"/>
      <c r="J78" s="81"/>
    </row>
    <row r="79" spans="2:10" x14ac:dyDescent="0.35">
      <c r="B79" s="197">
        <v>45717</v>
      </c>
      <c r="C79" s="205"/>
      <c r="D79" s="81"/>
      <c r="E79" s="81"/>
      <c r="F79" s="81"/>
      <c r="G79" s="81"/>
      <c r="H79" s="81"/>
      <c r="I79" s="81"/>
      <c r="J79" s="81"/>
    </row>
    <row r="80" spans="2:10" x14ac:dyDescent="0.35">
      <c r="B80" s="197">
        <v>45748</v>
      </c>
      <c r="C80" s="205"/>
      <c r="D80" s="81"/>
      <c r="E80" s="81"/>
      <c r="F80" s="81"/>
      <c r="G80" s="81"/>
      <c r="H80" s="81"/>
      <c r="I80" s="81"/>
      <c r="J80" s="81"/>
    </row>
    <row r="81" spans="2:10" x14ac:dyDescent="0.35">
      <c r="B81" s="197">
        <v>45778</v>
      </c>
      <c r="C81" s="205"/>
      <c r="D81" s="81"/>
      <c r="E81" s="81"/>
      <c r="F81" s="81"/>
      <c r="G81" s="81"/>
      <c r="H81" s="81"/>
      <c r="I81" s="81"/>
      <c r="J81" s="81"/>
    </row>
    <row r="82" spans="2:10" x14ac:dyDescent="0.35">
      <c r="B82" s="197">
        <v>45809</v>
      </c>
      <c r="C82" s="205"/>
      <c r="D82" s="81"/>
      <c r="E82" s="81"/>
      <c r="F82" s="81"/>
      <c r="G82" s="81"/>
      <c r="H82" s="81"/>
      <c r="I82" s="81"/>
      <c r="J82" s="81"/>
    </row>
    <row r="83" spans="2:10" x14ac:dyDescent="0.35">
      <c r="B83" s="197">
        <v>45839</v>
      </c>
      <c r="C83" s="205"/>
      <c r="D83" s="81"/>
      <c r="E83" s="81"/>
      <c r="F83" s="81"/>
      <c r="G83" s="81"/>
      <c r="H83" s="81"/>
      <c r="I83" s="81"/>
      <c r="J83" s="81"/>
    </row>
    <row r="84" spans="2:10" x14ac:dyDescent="0.35">
      <c r="B84" s="197">
        <v>45870</v>
      </c>
      <c r="C84" s="205"/>
      <c r="D84" s="81"/>
      <c r="E84" s="81"/>
      <c r="F84" s="81"/>
      <c r="G84" s="81"/>
      <c r="H84" s="81"/>
      <c r="I84" s="81"/>
      <c r="J84" s="81"/>
    </row>
    <row r="85" spans="2:10" x14ac:dyDescent="0.35">
      <c r="B85" s="197">
        <v>45901</v>
      </c>
      <c r="C85" s="205"/>
      <c r="D85" s="81"/>
      <c r="E85" s="81"/>
      <c r="F85" s="81"/>
      <c r="G85" s="81"/>
      <c r="H85" s="81"/>
      <c r="I85" s="81"/>
      <c r="J85" s="81"/>
    </row>
    <row r="86" spans="2:10" x14ac:dyDescent="0.35">
      <c r="B86" s="197">
        <v>45931</v>
      </c>
      <c r="C86" s="205"/>
      <c r="D86" s="81"/>
      <c r="E86" s="81"/>
      <c r="F86" s="81"/>
      <c r="G86" s="81"/>
      <c r="H86" s="81"/>
      <c r="I86" s="81"/>
      <c r="J86" s="81"/>
    </row>
    <row r="87" spans="2:10" x14ac:dyDescent="0.35">
      <c r="B87" s="197">
        <v>45962</v>
      </c>
      <c r="C87" s="205"/>
      <c r="D87" s="81"/>
      <c r="E87" s="81"/>
      <c r="F87" s="81"/>
      <c r="G87" s="81"/>
      <c r="H87" s="81"/>
      <c r="I87" s="81"/>
      <c r="J87" s="81"/>
    </row>
    <row r="88" spans="2:10" x14ac:dyDescent="0.35">
      <c r="B88" s="197">
        <v>45992</v>
      </c>
      <c r="C88" s="205"/>
      <c r="D88" s="81"/>
      <c r="E88" s="81"/>
      <c r="F88" s="81"/>
      <c r="G88" s="81"/>
      <c r="H88" s="81"/>
      <c r="I88" s="81"/>
      <c r="J88" s="81"/>
    </row>
    <row r="89" spans="2:10" x14ac:dyDescent="0.35">
      <c r="B89" s="197">
        <v>46023</v>
      </c>
      <c r="C89" s="205"/>
      <c r="D89" s="81"/>
      <c r="E89" s="81"/>
      <c r="F89" s="81"/>
      <c r="G89" s="81"/>
      <c r="H89" s="81"/>
      <c r="I89" s="81"/>
      <c r="J89" s="81"/>
    </row>
    <row r="90" spans="2:10" x14ac:dyDescent="0.35">
      <c r="B90" s="197">
        <v>46054</v>
      </c>
      <c r="C90" s="205"/>
      <c r="D90" s="81"/>
      <c r="E90" s="81"/>
      <c r="F90" s="81"/>
      <c r="G90" s="81"/>
      <c r="H90" s="81"/>
      <c r="I90" s="81"/>
      <c r="J90" s="81"/>
    </row>
    <row r="91" spans="2:10" x14ac:dyDescent="0.35">
      <c r="B91" s="197">
        <v>46082</v>
      </c>
      <c r="C91" s="205"/>
      <c r="D91" s="81"/>
      <c r="E91" s="81"/>
      <c r="F91" s="81"/>
      <c r="G91" s="81"/>
      <c r="H91" s="81"/>
      <c r="I91" s="81"/>
      <c r="J91" s="81"/>
    </row>
    <row r="92" spans="2:10" x14ac:dyDescent="0.35">
      <c r="B92" s="197">
        <v>46113</v>
      </c>
      <c r="C92" s="205"/>
      <c r="D92" s="81"/>
      <c r="E92" s="81"/>
      <c r="F92" s="81"/>
      <c r="G92" s="81"/>
      <c r="H92" s="81"/>
      <c r="I92" s="81"/>
      <c r="J92" s="81"/>
    </row>
    <row r="93" spans="2:10" x14ac:dyDescent="0.35">
      <c r="B93" s="197">
        <v>46143</v>
      </c>
      <c r="C93" s="205"/>
      <c r="D93" s="81"/>
      <c r="E93" s="81"/>
      <c r="F93" s="81"/>
      <c r="G93" s="81"/>
      <c r="H93" s="81"/>
      <c r="I93" s="81"/>
      <c r="J93" s="81"/>
    </row>
    <row r="94" spans="2:10" x14ac:dyDescent="0.35">
      <c r="B94" s="197">
        <v>46174</v>
      </c>
      <c r="C94" s="205"/>
      <c r="D94" s="81"/>
      <c r="E94" s="81"/>
      <c r="F94" s="81"/>
      <c r="G94" s="81"/>
      <c r="H94" s="81"/>
      <c r="I94" s="81"/>
      <c r="J94" s="81"/>
    </row>
    <row r="95" spans="2:10" x14ac:dyDescent="0.35">
      <c r="B95" s="197">
        <v>46204</v>
      </c>
      <c r="C95" s="205"/>
      <c r="D95" s="81"/>
      <c r="E95" s="81"/>
      <c r="F95" s="81"/>
      <c r="G95" s="81"/>
      <c r="H95" s="81"/>
      <c r="I95" s="81"/>
      <c r="J95" s="81"/>
    </row>
    <row r="96" spans="2:10" x14ac:dyDescent="0.35">
      <c r="B96" s="197">
        <v>46235</v>
      </c>
      <c r="C96" s="205"/>
      <c r="D96" s="81"/>
      <c r="E96" s="81"/>
      <c r="F96" s="81"/>
      <c r="G96" s="81"/>
      <c r="H96" s="81"/>
      <c r="I96" s="81"/>
      <c r="J96" s="81"/>
    </row>
    <row r="97" spans="2:10" x14ac:dyDescent="0.35">
      <c r="B97" s="197">
        <v>46266</v>
      </c>
      <c r="C97" s="205"/>
      <c r="D97" s="81"/>
      <c r="E97" s="81"/>
      <c r="F97" s="81"/>
      <c r="G97" s="81"/>
      <c r="H97" s="81"/>
      <c r="I97" s="81"/>
      <c r="J97" s="81"/>
    </row>
    <row r="98" spans="2:10" x14ac:dyDescent="0.35">
      <c r="B98" s="197">
        <v>46296</v>
      </c>
      <c r="C98" s="205"/>
      <c r="D98" s="81"/>
      <c r="E98" s="81"/>
      <c r="F98" s="81"/>
      <c r="G98" s="81"/>
      <c r="H98" s="81"/>
      <c r="I98" s="81"/>
      <c r="J98" s="81"/>
    </row>
    <row r="99" spans="2:10" x14ac:dyDescent="0.35">
      <c r="B99" s="197">
        <v>46327</v>
      </c>
      <c r="C99" s="205"/>
      <c r="D99" s="81"/>
      <c r="E99" s="81"/>
      <c r="F99" s="81"/>
      <c r="G99" s="81"/>
      <c r="H99" s="81"/>
      <c r="I99" s="81"/>
      <c r="J99" s="81"/>
    </row>
    <row r="100" spans="2:10" x14ac:dyDescent="0.35">
      <c r="B100" s="198">
        <v>46357</v>
      </c>
      <c r="C100" s="202"/>
      <c r="D100" s="81"/>
      <c r="E100" s="81"/>
      <c r="F100" s="81"/>
      <c r="G100" s="81"/>
      <c r="H100" s="81"/>
      <c r="I100" s="81"/>
      <c r="J100" s="81"/>
    </row>
  </sheetData>
  <mergeCells count="11">
    <mergeCell ref="Y9:AB9"/>
    <mergeCell ref="B1:AC1"/>
    <mergeCell ref="B2:AC6"/>
    <mergeCell ref="B8:C10"/>
    <mergeCell ref="D8:T8"/>
    <mergeCell ref="U8:AC8"/>
    <mergeCell ref="E9:H9"/>
    <mergeCell ref="I9:L9"/>
    <mergeCell ref="M9:P9"/>
    <mergeCell ref="Q9:R9"/>
    <mergeCell ref="U9:X9"/>
  </mergeCells>
  <pageMargins left="0.7" right="0.7" top="0.75" bottom="0.75" header="0.3" footer="0.3"/>
  <pageSetup orientation="portrait"/>
  <drawing r:id="rId2"/>
  <legacyDrawing r:id="rId3"/>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CJ143"/>
  <sheetViews>
    <sheetView topLeftCell="A8" zoomScale="80" zoomScaleNormal="80" workbookViewId="0">
      <pane xSplit="3" ySplit="1" topLeftCell="L102" activePane="bottomRight" state="frozen"/>
      <selection activeCell="A8" sqref="A8"/>
      <selection pane="topRight" activeCell="D8" sqref="D8"/>
      <selection pane="bottomLeft" activeCell="A9" sqref="A9"/>
      <selection pane="bottomRight" activeCell="U113" sqref="U113"/>
    </sheetView>
  </sheetViews>
  <sheetFormatPr defaultColWidth="11.453125" defaultRowHeight="14.5" x14ac:dyDescent="0.35"/>
  <cols>
    <col min="1" max="1" width="8.453125" customWidth="1"/>
    <col min="2" max="2" width="40.453125" customWidth="1"/>
    <col min="3" max="3" width="7.1796875" customWidth="1"/>
    <col min="4" max="4" width="11.1796875" customWidth="1"/>
    <col min="5" max="5" width="12.453125" customWidth="1"/>
    <col min="6" max="7" width="7.1796875" customWidth="1"/>
    <col min="8" max="8" width="10.453125" customWidth="1"/>
    <col min="9" max="9" width="11.453125" customWidth="1"/>
    <col min="10" max="13" width="7.453125" customWidth="1"/>
    <col min="14" max="18" width="8.1796875" customWidth="1"/>
    <col min="19" max="19" width="8.81640625" customWidth="1"/>
    <col min="20" max="29" width="8.1796875" customWidth="1"/>
    <col min="30" max="30" width="29.453125" customWidth="1"/>
    <col min="31" max="31" width="31.1796875" customWidth="1"/>
    <col min="32" max="32" width="114.81640625" customWidth="1"/>
  </cols>
  <sheetData>
    <row r="1" spans="2:34" x14ac:dyDescent="0.35">
      <c r="B1" s="1634" t="s">
        <v>192</v>
      </c>
      <c r="C1" s="1634"/>
      <c r="D1" s="1634"/>
      <c r="E1" s="1634"/>
      <c r="F1" s="1634"/>
      <c r="G1" s="1634"/>
      <c r="H1" s="1634"/>
      <c r="I1" s="1634"/>
      <c r="J1" s="1634"/>
      <c r="K1" s="1634"/>
      <c r="L1" s="1634"/>
      <c r="M1" s="1634"/>
      <c r="N1" s="1634"/>
      <c r="O1" s="1634"/>
      <c r="P1" s="1634"/>
      <c r="Q1" s="1634"/>
      <c r="R1" s="1634"/>
      <c r="S1" s="1634"/>
      <c r="T1" s="1634"/>
      <c r="U1" s="1634"/>
      <c r="V1" s="1634"/>
      <c r="W1" s="1634"/>
      <c r="X1" s="1634"/>
      <c r="Y1" s="1634"/>
      <c r="Z1" s="147"/>
      <c r="AA1" s="147"/>
      <c r="AB1" s="147"/>
      <c r="AC1" s="147"/>
      <c r="AD1" s="136"/>
      <c r="AE1" s="136"/>
    </row>
    <row r="2" spans="2:34" ht="14.25" customHeight="1" x14ac:dyDescent="0.35">
      <c r="B2" s="1635" t="s">
        <v>332</v>
      </c>
      <c r="C2" s="1635"/>
      <c r="D2" s="1635"/>
      <c r="E2" s="1635"/>
      <c r="F2" s="1635"/>
      <c r="G2" s="1635"/>
      <c r="H2" s="1635"/>
      <c r="I2" s="1635"/>
      <c r="J2" s="1635"/>
      <c r="K2" s="1635"/>
      <c r="L2" s="1635"/>
      <c r="M2" s="1635"/>
      <c r="N2" s="1635"/>
      <c r="O2" s="1635"/>
      <c r="P2" s="1635"/>
      <c r="Q2" s="1635"/>
      <c r="R2" s="1635"/>
      <c r="S2" s="1635"/>
      <c r="T2" s="1635"/>
      <c r="U2" s="1635"/>
      <c r="V2" s="1635"/>
      <c r="W2" s="1635"/>
      <c r="X2" s="1635"/>
      <c r="Y2" s="1635"/>
      <c r="Z2" s="1635"/>
      <c r="AA2" s="1635"/>
      <c r="AB2" s="1635"/>
      <c r="AC2" s="1635"/>
      <c r="AD2" s="148"/>
      <c r="AE2" s="148"/>
    </row>
    <row r="3" spans="2:34" ht="50.9" customHeight="1" x14ac:dyDescent="0.35">
      <c r="B3" s="1635"/>
      <c r="C3" s="1635"/>
      <c r="D3" s="1635"/>
      <c r="E3" s="1635"/>
      <c r="F3" s="1635"/>
      <c r="G3" s="1635"/>
      <c r="H3" s="1635"/>
      <c r="I3" s="1635"/>
      <c r="J3" s="1635"/>
      <c r="K3" s="1635"/>
      <c r="L3" s="1635"/>
      <c r="M3" s="1635"/>
      <c r="N3" s="1635"/>
      <c r="O3" s="1635"/>
      <c r="P3" s="1635"/>
      <c r="Q3" s="1635"/>
      <c r="R3" s="1635"/>
      <c r="S3" s="1635"/>
      <c r="T3" s="1635"/>
      <c r="U3" s="1635"/>
      <c r="V3" s="1635"/>
      <c r="W3" s="1635"/>
      <c r="X3" s="1635"/>
      <c r="Y3" s="1635"/>
      <c r="Z3" s="1635"/>
      <c r="AA3" s="1635"/>
      <c r="AB3" s="1635"/>
      <c r="AC3" s="1635"/>
      <c r="AD3" s="148"/>
      <c r="AE3" s="148"/>
    </row>
    <row r="4" spans="2:34" ht="5.25" customHeight="1" x14ac:dyDescent="0.35">
      <c r="B4" s="1635"/>
      <c r="C4" s="1635"/>
      <c r="D4" s="1635"/>
      <c r="E4" s="1635"/>
      <c r="F4" s="1635"/>
      <c r="G4" s="1635"/>
      <c r="H4" s="1635"/>
      <c r="I4" s="1635"/>
      <c r="J4" s="1635"/>
      <c r="K4" s="1635"/>
      <c r="L4" s="1635"/>
      <c r="M4" s="1635"/>
      <c r="N4" s="1635"/>
      <c r="O4" s="1635"/>
      <c r="P4" s="1635"/>
      <c r="Q4" s="1635"/>
      <c r="R4" s="1635"/>
      <c r="S4" s="1635"/>
      <c r="T4" s="1635"/>
      <c r="U4" s="1635"/>
      <c r="V4" s="1635"/>
      <c r="W4" s="1635"/>
      <c r="X4" s="1635"/>
      <c r="Y4" s="1635"/>
      <c r="Z4" s="1635"/>
      <c r="AA4" s="1635"/>
      <c r="AB4" s="1635"/>
      <c r="AC4" s="1635"/>
      <c r="AD4" s="148"/>
      <c r="AE4" s="148"/>
    </row>
    <row r="5" spans="2:34" x14ac:dyDescent="0.35">
      <c r="B5" s="299" t="s">
        <v>333</v>
      </c>
    </row>
    <row r="6" spans="2:34" ht="14.9" customHeight="1" x14ac:dyDescent="0.35">
      <c r="B6" s="1653" t="s">
        <v>334</v>
      </c>
      <c r="C6" s="1654"/>
      <c r="D6" s="1655" t="s">
        <v>280</v>
      </c>
      <c r="E6" s="1656"/>
      <c r="F6" s="1656"/>
      <c r="G6" s="1656"/>
      <c r="H6" s="1656"/>
      <c r="I6" s="1656"/>
      <c r="J6" s="1656"/>
      <c r="K6" s="1656"/>
      <c r="L6" s="1656"/>
      <c r="M6" s="1656"/>
      <c r="N6" s="1656"/>
      <c r="O6" s="1656"/>
      <c r="P6" s="1656"/>
      <c r="Q6" s="1656"/>
      <c r="R6" s="1656"/>
      <c r="S6" s="1656"/>
      <c r="T6" s="1650"/>
      <c r="U6" s="1232"/>
      <c r="V6" s="1651" t="s">
        <v>281</v>
      </c>
      <c r="W6" s="1629"/>
      <c r="X6" s="1629"/>
      <c r="Y6" s="1629"/>
      <c r="Z6" s="1629"/>
      <c r="AA6" s="1629"/>
      <c r="AB6" s="1629"/>
      <c r="AC6" s="1630"/>
      <c r="AD6" s="1667" t="s">
        <v>335</v>
      </c>
      <c r="AE6" s="1670" t="s">
        <v>336</v>
      </c>
    </row>
    <row r="7" spans="2:34" ht="24" customHeight="1" x14ac:dyDescent="0.35">
      <c r="B7" s="1641"/>
      <c r="C7" s="1642"/>
      <c r="D7" s="118">
        <v>2018</v>
      </c>
      <c r="E7" s="1636">
        <v>2019</v>
      </c>
      <c r="F7" s="1666"/>
      <c r="G7" s="1666"/>
      <c r="H7" s="1638"/>
      <c r="I7" s="1636">
        <v>2020</v>
      </c>
      <c r="J7" s="1666"/>
      <c r="K7" s="1666"/>
      <c r="L7" s="1666"/>
      <c r="M7" s="1636">
        <v>2021</v>
      </c>
      <c r="N7" s="1666"/>
      <c r="O7" s="1666"/>
      <c r="P7" s="1666"/>
      <c r="Q7" s="1624">
        <v>2022</v>
      </c>
      <c r="R7" s="1625"/>
      <c r="S7" s="1625"/>
      <c r="T7" s="1661"/>
      <c r="U7" s="1228"/>
      <c r="V7" s="1229">
        <v>2023</v>
      </c>
      <c r="W7" s="1229"/>
      <c r="X7" s="1230"/>
      <c r="Y7" s="1633">
        <v>2024</v>
      </c>
      <c r="Z7" s="1631"/>
      <c r="AA7" s="1631"/>
      <c r="AB7" s="1632"/>
      <c r="AC7" s="178">
        <v>2025</v>
      </c>
      <c r="AD7" s="1668"/>
      <c r="AE7" s="1671"/>
    </row>
    <row r="8" spans="2:34" ht="14.25" customHeight="1" x14ac:dyDescent="0.35">
      <c r="B8" s="1643"/>
      <c r="C8" s="1644"/>
      <c r="D8" s="118" t="s">
        <v>282</v>
      </c>
      <c r="E8" s="118" t="s">
        <v>283</v>
      </c>
      <c r="F8" s="132" t="s">
        <v>284</v>
      </c>
      <c r="G8" s="132" t="s">
        <v>238</v>
      </c>
      <c r="H8" s="115" t="s">
        <v>282</v>
      </c>
      <c r="I8" s="132" t="s">
        <v>283</v>
      </c>
      <c r="J8" s="132" t="s">
        <v>284</v>
      </c>
      <c r="K8" s="132" t="s">
        <v>238</v>
      </c>
      <c r="L8" s="132" t="s">
        <v>282</v>
      </c>
      <c r="M8" s="118" t="s">
        <v>283</v>
      </c>
      <c r="N8" s="132" t="s">
        <v>284</v>
      </c>
      <c r="O8" s="132" t="s">
        <v>238</v>
      </c>
      <c r="P8" s="132" t="s">
        <v>282</v>
      </c>
      <c r="Q8" s="118" t="s">
        <v>283</v>
      </c>
      <c r="R8" s="132" t="s">
        <v>284</v>
      </c>
      <c r="S8" s="132" t="s">
        <v>238</v>
      </c>
      <c r="T8" s="115" t="s">
        <v>282</v>
      </c>
      <c r="U8" s="1127" t="s">
        <v>283</v>
      </c>
      <c r="V8" s="190" t="s">
        <v>284</v>
      </c>
      <c r="W8" s="190" t="s">
        <v>238</v>
      </c>
      <c r="X8" s="191" t="s">
        <v>282</v>
      </c>
      <c r="Y8" s="189" t="s">
        <v>283</v>
      </c>
      <c r="Z8" s="186" t="s">
        <v>284</v>
      </c>
      <c r="AA8" s="190" t="s">
        <v>238</v>
      </c>
      <c r="AB8" s="190" t="s">
        <v>282</v>
      </c>
      <c r="AC8" s="192" t="s">
        <v>283</v>
      </c>
      <c r="AD8" s="1669"/>
      <c r="AE8" s="1672"/>
    </row>
    <row r="9" spans="2:34" ht="23.9" customHeight="1" x14ac:dyDescent="0.35">
      <c r="B9" s="306" t="s">
        <v>337</v>
      </c>
      <c r="C9" s="329" t="s">
        <v>338</v>
      </c>
      <c r="D9" s="247">
        <f>'Haver Pivoted'!GO32</f>
        <v>587.79999999999995</v>
      </c>
      <c r="E9" s="248">
        <f>'Haver Pivoted'!GP32</f>
        <v>592.4</v>
      </c>
      <c r="F9" s="248">
        <f>'Haver Pivoted'!GQ32</f>
        <v>615.5</v>
      </c>
      <c r="G9" s="248">
        <f>'Haver Pivoted'!GR32</f>
        <v>610.4</v>
      </c>
      <c r="H9" s="248">
        <f>'Haver Pivoted'!GS32</f>
        <v>617.5</v>
      </c>
      <c r="I9" s="248">
        <f>'Haver Pivoted'!GT32</f>
        <v>638.6</v>
      </c>
      <c r="J9" s="248">
        <f>'Haver Pivoted'!GU32</f>
        <v>1395</v>
      </c>
      <c r="K9" s="248">
        <f>'Haver Pivoted'!GV32</f>
        <v>737.1</v>
      </c>
      <c r="L9" s="248">
        <f>'Haver Pivoted'!GW32</f>
        <v>744.8</v>
      </c>
      <c r="M9" s="248">
        <f>'Haver Pivoted'!GX32</f>
        <v>785.1</v>
      </c>
      <c r="N9" s="248">
        <f>'Haver Pivoted'!GY32</f>
        <v>1653.7</v>
      </c>
      <c r="O9" s="248">
        <f>'Haver Pivoted'!GZ32</f>
        <v>1085</v>
      </c>
      <c r="P9" s="248">
        <f>'Haver Pivoted'!HA32</f>
        <v>924.7</v>
      </c>
      <c r="Q9" s="248">
        <f>'Haver Pivoted'!HB32</f>
        <v>940</v>
      </c>
      <c r="R9" s="248">
        <f>'Haver Pivoted'!HC32</f>
        <v>960.5</v>
      </c>
      <c r="S9" s="249">
        <f>'Haver Pivoted'!HD32</f>
        <v>953.4</v>
      </c>
      <c r="T9" s="1277">
        <f>'Haver Pivoted'!HE32</f>
        <v>953.3</v>
      </c>
      <c r="U9" s="1090">
        <f>'Haver Pivoted'!HF32</f>
        <v>980.5</v>
      </c>
      <c r="V9" s="228">
        <f t="shared" ref="V9:AC9" si="0">V10+V11</f>
        <v>956.13641409923594</v>
      </c>
      <c r="W9" s="228">
        <f t="shared" si="0"/>
        <v>948.02440320433595</v>
      </c>
      <c r="X9" s="228">
        <f t="shared" si="0"/>
        <v>916.90349628486297</v>
      </c>
      <c r="Y9" s="228">
        <f t="shared" si="0"/>
        <v>886.61505620574007</v>
      </c>
      <c r="Z9" s="228">
        <f t="shared" si="0"/>
        <v>862.45531732063421</v>
      </c>
      <c r="AA9" s="228">
        <f t="shared" si="0"/>
        <v>857.42312960593472</v>
      </c>
      <c r="AB9" s="228">
        <f t="shared" si="0"/>
        <v>834.92114377267808</v>
      </c>
      <c r="AC9" s="227">
        <f t="shared" si="0"/>
        <v>830.19044659635551</v>
      </c>
      <c r="AD9" s="285"/>
      <c r="AE9" s="332"/>
    </row>
    <row r="10" spans="2:34" ht="27.65" customHeight="1" x14ac:dyDescent="0.35">
      <c r="B10" s="338" t="s">
        <v>133</v>
      </c>
      <c r="C10" s="162" t="s">
        <v>339</v>
      </c>
      <c r="D10" s="264">
        <f>'Haver Pivoted'!GO40</f>
        <v>390.53500000000003</v>
      </c>
      <c r="E10" s="68">
        <f>'Haver Pivoted'!GP40</f>
        <v>407.62099999999998</v>
      </c>
      <c r="F10" s="68">
        <f>'Haver Pivoted'!GQ40</f>
        <v>416.459</v>
      </c>
      <c r="G10" s="68">
        <f>'Haver Pivoted'!GR40</f>
        <v>418.661</v>
      </c>
      <c r="H10" s="68">
        <f>'Haver Pivoted'!GS40</f>
        <v>411.69499999999999</v>
      </c>
      <c r="I10" s="68">
        <f>'Haver Pivoted'!GT40</f>
        <v>428.30799999999999</v>
      </c>
      <c r="J10" s="68">
        <f>'Haver Pivoted'!GU40</f>
        <v>506.81599999999997</v>
      </c>
      <c r="K10" s="68">
        <f>'Haver Pivoted'!GV40</f>
        <v>484.78</v>
      </c>
      <c r="L10" s="68">
        <f>'Haver Pivoted'!GW40</f>
        <v>500.25799999999998</v>
      </c>
      <c r="M10" s="68">
        <f>'Haver Pivoted'!GX40</f>
        <v>509.42099999999999</v>
      </c>
      <c r="N10" s="68">
        <f>'Haver Pivoted'!GY40</f>
        <v>527.01700000000005</v>
      </c>
      <c r="O10" s="68">
        <f>'Haver Pivoted'!GZ40</f>
        <v>542.85299999999995</v>
      </c>
      <c r="P10" s="68">
        <f>'Haver Pivoted'!HA40</f>
        <v>553.86500000000001</v>
      </c>
      <c r="Q10" s="68">
        <f>'Haver Pivoted'!HB40</f>
        <v>592.26700000000005</v>
      </c>
      <c r="R10" s="68">
        <f>'Haver Pivoted'!HC40</f>
        <v>590.13</v>
      </c>
      <c r="S10" s="244">
        <f>'Haver Pivoted'!HD40</f>
        <v>605.63699999999994</v>
      </c>
      <c r="T10" s="1278">
        <f>'Haver Pivoted'!HE40</f>
        <v>604.82500000000005</v>
      </c>
      <c r="U10" s="262">
        <f>'Haver Pivoted'!HF40</f>
        <v>627.72799999999995</v>
      </c>
      <c r="V10" s="267">
        <f>Medicaid!V28</f>
        <v>600.94087022445149</v>
      </c>
      <c r="W10" s="267">
        <f>Medicaid!W28</f>
        <v>590.38143529167962</v>
      </c>
      <c r="X10" s="267">
        <f>Medicaid!X28</f>
        <v>582.0469888702919</v>
      </c>
      <c r="Y10" s="267">
        <f>Medicaid!Y28</f>
        <v>574.26265620574009</v>
      </c>
      <c r="Z10" s="267">
        <f>Medicaid!Z28</f>
        <v>566.58243169085847</v>
      </c>
      <c r="AA10" s="267">
        <f>Medicaid!AA28</f>
        <v>559.00492297677215</v>
      </c>
      <c r="AB10" s="267">
        <f>Medicaid!AB28</f>
        <v>547.80853606152414</v>
      </c>
      <c r="AC10" s="327">
        <f>Medicaid!AC28</f>
        <v>540.48211059635548</v>
      </c>
      <c r="AD10" s="246"/>
      <c r="AE10" s="312"/>
    </row>
    <row r="11" spans="2:34" ht="17.25" customHeight="1" x14ac:dyDescent="0.35">
      <c r="B11" s="1291" t="s">
        <v>340</v>
      </c>
      <c r="C11" s="162"/>
      <c r="D11" s="264">
        <f t="shared" ref="D11:G11" si="1">D9-D10</f>
        <v>197.26499999999993</v>
      </c>
      <c r="E11" s="68">
        <f t="shared" si="1"/>
        <v>184.779</v>
      </c>
      <c r="F11" s="68">
        <f t="shared" si="1"/>
        <v>199.041</v>
      </c>
      <c r="G11" s="68">
        <f t="shared" si="1"/>
        <v>191.73899999999998</v>
      </c>
      <c r="H11" s="68">
        <f>H9-H10</f>
        <v>205.80500000000001</v>
      </c>
      <c r="I11" s="68">
        <f t="shared" ref="I11:N11" si="2">I9-I10</f>
        <v>210.29200000000003</v>
      </c>
      <c r="J11" s="68">
        <f t="shared" si="2"/>
        <v>888.18399999999997</v>
      </c>
      <c r="K11" s="68">
        <f t="shared" si="2"/>
        <v>252.32000000000005</v>
      </c>
      <c r="L11" s="68">
        <f t="shared" si="2"/>
        <v>244.54199999999997</v>
      </c>
      <c r="M11" s="68">
        <f t="shared" si="2"/>
        <v>275.67900000000003</v>
      </c>
      <c r="N11" s="68">
        <f t="shared" si="2"/>
        <v>1126.683</v>
      </c>
      <c r="O11" s="68">
        <f t="shared" ref="O11:T11" si="3">O9-O10</f>
        <v>542.14700000000005</v>
      </c>
      <c r="P11" s="68">
        <f t="shared" si="3"/>
        <v>370.83500000000004</v>
      </c>
      <c r="Q11" s="68">
        <f t="shared" si="3"/>
        <v>347.73299999999995</v>
      </c>
      <c r="R11" s="68">
        <f t="shared" si="3"/>
        <v>370.37</v>
      </c>
      <c r="S11" s="244">
        <f t="shared" si="3"/>
        <v>347.76300000000003</v>
      </c>
      <c r="T11" s="1278">
        <f t="shared" si="3"/>
        <v>348.47499999999991</v>
      </c>
      <c r="U11" s="262">
        <f>U9-U10</f>
        <v>352.77200000000005</v>
      </c>
      <c r="V11" s="267">
        <f t="shared" ref="V11:AC11" si="4">SUM(V12:V20)</f>
        <v>355.19554387478445</v>
      </c>
      <c r="W11" s="267">
        <f t="shared" si="4"/>
        <v>357.64296791265633</v>
      </c>
      <c r="X11" s="267">
        <f t="shared" si="4"/>
        <v>334.85650741457107</v>
      </c>
      <c r="Y11" s="267">
        <f t="shared" si="4"/>
        <v>312.35240000000005</v>
      </c>
      <c r="Z11" s="267">
        <f t="shared" si="4"/>
        <v>295.87288562977574</v>
      </c>
      <c r="AA11" s="267">
        <f t="shared" si="4"/>
        <v>298.41820662916257</v>
      </c>
      <c r="AB11" s="267">
        <f t="shared" si="4"/>
        <v>287.11260771115388</v>
      </c>
      <c r="AC11" s="327">
        <f t="shared" si="4"/>
        <v>289.70833599999997</v>
      </c>
      <c r="AD11" s="246"/>
      <c r="AE11" s="312"/>
    </row>
    <row r="12" spans="2:34" ht="16.399999999999999" customHeight="1" x14ac:dyDescent="0.35">
      <c r="B12" s="240" t="s">
        <v>149</v>
      </c>
      <c r="C12" s="52" t="s">
        <v>341</v>
      </c>
      <c r="D12" s="346"/>
      <c r="E12" s="52"/>
      <c r="F12" s="52"/>
      <c r="G12" s="52"/>
      <c r="H12" s="68"/>
      <c r="I12" s="68"/>
      <c r="J12" s="68">
        <f>'Haver Pivoted'!GU56</f>
        <v>597.9</v>
      </c>
      <c r="K12" s="68"/>
      <c r="L12" s="68"/>
      <c r="M12" s="68"/>
      <c r="N12" s="68"/>
      <c r="O12" s="50">
        <v>0</v>
      </c>
      <c r="P12" s="50">
        <v>0</v>
      </c>
      <c r="Q12" s="50">
        <v>0</v>
      </c>
      <c r="R12" s="50">
        <v>0</v>
      </c>
      <c r="S12" s="50">
        <v>0</v>
      </c>
      <c r="T12" s="1279">
        <v>0</v>
      </c>
      <c r="U12" s="1290">
        <v>0</v>
      </c>
      <c r="V12" s="267">
        <v>0</v>
      </c>
      <c r="W12" s="267">
        <v>0</v>
      </c>
      <c r="X12" s="267">
        <v>0</v>
      </c>
      <c r="Y12" s="267">
        <v>0</v>
      </c>
      <c r="Z12" s="267">
        <v>0</v>
      </c>
      <c r="AA12" s="267">
        <v>0</v>
      </c>
      <c r="AB12" s="267">
        <v>0</v>
      </c>
      <c r="AC12" s="327">
        <v>0</v>
      </c>
      <c r="AD12" s="246">
        <f>SUM(I12:Y12)/4</f>
        <v>149.47499999999999</v>
      </c>
      <c r="AE12" s="312">
        <f>AD59</f>
        <v>150</v>
      </c>
    </row>
    <row r="13" spans="2:34" x14ac:dyDescent="0.35">
      <c r="B13" s="240" t="s">
        <v>150</v>
      </c>
      <c r="C13" s="52" t="s">
        <v>342</v>
      </c>
      <c r="D13" s="346"/>
      <c r="E13" s="52"/>
      <c r="F13" s="52"/>
      <c r="G13" s="52"/>
      <c r="H13" s="68"/>
      <c r="I13" s="68"/>
      <c r="J13" s="68">
        <f>'Haver Pivoted'!GU57</f>
        <v>28.4</v>
      </c>
      <c r="K13" s="68">
        <f>'Haver Pivoted'!GV57</f>
        <v>15.8</v>
      </c>
      <c r="L13" s="68">
        <f>'Haver Pivoted'!GW57</f>
        <v>15.2</v>
      </c>
      <c r="M13" s="68">
        <f>'Haver Pivoted'!GX57</f>
        <v>28.9</v>
      </c>
      <c r="N13" s="68">
        <f>'Haver Pivoted'!GY57</f>
        <v>67.599999999999994</v>
      </c>
      <c r="O13" s="68">
        <f>'Haver Pivoted'!GZ57</f>
        <v>80.7</v>
      </c>
      <c r="P13" s="68">
        <f>'Haver Pivoted'!HA57</f>
        <v>87.2</v>
      </c>
      <c r="Q13" s="68">
        <f>'Haver Pivoted'!HB57</f>
        <v>72.400000000000006</v>
      </c>
      <c r="R13" s="68">
        <f>'Haver Pivoted'!HC57</f>
        <v>85.9</v>
      </c>
      <c r="S13" s="244">
        <f>'Haver Pivoted'!HD57</f>
        <v>68.3</v>
      </c>
      <c r="T13" s="1278">
        <f>'Haver Pivoted'!HE57</f>
        <v>64</v>
      </c>
      <c r="U13" s="1093">
        <f t="shared" ref="U13:AC13" si="5">U60+U64+U70</f>
        <v>60.929333333333297</v>
      </c>
      <c r="V13" s="1093">
        <f t="shared" si="5"/>
        <v>60.929333333333297</v>
      </c>
      <c r="W13" s="1093">
        <f t="shared" si="5"/>
        <v>60.929333333333297</v>
      </c>
      <c r="X13" s="1093">
        <f t="shared" si="5"/>
        <v>54.244333333333302</v>
      </c>
      <c r="Y13" s="1093">
        <f t="shared" si="5"/>
        <v>50.911000000000001</v>
      </c>
      <c r="Z13" s="1093">
        <f t="shared" si="5"/>
        <v>31.911000000000001</v>
      </c>
      <c r="AA13" s="1093">
        <f t="shared" si="5"/>
        <v>31.911000000000001</v>
      </c>
      <c r="AB13" s="1093">
        <f t="shared" si="5"/>
        <v>23.099</v>
      </c>
      <c r="AC13" s="1094">
        <f t="shared" si="5"/>
        <v>23.099</v>
      </c>
      <c r="AD13" s="246">
        <f t="shared" ref="AD13:AD19" si="6">SUM(I13:Y13)/4</f>
        <v>225.58583333333326</v>
      </c>
      <c r="AE13" s="312">
        <f>AD60+AD64+AD70</f>
        <v>225.76349999999994</v>
      </c>
      <c r="AF13" s="56">
        <f>SUM(J13:R13)/4</f>
        <v>120.52500000000001</v>
      </c>
    </row>
    <row r="14" spans="2:34" x14ac:dyDescent="0.35">
      <c r="B14" s="240" t="s">
        <v>152</v>
      </c>
      <c r="C14" s="49" t="s">
        <v>307</v>
      </c>
      <c r="D14" s="231"/>
      <c r="E14" s="49"/>
      <c r="F14" s="49"/>
      <c r="G14" s="49"/>
      <c r="H14" s="68"/>
      <c r="I14" s="68"/>
      <c r="J14" s="68">
        <f>'Haver Pivoted'!GU58</f>
        <v>64.400000000000006</v>
      </c>
      <c r="K14" s="68">
        <f>'Haver Pivoted'!GV58</f>
        <v>23.4</v>
      </c>
      <c r="L14" s="68">
        <f>'Haver Pivoted'!GW58</f>
        <v>13.8</v>
      </c>
      <c r="M14" s="68">
        <f>'Haver Pivoted'!GX58</f>
        <v>12</v>
      </c>
      <c r="N14" s="68">
        <f>'Haver Pivoted'!GY58</f>
        <v>7.5</v>
      </c>
      <c r="O14" s="68">
        <f>'Haver Pivoted'!GZ58</f>
        <v>10.5</v>
      </c>
      <c r="P14" s="68">
        <f>'Haver Pivoted'!HA58</f>
        <v>18</v>
      </c>
      <c r="Q14" s="68">
        <f>'Haver Pivoted'!HB58</f>
        <v>15</v>
      </c>
      <c r="R14" s="68">
        <f>'Haver Pivoted'!HC58</f>
        <v>11.2</v>
      </c>
      <c r="S14" s="244">
        <f>'Haver Pivoted'!HD58</f>
        <v>7.5</v>
      </c>
      <c r="T14" s="1278">
        <f>'Haver Pivoted'!HE58</f>
        <v>6.2</v>
      </c>
      <c r="U14" s="262">
        <f>'Haver Pivoted'!HF58</f>
        <v>0</v>
      </c>
      <c r="V14" s="267">
        <f>'Provider Relief (expired)'!V12</f>
        <v>0</v>
      </c>
      <c r="W14" s="267">
        <f>'Provider Relief (expired)'!W12</f>
        <v>0</v>
      </c>
      <c r="X14" s="267">
        <f>'Provider Relief (expired)'!X12</f>
        <v>0</v>
      </c>
      <c r="Y14" s="267">
        <f>'Provider Relief (expired)'!Y12</f>
        <v>0</v>
      </c>
      <c r="Z14" s="267">
        <f>'Provider Relief (expired)'!Z12</f>
        <v>0</v>
      </c>
      <c r="AA14" s="267">
        <f>'Provider Relief (expired)'!AA12</f>
        <v>0</v>
      </c>
      <c r="AB14" s="267">
        <f>'Provider Relief (expired)'!AB12</f>
        <v>0</v>
      </c>
      <c r="AC14" s="327">
        <f>'Provider Relief (expired)'!AC12</f>
        <v>0</v>
      </c>
      <c r="AD14" s="246">
        <f>SUM(I14:Y14)/4</f>
        <v>47.375</v>
      </c>
      <c r="AE14" s="312">
        <f>AD61+AD65+AD71</f>
        <v>34.125000000000007</v>
      </c>
    </row>
    <row r="15" spans="2:34" ht="15.75" customHeight="1" x14ac:dyDescent="0.35">
      <c r="B15" s="240" t="s">
        <v>343</v>
      </c>
      <c r="C15" s="49"/>
      <c r="D15" s="231"/>
      <c r="E15" s="49"/>
      <c r="F15" s="49"/>
      <c r="G15" s="49"/>
      <c r="H15" s="68"/>
      <c r="I15" s="68"/>
      <c r="J15" s="68"/>
      <c r="K15" s="68"/>
      <c r="L15" s="68"/>
      <c r="M15" s="68">
        <f>M63</f>
        <v>9.6666666666666661</v>
      </c>
      <c r="N15" s="50">
        <f t="shared" ref="N15:AC15" si="7">N63</f>
        <v>9.6666666666666661</v>
      </c>
      <c r="O15" s="50">
        <f t="shared" si="7"/>
        <v>9.6666666666666661</v>
      </c>
      <c r="P15" s="50">
        <f>P63</f>
        <v>9.6666666666666661</v>
      </c>
      <c r="Q15" s="50">
        <f>Q63</f>
        <v>9.6666666666666661</v>
      </c>
      <c r="R15" s="50">
        <f t="shared" si="7"/>
        <v>9.6666666666666661</v>
      </c>
      <c r="S15" s="50">
        <f t="shared" si="7"/>
        <v>9.6666666666666661</v>
      </c>
      <c r="T15" s="1279">
        <f t="shared" si="7"/>
        <v>9.6666666666666661</v>
      </c>
      <c r="U15" s="246">
        <f t="shared" si="7"/>
        <v>9.6666666666666661</v>
      </c>
      <c r="V15" s="267">
        <f t="shared" si="7"/>
        <v>9.6666666666666661</v>
      </c>
      <c r="W15" s="267">
        <f t="shared" si="7"/>
        <v>9.6666666666666661</v>
      </c>
      <c r="X15" s="267">
        <f t="shared" si="7"/>
        <v>9.6666666666666661</v>
      </c>
      <c r="Y15" s="267">
        <f t="shared" si="7"/>
        <v>0</v>
      </c>
      <c r="Z15" s="267">
        <f t="shared" si="7"/>
        <v>0</v>
      </c>
      <c r="AA15" s="267">
        <f t="shared" si="7"/>
        <v>0</v>
      </c>
      <c r="AB15" s="267">
        <f t="shared" si="7"/>
        <v>0</v>
      </c>
      <c r="AC15" s="327">
        <f t="shared" si="7"/>
        <v>0</v>
      </c>
      <c r="AD15" s="246">
        <f>SUM(I15:Y15)/4</f>
        <v>29.000000000000004</v>
      </c>
      <c r="AE15" s="313">
        <f>AD63</f>
        <v>29.000000000000004</v>
      </c>
      <c r="AF15" s="271" t="s">
        <v>344</v>
      </c>
      <c r="AG15" s="271"/>
      <c r="AH15" s="271"/>
    </row>
    <row r="16" spans="2:34" ht="31.4" customHeight="1" x14ac:dyDescent="0.35">
      <c r="B16" s="240" t="s">
        <v>345</v>
      </c>
      <c r="C16" s="49"/>
      <c r="D16" s="231"/>
      <c r="E16" s="49"/>
      <c r="F16" s="49"/>
      <c r="G16" s="49"/>
      <c r="H16" s="68"/>
      <c r="I16" s="68"/>
      <c r="J16" s="68"/>
      <c r="K16" s="68"/>
      <c r="L16" s="68"/>
      <c r="M16" s="68">
        <f>M67+M66</f>
        <v>12</v>
      </c>
      <c r="N16" s="50">
        <f>N67+N66</f>
        <v>12</v>
      </c>
      <c r="O16" s="50">
        <f>O67+O66</f>
        <v>12</v>
      </c>
      <c r="P16" s="50">
        <f t="shared" ref="P16:AC16" si="8">P67+P66</f>
        <v>12</v>
      </c>
      <c r="Q16" s="50">
        <f t="shared" si="8"/>
        <v>12</v>
      </c>
      <c r="R16" s="50">
        <f t="shared" si="8"/>
        <v>12</v>
      </c>
      <c r="S16" s="50">
        <f t="shared" si="8"/>
        <v>12</v>
      </c>
      <c r="T16" s="1279">
        <f t="shared" si="8"/>
        <v>12</v>
      </c>
      <c r="U16" s="246">
        <f t="shared" si="8"/>
        <v>12</v>
      </c>
      <c r="V16" s="267">
        <f t="shared" si="8"/>
        <v>12</v>
      </c>
      <c r="W16" s="267">
        <f t="shared" si="8"/>
        <v>12</v>
      </c>
      <c r="X16" s="267">
        <f t="shared" si="8"/>
        <v>12</v>
      </c>
      <c r="Y16" s="267">
        <f t="shared" si="8"/>
        <v>0</v>
      </c>
      <c r="Z16" s="267">
        <f t="shared" si="8"/>
        <v>0</v>
      </c>
      <c r="AA16" s="267">
        <f t="shared" si="8"/>
        <v>0</v>
      </c>
      <c r="AB16" s="267">
        <f t="shared" si="8"/>
        <v>0</v>
      </c>
      <c r="AC16" s="327">
        <f t="shared" si="8"/>
        <v>0</v>
      </c>
      <c r="AD16" s="246">
        <f>SUM(I16:Y16)/4</f>
        <v>36</v>
      </c>
      <c r="AE16" s="312">
        <f>SUM(AD66:AD67)+AD72</f>
        <v>130.3365</v>
      </c>
      <c r="AF16" s="271" t="s">
        <v>346</v>
      </c>
      <c r="AG16" s="271"/>
      <c r="AH16" s="271"/>
    </row>
    <row r="17" spans="1:34" x14ac:dyDescent="0.35">
      <c r="B17" s="240" t="s">
        <v>347</v>
      </c>
      <c r="C17" s="49"/>
      <c r="D17" s="231"/>
      <c r="E17" s="49"/>
      <c r="F17" s="49"/>
      <c r="G17" s="49"/>
      <c r="H17" s="68"/>
      <c r="I17" s="68"/>
      <c r="J17" s="68"/>
      <c r="K17" s="68"/>
      <c r="L17" s="68"/>
      <c r="M17" s="68"/>
      <c r="N17" s="50">
        <f>N72</f>
        <v>59.256</v>
      </c>
      <c r="O17" s="50">
        <f>O72</f>
        <v>59.256</v>
      </c>
      <c r="P17" s="50">
        <f>P72</f>
        <v>35.671000000000006</v>
      </c>
      <c r="Q17" s="50">
        <f>Q72</f>
        <v>35.671000000000006</v>
      </c>
      <c r="R17" s="50">
        <f t="shared" ref="R17:AC17" si="9">R72</f>
        <v>35.671000000000006</v>
      </c>
      <c r="S17" s="50">
        <f t="shared" si="9"/>
        <v>35.671000000000006</v>
      </c>
      <c r="T17" s="1279">
        <f t="shared" si="9"/>
        <v>24.216000000000001</v>
      </c>
      <c r="U17" s="246">
        <f t="shared" si="9"/>
        <v>24.216000000000001</v>
      </c>
      <c r="V17" s="267">
        <f t="shared" si="9"/>
        <v>24.216000000000001</v>
      </c>
      <c r="W17" s="267">
        <f t="shared" si="9"/>
        <v>24.216000000000001</v>
      </c>
      <c r="X17" s="267">
        <f t="shared" si="9"/>
        <v>9.6430000000000007</v>
      </c>
      <c r="Y17" s="267">
        <f t="shared" si="9"/>
        <v>9.6430000000000007</v>
      </c>
      <c r="Z17" s="267">
        <f t="shared" si="9"/>
        <v>9.6430000000000007</v>
      </c>
      <c r="AA17" s="267">
        <f t="shared" si="9"/>
        <v>9.6430000000000007</v>
      </c>
      <c r="AB17" s="267">
        <f t="shared" si="9"/>
        <v>4.5789999999999997</v>
      </c>
      <c r="AC17" s="327">
        <f t="shared" si="9"/>
        <v>4.5789999999999997</v>
      </c>
      <c r="AD17" s="246">
        <f>SUM(I17:Y17)/4</f>
        <v>94.336500000000001</v>
      </c>
      <c r="AE17" s="312"/>
      <c r="AF17" s="271"/>
      <c r="AG17" s="271"/>
      <c r="AH17" s="271"/>
    </row>
    <row r="18" spans="1:34" ht="54" customHeight="1" x14ac:dyDescent="0.35">
      <c r="B18" s="320" t="s">
        <v>785</v>
      </c>
      <c r="C18" s="49"/>
      <c r="D18" s="231"/>
      <c r="E18" s="49"/>
      <c r="F18" s="49"/>
      <c r="G18" s="49"/>
      <c r="H18" s="68"/>
      <c r="I18" s="68"/>
      <c r="J18" s="68"/>
      <c r="K18" s="68"/>
      <c r="L18" s="68"/>
      <c r="M18" s="68"/>
      <c r="N18" s="50">
        <v>-40</v>
      </c>
      <c r="O18" s="50">
        <v>-40</v>
      </c>
      <c r="P18" s="50">
        <f>-51</f>
        <v>-51</v>
      </c>
      <c r="Q18" s="50">
        <f>-51</f>
        <v>-51</v>
      </c>
      <c r="R18" s="50">
        <v>-51</v>
      </c>
      <c r="S18" s="50">
        <f>-51</f>
        <v>-51</v>
      </c>
      <c r="T18" s="1279">
        <v>0</v>
      </c>
      <c r="U18" s="246">
        <v>0</v>
      </c>
      <c r="V18" s="267">
        <v>0</v>
      </c>
      <c r="W18" s="267">
        <v>0</v>
      </c>
      <c r="X18" s="267">
        <v>-4</v>
      </c>
      <c r="Y18" s="267">
        <v>-4</v>
      </c>
      <c r="Z18" s="267">
        <v>-4</v>
      </c>
      <c r="AA18" s="267">
        <v>-4</v>
      </c>
      <c r="AB18" s="267">
        <v>-4</v>
      </c>
      <c r="AC18" s="327">
        <v>-4</v>
      </c>
      <c r="AD18" s="246"/>
      <c r="AE18" s="312"/>
      <c r="AF18" s="271"/>
      <c r="AG18" s="271"/>
      <c r="AH18" s="271"/>
    </row>
    <row r="19" spans="1:34" ht="15.75" customHeight="1" x14ac:dyDescent="0.35">
      <c r="B19" s="240" t="s">
        <v>348</v>
      </c>
      <c r="C19" s="52" t="s">
        <v>349</v>
      </c>
      <c r="D19" s="231"/>
      <c r="E19" s="49"/>
      <c r="F19" s="49"/>
      <c r="G19" s="49"/>
      <c r="H19" s="68"/>
      <c r="I19" s="68"/>
      <c r="J19" s="68"/>
      <c r="K19" s="68">
        <f>'Haver Pivoted'!GV56</f>
        <v>0</v>
      </c>
      <c r="L19" s="68">
        <f>'Haver Pivoted'!GW56</f>
        <v>0</v>
      </c>
      <c r="M19" s="68">
        <f>'Haver Pivoted'!GX56</f>
        <v>0</v>
      </c>
      <c r="N19" s="68">
        <f>'Haver Pivoted'!GY56</f>
        <v>785.9</v>
      </c>
      <c r="O19" s="68">
        <f>'Haver Pivoted'!GZ56</f>
        <v>187.9</v>
      </c>
      <c r="P19" s="68">
        <f>'Haver Pivoted'!HA56</f>
        <v>9.1999999999999993</v>
      </c>
      <c r="Q19" s="68">
        <f>'Haver Pivoted'!HB56</f>
        <v>0.6</v>
      </c>
      <c r="R19" s="68">
        <f>'Haver Pivoted'!HC56</f>
        <v>0</v>
      </c>
      <c r="S19" s="244">
        <f>'Haver Pivoted'!HD56</f>
        <v>0</v>
      </c>
      <c r="T19" s="1278">
        <f>'Haver Pivoted'!HE56</f>
        <v>0</v>
      </c>
      <c r="U19" s="262">
        <f>'Haver Pivoted'!HF56</f>
        <v>0</v>
      </c>
      <c r="V19" s="268">
        <f t="shared" ref="V19:AC19" si="10">V69</f>
        <v>0</v>
      </c>
      <c r="W19" s="268">
        <f t="shared" si="10"/>
        <v>0</v>
      </c>
      <c r="X19" s="268">
        <f t="shared" si="10"/>
        <v>0</v>
      </c>
      <c r="Y19" s="268">
        <f t="shared" si="10"/>
        <v>0</v>
      </c>
      <c r="Z19" s="268">
        <f t="shared" si="10"/>
        <v>0</v>
      </c>
      <c r="AA19" s="268">
        <f t="shared" si="10"/>
        <v>0</v>
      </c>
      <c r="AB19" s="268">
        <f t="shared" si="10"/>
        <v>0</v>
      </c>
      <c r="AC19" s="326">
        <f t="shared" si="10"/>
        <v>0</v>
      </c>
      <c r="AD19" s="246">
        <f t="shared" si="6"/>
        <v>245.9</v>
      </c>
      <c r="AE19" s="312">
        <f>AD69</f>
        <v>362.04999999999995</v>
      </c>
      <c r="AF19" s="296"/>
      <c r="AH19" s="271"/>
    </row>
    <row r="20" spans="1:34" ht="15.75" customHeight="1" x14ac:dyDescent="0.35">
      <c r="A20" s="274"/>
      <c r="B20" s="272" t="s">
        <v>350</v>
      </c>
      <c r="C20" s="288"/>
      <c r="D20" s="286">
        <f t="shared" ref="D20:T20" si="11">D11-SUM(D12:D19)</f>
        <v>197.26499999999993</v>
      </c>
      <c r="E20" s="288">
        <f t="shared" si="11"/>
        <v>184.779</v>
      </c>
      <c r="F20" s="288">
        <f t="shared" si="11"/>
        <v>199.041</v>
      </c>
      <c r="G20" s="288">
        <f t="shared" si="11"/>
        <v>191.73899999999998</v>
      </c>
      <c r="H20" s="288">
        <f t="shared" si="11"/>
        <v>205.80500000000001</v>
      </c>
      <c r="I20" s="288">
        <f t="shared" si="11"/>
        <v>210.29200000000003</v>
      </c>
      <c r="J20" s="288">
        <f t="shared" si="11"/>
        <v>197.48400000000004</v>
      </c>
      <c r="K20" s="288">
        <f t="shared" si="11"/>
        <v>213.12000000000006</v>
      </c>
      <c r="L20" s="288">
        <f t="shared" si="11"/>
        <v>215.54199999999997</v>
      </c>
      <c r="M20" s="288">
        <f t="shared" si="11"/>
        <v>213.11233333333337</v>
      </c>
      <c r="N20" s="288">
        <f t="shared" si="11"/>
        <v>224.76033333333339</v>
      </c>
      <c r="O20" s="288">
        <f t="shared" si="11"/>
        <v>222.12433333333337</v>
      </c>
      <c r="P20" s="288">
        <f t="shared" si="11"/>
        <v>250.09733333333338</v>
      </c>
      <c r="Q20" s="288">
        <f t="shared" si="11"/>
        <v>253.39533333333327</v>
      </c>
      <c r="R20" s="288">
        <f t="shared" si="11"/>
        <v>266.9323333333333</v>
      </c>
      <c r="S20" s="245">
        <f t="shared" si="11"/>
        <v>265.62533333333334</v>
      </c>
      <c r="T20" s="245">
        <f t="shared" si="11"/>
        <v>232.39233333333323</v>
      </c>
      <c r="U20" s="263">
        <f t="shared" ref="U20" si="12">U11-SUM(U12:U19)</f>
        <v>245.96000000000009</v>
      </c>
      <c r="V20" s="186">
        <f>U20*(1.04)^0.25</f>
        <v>248.38354387478446</v>
      </c>
      <c r="W20" s="186">
        <f t="shared" ref="V20:AC20" si="13">V20*(1.04)^0.25</f>
        <v>250.83096791265635</v>
      </c>
      <c r="X20" s="186">
        <f t="shared" si="13"/>
        <v>253.3025074145711</v>
      </c>
      <c r="Y20" s="186">
        <f t="shared" si="13"/>
        <v>255.79840000000004</v>
      </c>
      <c r="Z20" s="186">
        <f t="shared" si="13"/>
        <v>258.31888562977576</v>
      </c>
      <c r="AA20" s="186">
        <f t="shared" si="13"/>
        <v>260.86420662916254</v>
      </c>
      <c r="AB20" s="186">
        <f t="shared" si="13"/>
        <v>263.43460771115389</v>
      </c>
      <c r="AC20" s="344">
        <f t="shared" si="13"/>
        <v>266.03033599999998</v>
      </c>
      <c r="AD20" s="318"/>
      <c r="AE20" s="314"/>
      <c r="AF20" s="271" t="s">
        <v>351</v>
      </c>
      <c r="AG20" s="271"/>
      <c r="AH20" s="271"/>
    </row>
    <row r="21" spans="1:34" ht="15.75" customHeight="1" x14ac:dyDescent="0.35">
      <c r="A21" s="10"/>
      <c r="B21" s="273"/>
      <c r="C21" s="49"/>
      <c r="D21" s="49"/>
      <c r="E21" s="49"/>
      <c r="F21" s="49"/>
      <c r="G21" s="49"/>
      <c r="H21" s="49"/>
      <c r="I21" s="49"/>
      <c r="J21" s="49"/>
      <c r="K21" s="49"/>
      <c r="L21" s="49"/>
      <c r="M21" s="49"/>
      <c r="N21" s="49"/>
      <c r="O21" s="283"/>
      <c r="P21" s="49"/>
      <c r="Q21" s="164"/>
      <c r="R21" s="164"/>
      <c r="S21" s="164"/>
      <c r="T21" s="164"/>
      <c r="U21" s="164"/>
      <c r="V21" s="164"/>
      <c r="W21" s="164"/>
      <c r="X21" s="164"/>
      <c r="Y21" s="164"/>
      <c r="Z21" s="164"/>
      <c r="AA21" s="164"/>
      <c r="AB21" s="164"/>
      <c r="AC21" s="164"/>
      <c r="AD21" s="164"/>
      <c r="AE21" s="277"/>
      <c r="AF21" s="271"/>
      <c r="AG21" s="271"/>
      <c r="AH21" s="271"/>
    </row>
    <row r="22" spans="1:34" ht="15.75" customHeight="1" x14ac:dyDescent="0.35">
      <c r="A22" s="10"/>
      <c r="B22" s="1089" t="s">
        <v>337</v>
      </c>
      <c r="C22" s="329" t="s">
        <v>338</v>
      </c>
      <c r="D22" s="49"/>
      <c r="E22" s="49"/>
      <c r="F22" s="49"/>
      <c r="G22" s="49"/>
      <c r="H22" s="49"/>
      <c r="I22" s="49"/>
      <c r="J22" s="49"/>
      <c r="K22" s="49"/>
      <c r="L22" s="49"/>
      <c r="M22" s="49"/>
      <c r="N22" s="49"/>
      <c r="O22" s="283"/>
      <c r="P22" s="49"/>
      <c r="Q22" s="164"/>
      <c r="R22" s="164"/>
      <c r="S22" s="164"/>
      <c r="T22" s="1090">
        <v>953.3</v>
      </c>
      <c r="U22" s="228">
        <v>949.28280158641428</v>
      </c>
      <c r="V22" s="228">
        <v>936.37067241885461</v>
      </c>
      <c r="W22" s="228">
        <v>919.50321173168857</v>
      </c>
      <c r="X22" s="228">
        <v>889.77419817555733</v>
      </c>
      <c r="Y22" s="228">
        <v>860.83699811518682</v>
      </c>
      <c r="Z22" s="228">
        <v>837.9937366684934</v>
      </c>
      <c r="AA22" s="228">
        <v>834.24385904725534</v>
      </c>
      <c r="AB22" s="228">
        <v>812.99326858199595</v>
      </c>
      <c r="AC22" s="1091">
        <v>809.47000098687454</v>
      </c>
      <c r="AD22" s="164">
        <f>SUM(U12:U19)</f>
        <v>106.81199999999995</v>
      </c>
      <c r="AE22" s="277">
        <f>U11-AD22</f>
        <v>245.96000000000009</v>
      </c>
      <c r="AF22" s="271"/>
      <c r="AG22" s="271"/>
      <c r="AH22" s="271"/>
    </row>
    <row r="23" spans="1:34" ht="15.75" customHeight="1" x14ac:dyDescent="0.35">
      <c r="A23" s="10"/>
      <c r="B23" s="338" t="s">
        <v>133</v>
      </c>
      <c r="C23" s="162" t="s">
        <v>339</v>
      </c>
      <c r="D23" s="49"/>
      <c r="E23" s="49"/>
      <c r="F23" s="49"/>
      <c r="G23" s="49"/>
      <c r="H23" s="49"/>
      <c r="I23" s="49"/>
      <c r="J23" s="49"/>
      <c r="K23" s="49"/>
      <c r="L23" s="49"/>
      <c r="M23" s="49"/>
      <c r="N23" s="49"/>
      <c r="O23" s="283"/>
      <c r="P23" s="49"/>
      <c r="Q23" s="164"/>
      <c r="R23" s="164"/>
      <c r="S23" s="164"/>
      <c r="T23" s="262">
        <v>604.82500000000005</v>
      </c>
      <c r="U23" s="267">
        <v>607.78861211388426</v>
      </c>
      <c r="V23" s="267">
        <v>592.56406392364966</v>
      </c>
      <c r="W23" s="267">
        <v>573.36139900906664</v>
      </c>
      <c r="X23" s="267">
        <v>566.53217150889088</v>
      </c>
      <c r="Y23" s="267">
        <v>560.21352106375559</v>
      </c>
      <c r="Z23" s="267">
        <v>553.96534383348023</v>
      </c>
      <c r="AA23" s="267">
        <v>547.78685381572848</v>
      </c>
      <c r="AB23" s="267">
        <v>537.95972084866276</v>
      </c>
      <c r="AC23" s="327">
        <v>531.95974485338616</v>
      </c>
      <c r="AD23" s="164">
        <f>SUM(U25:U32)</f>
        <v>106.81199999999995</v>
      </c>
      <c r="AE23" s="277">
        <f>U24-AD23</f>
        <v>234.68218947253007</v>
      </c>
      <c r="AF23" s="271"/>
      <c r="AG23" s="271"/>
      <c r="AH23" s="271"/>
    </row>
    <row r="24" spans="1:34" ht="15.75" customHeight="1" x14ac:dyDescent="0.35">
      <c r="A24" s="10"/>
      <c r="B24" s="1085" t="s">
        <v>340</v>
      </c>
      <c r="C24" s="162"/>
      <c r="D24" s="49"/>
      <c r="E24" s="49"/>
      <c r="F24" s="49"/>
      <c r="G24" s="49"/>
      <c r="H24" s="49"/>
      <c r="I24" s="49"/>
      <c r="J24" s="49"/>
      <c r="K24" s="49"/>
      <c r="L24" s="49"/>
      <c r="M24" s="49"/>
      <c r="N24" s="49"/>
      <c r="O24" s="283"/>
      <c r="P24" s="49"/>
      <c r="Q24" s="164"/>
      <c r="R24" s="164"/>
      <c r="S24" s="164"/>
      <c r="T24" s="262">
        <v>348.47499999999991</v>
      </c>
      <c r="U24" s="267">
        <v>341.49418947253002</v>
      </c>
      <c r="V24" s="267">
        <v>343.80660849520496</v>
      </c>
      <c r="W24" s="267">
        <v>346.14181272262192</v>
      </c>
      <c r="X24" s="267">
        <v>323.2420266666665</v>
      </c>
      <c r="Y24" s="267">
        <v>300.62347705143122</v>
      </c>
      <c r="Z24" s="267">
        <v>284.02839283501316</v>
      </c>
      <c r="AA24" s="267">
        <v>286.45700523152686</v>
      </c>
      <c r="AB24" s="267">
        <v>275.03354773333319</v>
      </c>
      <c r="AC24" s="327">
        <v>277.51025613348844</v>
      </c>
      <c r="AD24" s="164">
        <f>AD23-AD22</f>
        <v>0</v>
      </c>
      <c r="AE24" s="277"/>
      <c r="AF24" s="271"/>
      <c r="AG24" s="271"/>
      <c r="AH24" s="271"/>
    </row>
    <row r="25" spans="1:34" ht="15.75" customHeight="1" x14ac:dyDescent="0.35">
      <c r="A25" s="10"/>
      <c r="B25" s="240" t="s">
        <v>149</v>
      </c>
      <c r="C25" s="52" t="s">
        <v>341</v>
      </c>
      <c r="D25" s="49"/>
      <c r="E25" s="49"/>
      <c r="F25" s="49"/>
      <c r="G25" s="49"/>
      <c r="H25" s="49"/>
      <c r="I25" s="49"/>
      <c r="J25" s="49"/>
      <c r="K25" s="49"/>
      <c r="L25" s="49"/>
      <c r="M25" s="49"/>
      <c r="N25" s="49"/>
      <c r="O25" s="283"/>
      <c r="P25" s="49"/>
      <c r="Q25" s="164"/>
      <c r="R25" s="164"/>
      <c r="S25" s="164"/>
      <c r="T25" s="246">
        <v>0</v>
      </c>
      <c r="U25" s="267">
        <v>0</v>
      </c>
      <c r="V25" s="267">
        <v>0</v>
      </c>
      <c r="W25" s="267">
        <v>0</v>
      </c>
      <c r="X25" s="267">
        <v>0</v>
      </c>
      <c r="Y25" s="267">
        <v>0</v>
      </c>
      <c r="Z25" s="267">
        <v>0</v>
      </c>
      <c r="AA25" s="267">
        <v>0</v>
      </c>
      <c r="AB25" s="267">
        <v>0</v>
      </c>
      <c r="AC25" s="327">
        <v>0</v>
      </c>
      <c r="AD25" s="164"/>
      <c r="AE25" s="277"/>
      <c r="AF25" s="271"/>
      <c r="AG25" s="271"/>
      <c r="AH25" s="271"/>
    </row>
    <row r="26" spans="1:34" ht="15.75" customHeight="1" x14ac:dyDescent="0.35">
      <c r="A26" s="10"/>
      <c r="B26" s="240" t="s">
        <v>150</v>
      </c>
      <c r="C26" s="52" t="s">
        <v>342</v>
      </c>
      <c r="D26" s="49"/>
      <c r="E26" s="49"/>
      <c r="F26" s="49"/>
      <c r="G26" s="49"/>
      <c r="H26" s="49"/>
      <c r="I26" s="49"/>
      <c r="J26" s="49"/>
      <c r="K26" s="49"/>
      <c r="L26" s="49"/>
      <c r="M26" s="49"/>
      <c r="N26" s="49"/>
      <c r="O26" s="283"/>
      <c r="P26" s="49"/>
      <c r="Q26" s="164"/>
      <c r="R26" s="164"/>
      <c r="S26" s="164"/>
      <c r="T26" s="262">
        <v>64</v>
      </c>
      <c r="U26" s="1093">
        <v>60.929333333333297</v>
      </c>
      <c r="V26" s="1093">
        <v>60.929333333333297</v>
      </c>
      <c r="W26" s="1093">
        <v>60.929333333333297</v>
      </c>
      <c r="X26" s="1093">
        <v>54.244333333333302</v>
      </c>
      <c r="Y26" s="1093">
        <v>50.911000000000001</v>
      </c>
      <c r="Z26" s="1093">
        <v>31.911000000000001</v>
      </c>
      <c r="AA26" s="1093">
        <v>31.911000000000001</v>
      </c>
      <c r="AB26" s="1093">
        <v>23.099</v>
      </c>
      <c r="AC26" s="1094">
        <v>23.099</v>
      </c>
      <c r="AD26" s="164"/>
      <c r="AE26" s="277"/>
      <c r="AF26" s="271"/>
      <c r="AG26" s="271"/>
      <c r="AH26" s="271"/>
    </row>
    <row r="27" spans="1:34" ht="15.75" customHeight="1" x14ac:dyDescent="0.35">
      <c r="A27" s="10"/>
      <c r="B27" s="240" t="s">
        <v>152</v>
      </c>
      <c r="C27" s="49" t="s">
        <v>307</v>
      </c>
      <c r="D27" s="49"/>
      <c r="E27" s="1681" t="s">
        <v>2239</v>
      </c>
      <c r="F27" s="1681"/>
      <c r="G27" s="1681"/>
      <c r="H27" s="1681"/>
      <c r="I27" s="1681"/>
      <c r="J27" s="1681"/>
      <c r="K27" s="1681"/>
      <c r="L27" s="1681"/>
      <c r="M27" s="1681"/>
      <c r="N27" s="49"/>
      <c r="O27" s="283"/>
      <c r="P27" s="49"/>
      <c r="Q27" s="164"/>
      <c r="R27" s="164"/>
      <c r="S27" s="164"/>
      <c r="T27" s="262">
        <v>6.2</v>
      </c>
      <c r="U27" s="267">
        <v>0</v>
      </c>
      <c r="V27" s="267">
        <v>0</v>
      </c>
      <c r="W27" s="267">
        <v>0</v>
      </c>
      <c r="X27" s="267">
        <v>0</v>
      </c>
      <c r="Y27" s="267">
        <v>0</v>
      </c>
      <c r="Z27" s="267">
        <v>0</v>
      </c>
      <c r="AA27" s="267">
        <v>0</v>
      </c>
      <c r="AB27" s="267">
        <v>0</v>
      </c>
      <c r="AC27" s="327">
        <v>0</v>
      </c>
      <c r="AD27" s="164"/>
      <c r="AE27" s="277"/>
      <c r="AF27" s="271"/>
      <c r="AG27" s="271"/>
      <c r="AH27" s="271"/>
    </row>
    <row r="28" spans="1:34" ht="15.75" customHeight="1" x14ac:dyDescent="0.35">
      <c r="A28" s="10"/>
      <c r="B28" s="240" t="s">
        <v>343</v>
      </c>
      <c r="C28" s="49"/>
      <c r="D28" s="49"/>
      <c r="E28" s="1681"/>
      <c r="F28" s="1681"/>
      <c r="G28" s="1681"/>
      <c r="H28" s="1681"/>
      <c r="I28" s="1681"/>
      <c r="J28" s="1681"/>
      <c r="K28" s="1681"/>
      <c r="L28" s="1681"/>
      <c r="M28" s="1681"/>
      <c r="N28" s="49"/>
      <c r="O28" s="283"/>
      <c r="P28" s="49"/>
      <c r="Q28" s="164"/>
      <c r="R28" s="164"/>
      <c r="S28" s="164"/>
      <c r="T28" s="246">
        <v>9.6666666666666661</v>
      </c>
      <c r="U28" s="267">
        <v>9.6666666666666661</v>
      </c>
      <c r="V28" s="267">
        <v>9.6666666666666661</v>
      </c>
      <c r="W28" s="267">
        <v>9.6666666666666661</v>
      </c>
      <c r="X28" s="267">
        <v>9.6666666666666661</v>
      </c>
      <c r="Y28" s="267">
        <v>0</v>
      </c>
      <c r="Z28" s="267">
        <v>0</v>
      </c>
      <c r="AA28" s="267">
        <v>0</v>
      </c>
      <c r="AB28" s="267">
        <v>0</v>
      </c>
      <c r="AC28" s="327">
        <v>0</v>
      </c>
      <c r="AD28" s="164"/>
      <c r="AE28" s="277"/>
      <c r="AF28" s="271"/>
      <c r="AG28" s="271"/>
      <c r="AH28" s="271"/>
    </row>
    <row r="29" spans="1:34" ht="15.75" customHeight="1" x14ac:dyDescent="0.35">
      <c r="A29" s="10"/>
      <c r="B29" s="240" t="s">
        <v>345</v>
      </c>
      <c r="C29" s="49"/>
      <c r="D29" s="49"/>
      <c r="E29" s="1681"/>
      <c r="F29" s="1681"/>
      <c r="G29" s="1681"/>
      <c r="H29" s="1681"/>
      <c r="I29" s="1681"/>
      <c r="J29" s="1681"/>
      <c r="K29" s="1681"/>
      <c r="L29" s="1681"/>
      <c r="M29" s="1681"/>
      <c r="N29" s="49"/>
      <c r="O29" s="283"/>
      <c r="P29" s="49"/>
      <c r="Q29" s="164"/>
      <c r="R29" s="164"/>
      <c r="S29" s="164"/>
      <c r="T29" s="246">
        <v>12</v>
      </c>
      <c r="U29" s="267">
        <v>12</v>
      </c>
      <c r="V29" s="267">
        <v>12</v>
      </c>
      <c r="W29" s="267">
        <v>12</v>
      </c>
      <c r="X29" s="267">
        <v>12</v>
      </c>
      <c r="Y29" s="267">
        <v>0</v>
      </c>
      <c r="Z29" s="267">
        <v>0</v>
      </c>
      <c r="AA29" s="267">
        <v>0</v>
      </c>
      <c r="AB29" s="267">
        <v>0</v>
      </c>
      <c r="AC29" s="327">
        <v>0</v>
      </c>
      <c r="AD29" s="164"/>
      <c r="AE29" s="277"/>
      <c r="AF29" s="271"/>
      <c r="AG29" s="271"/>
      <c r="AH29" s="271"/>
    </row>
    <row r="30" spans="1:34" ht="15.75" customHeight="1" x14ac:dyDescent="0.35">
      <c r="A30" s="10"/>
      <c r="B30" s="240" t="s">
        <v>347</v>
      </c>
      <c r="C30" s="49"/>
      <c r="D30" s="49"/>
      <c r="E30" s="1681"/>
      <c r="F30" s="1681"/>
      <c r="G30" s="1681"/>
      <c r="H30" s="1681"/>
      <c r="I30" s="1681"/>
      <c r="J30" s="1681"/>
      <c r="K30" s="1681"/>
      <c r="L30" s="1681"/>
      <c r="M30" s="1681"/>
      <c r="N30" s="49"/>
      <c r="O30" s="283"/>
      <c r="P30" s="49"/>
      <c r="Q30" s="164"/>
      <c r="R30" s="164"/>
      <c r="S30" s="164"/>
      <c r="T30" s="246">
        <v>24.216000000000001</v>
      </c>
      <c r="U30" s="267">
        <v>24.216000000000001</v>
      </c>
      <c r="V30" s="267">
        <v>24.216000000000001</v>
      </c>
      <c r="W30" s="267">
        <v>24.216000000000001</v>
      </c>
      <c r="X30" s="267">
        <v>9.6430000000000007</v>
      </c>
      <c r="Y30" s="267">
        <v>9.6430000000000007</v>
      </c>
      <c r="Z30" s="267">
        <v>9.6430000000000007</v>
      </c>
      <c r="AA30" s="267">
        <v>9.6430000000000007</v>
      </c>
      <c r="AB30" s="267">
        <v>4.5789999999999997</v>
      </c>
      <c r="AC30" s="327">
        <v>4.5789999999999997</v>
      </c>
      <c r="AD30" s="164"/>
      <c r="AE30" s="277"/>
      <c r="AF30" s="271"/>
      <c r="AG30" s="271"/>
      <c r="AH30" s="271"/>
    </row>
    <row r="31" spans="1:34" ht="15.75" customHeight="1" x14ac:dyDescent="0.35">
      <c r="A31" s="10"/>
      <c r="B31" s="320" t="s">
        <v>785</v>
      </c>
      <c r="C31" s="49"/>
      <c r="D31" s="49"/>
      <c r="E31" s="1681"/>
      <c r="F31" s="1681"/>
      <c r="G31" s="1681"/>
      <c r="H31" s="1681"/>
      <c r="I31" s="1681"/>
      <c r="J31" s="1681"/>
      <c r="K31" s="1681"/>
      <c r="L31" s="1681"/>
      <c r="M31" s="1681"/>
      <c r="N31" s="49"/>
      <c r="O31" s="283"/>
      <c r="P31" s="49"/>
      <c r="Q31" s="164"/>
      <c r="R31" s="164"/>
      <c r="S31" s="164"/>
      <c r="T31" s="246">
        <v>0</v>
      </c>
      <c r="U31" s="267">
        <v>0</v>
      </c>
      <c r="V31" s="267">
        <v>0</v>
      </c>
      <c r="W31" s="267">
        <v>0</v>
      </c>
      <c r="X31" s="267">
        <v>-4</v>
      </c>
      <c r="Y31" s="267">
        <v>-4</v>
      </c>
      <c r="Z31" s="267">
        <v>-4</v>
      </c>
      <c r="AA31" s="267">
        <v>-4</v>
      </c>
      <c r="AB31" s="267">
        <v>-4</v>
      </c>
      <c r="AC31" s="327">
        <v>-4</v>
      </c>
      <c r="AD31" s="164"/>
      <c r="AE31" s="277"/>
      <c r="AF31" s="271"/>
      <c r="AG31" s="271"/>
      <c r="AH31" s="271"/>
    </row>
    <row r="32" spans="1:34" ht="60" customHeight="1" x14ac:dyDescent="0.35">
      <c r="A32" s="10"/>
      <c r="B32" s="240" t="s">
        <v>348</v>
      </c>
      <c r="C32" s="52" t="s">
        <v>349</v>
      </c>
      <c r="D32" s="49"/>
      <c r="E32" s="1681"/>
      <c r="F32" s="1681"/>
      <c r="G32" s="1681"/>
      <c r="H32" s="1681"/>
      <c r="I32" s="1681"/>
      <c r="J32" s="1681"/>
      <c r="K32" s="1681"/>
      <c r="L32" s="1681"/>
      <c r="M32" s="1681"/>
      <c r="N32" s="49"/>
      <c r="O32" s="283"/>
      <c r="P32" s="49"/>
      <c r="Q32" s="164"/>
      <c r="R32" s="164"/>
      <c r="S32" s="164"/>
      <c r="T32" s="262">
        <v>0</v>
      </c>
      <c r="U32" s="268">
        <v>0</v>
      </c>
      <c r="V32" s="268">
        <v>0</v>
      </c>
      <c r="W32" s="268">
        <v>0</v>
      </c>
      <c r="X32" s="268">
        <v>0</v>
      </c>
      <c r="Y32" s="268">
        <v>0</v>
      </c>
      <c r="Z32" s="268">
        <v>0</v>
      </c>
      <c r="AA32" s="268">
        <v>0</v>
      </c>
      <c r="AB32" s="268">
        <v>0</v>
      </c>
      <c r="AC32" s="326">
        <v>0</v>
      </c>
      <c r="AD32" s="164"/>
      <c r="AE32" s="277"/>
      <c r="AF32" s="271"/>
      <c r="AG32" s="271"/>
      <c r="AH32" s="271"/>
    </row>
    <row r="33" spans="1:34" ht="15.75" customHeight="1" x14ac:dyDescent="0.35">
      <c r="A33" s="10"/>
      <c r="B33" s="272" t="s">
        <v>350</v>
      </c>
      <c r="C33" s="288"/>
      <c r="D33" s="49"/>
      <c r="E33" s="49"/>
      <c r="F33" s="49"/>
      <c r="G33" s="49"/>
      <c r="H33" s="49"/>
      <c r="I33" s="49"/>
      <c r="J33" s="49"/>
      <c r="K33" s="49"/>
      <c r="L33" s="49"/>
      <c r="M33" s="49"/>
      <c r="N33" s="49"/>
      <c r="O33" s="283"/>
      <c r="P33" s="49"/>
      <c r="Q33" s="164"/>
      <c r="R33" s="164"/>
      <c r="S33" s="164"/>
      <c r="T33" s="263">
        <v>232.39233333333323</v>
      </c>
      <c r="U33" s="186">
        <v>234.68218947253004</v>
      </c>
      <c r="V33" s="186">
        <v>236.994608495205</v>
      </c>
      <c r="W33" s="186">
        <v>239.32981272262197</v>
      </c>
      <c r="X33" s="186">
        <v>241.68802666666653</v>
      </c>
      <c r="Y33" s="186">
        <v>244.06947705143122</v>
      </c>
      <c r="Z33" s="186">
        <v>246.47439283501319</v>
      </c>
      <c r="AA33" s="186">
        <v>248.90300523152683</v>
      </c>
      <c r="AB33" s="186">
        <v>251.35554773333317</v>
      </c>
      <c r="AC33" s="344">
        <v>253.83225613348844</v>
      </c>
      <c r="AD33" s="164"/>
      <c r="AE33" s="277"/>
      <c r="AF33" s="271"/>
      <c r="AG33" s="271"/>
      <c r="AH33" s="271"/>
    </row>
    <row r="34" spans="1:34" ht="15.75" customHeight="1" x14ac:dyDescent="0.35">
      <c r="A34" s="10"/>
      <c r="B34" s="1140"/>
      <c r="C34" s="1141"/>
      <c r="D34" s="49"/>
      <c r="E34" s="49"/>
      <c r="F34" s="49"/>
      <c r="G34" s="49"/>
      <c r="H34" s="49"/>
      <c r="I34" s="49"/>
      <c r="J34" s="49"/>
      <c r="L34" s="49"/>
      <c r="N34" s="49"/>
      <c r="O34" s="283"/>
      <c r="P34" s="49"/>
      <c r="Q34" s="164"/>
      <c r="R34" s="164"/>
      <c r="S34" s="1288"/>
      <c r="T34" s="1289"/>
      <c r="U34" s="1170"/>
      <c r="V34" s="1170"/>
      <c r="W34" s="1170"/>
      <c r="X34" s="1170"/>
      <c r="Y34" s="1170"/>
      <c r="Z34" s="1170"/>
      <c r="AA34" s="1170"/>
      <c r="AB34" s="1170"/>
      <c r="AC34" s="1170"/>
      <c r="AD34" s="1288"/>
      <c r="AE34" s="277"/>
      <c r="AF34" s="271"/>
      <c r="AG34" s="271"/>
      <c r="AH34" s="271"/>
    </row>
    <row r="35" spans="1:34" ht="15.75" customHeight="1" x14ac:dyDescent="0.35">
      <c r="A35" s="10"/>
      <c r="C35" s="1141"/>
      <c r="D35" s="49"/>
      <c r="E35" s="49"/>
      <c r="F35" s="49"/>
      <c r="G35" s="49"/>
      <c r="H35" s="1144" t="s">
        <v>337</v>
      </c>
      <c r="I35" s="49"/>
      <c r="L35" s="49"/>
      <c r="N35" s="49"/>
      <c r="O35" s="283"/>
      <c r="P35" s="49"/>
      <c r="Q35" s="164"/>
      <c r="R35" s="164"/>
      <c r="S35" s="164"/>
      <c r="T35" s="1142">
        <f>T9-T22</f>
        <v>0</v>
      </c>
      <c r="U35" s="1142">
        <f t="shared" ref="U35:AC35" si="14">U9-U22</f>
        <v>31.21719841358572</v>
      </c>
      <c r="V35" s="1142">
        <f t="shared" si="14"/>
        <v>19.765741680381325</v>
      </c>
      <c r="W35" s="1142">
        <f t="shared" si="14"/>
        <v>28.521191472647388</v>
      </c>
      <c r="X35" s="1142">
        <f t="shared" si="14"/>
        <v>27.129298109305637</v>
      </c>
      <c r="Y35" s="1142">
        <f t="shared" si="14"/>
        <v>25.778058090553259</v>
      </c>
      <c r="Z35" s="1142">
        <f t="shared" si="14"/>
        <v>24.46158065214081</v>
      </c>
      <c r="AA35" s="1142">
        <f t="shared" si="14"/>
        <v>23.179270558679377</v>
      </c>
      <c r="AB35" s="1142">
        <f t="shared" si="14"/>
        <v>21.92787519068213</v>
      </c>
      <c r="AC35" s="1142">
        <f t="shared" si="14"/>
        <v>20.720445609480976</v>
      </c>
      <c r="AD35" s="164"/>
      <c r="AE35" s="277"/>
      <c r="AF35" s="271"/>
      <c r="AG35" s="271"/>
      <c r="AH35" s="271"/>
    </row>
    <row r="36" spans="1:34" ht="15.75" customHeight="1" x14ac:dyDescent="0.35">
      <c r="A36" s="10"/>
      <c r="C36" s="1141"/>
      <c r="D36" s="49"/>
      <c r="E36" s="49"/>
      <c r="F36" s="49"/>
      <c r="G36" s="49"/>
      <c r="H36" s="684" t="s">
        <v>133</v>
      </c>
      <c r="I36" s="49"/>
      <c r="L36" s="49"/>
      <c r="N36" s="49"/>
      <c r="O36" s="283"/>
      <c r="P36" s="49"/>
      <c r="Q36" s="164"/>
      <c r="R36" s="164"/>
      <c r="S36" s="164"/>
      <c r="T36" s="1142">
        <f t="shared" ref="T36:AC46" si="15">T10-T23</f>
        <v>0</v>
      </c>
      <c r="U36" s="1142">
        <f t="shared" si="15"/>
        <v>19.939387886115696</v>
      </c>
      <c r="V36" s="1142">
        <f t="shared" si="15"/>
        <v>8.3768063008018316</v>
      </c>
      <c r="W36" s="1142">
        <f t="shared" si="15"/>
        <v>17.020036282612978</v>
      </c>
      <c r="X36" s="1142">
        <f t="shared" si="15"/>
        <v>15.514817361401015</v>
      </c>
      <c r="Y36" s="1142">
        <f t="shared" si="15"/>
        <v>14.049135141984493</v>
      </c>
      <c r="Z36" s="1142">
        <f t="shared" si="15"/>
        <v>12.617087857378237</v>
      </c>
      <c r="AA36" s="1142">
        <f t="shared" si="15"/>
        <v>11.218069161043672</v>
      </c>
      <c r="AB36" s="1142">
        <f t="shared" si="15"/>
        <v>9.848815212861382</v>
      </c>
      <c r="AC36" s="1142">
        <f t="shared" si="15"/>
        <v>8.5223657429693276</v>
      </c>
      <c r="AD36" s="164"/>
      <c r="AE36" s="277"/>
      <c r="AF36" s="271"/>
      <c r="AG36" s="271"/>
      <c r="AH36" s="271"/>
    </row>
    <row r="37" spans="1:34" ht="15.75" customHeight="1" x14ac:dyDescent="0.35">
      <c r="A37" s="10"/>
      <c r="C37" s="1141"/>
      <c r="D37" s="49"/>
      <c r="E37" s="49"/>
      <c r="F37" s="49"/>
      <c r="G37" s="49"/>
      <c r="H37" s="405" t="s">
        <v>340</v>
      </c>
      <c r="I37" s="49"/>
      <c r="L37" s="49"/>
      <c r="N37" s="49"/>
      <c r="O37" s="283"/>
      <c r="P37" s="49"/>
      <c r="Q37" s="164"/>
      <c r="R37" s="164"/>
      <c r="S37" s="164"/>
      <c r="T37" s="1142">
        <f t="shared" si="15"/>
        <v>0</v>
      </c>
      <c r="U37" s="1142">
        <f t="shared" si="15"/>
        <v>11.277810527470024</v>
      </c>
      <c r="V37" s="1142">
        <f t="shared" si="15"/>
        <v>11.388935379579493</v>
      </c>
      <c r="W37" s="1142">
        <f t="shared" si="15"/>
        <v>11.50115519003441</v>
      </c>
      <c r="X37" s="1142">
        <f t="shared" si="15"/>
        <v>11.614480747904565</v>
      </c>
      <c r="Y37" s="1142">
        <f t="shared" si="15"/>
        <v>11.728922948568822</v>
      </c>
      <c r="Z37" s="1142">
        <f t="shared" si="15"/>
        <v>11.844492794762573</v>
      </c>
      <c r="AA37" s="1142">
        <f t="shared" si="15"/>
        <v>11.961201397635705</v>
      </c>
      <c r="AB37" s="1142">
        <f t="shared" si="15"/>
        <v>12.079059977820691</v>
      </c>
      <c r="AC37" s="1142">
        <f t="shared" si="15"/>
        <v>12.198079866511534</v>
      </c>
      <c r="AD37" s="164"/>
      <c r="AE37" s="277"/>
      <c r="AF37" s="271"/>
      <c r="AG37" s="271"/>
      <c r="AH37" s="271"/>
    </row>
    <row r="38" spans="1:34" ht="15.75" customHeight="1" x14ac:dyDescent="0.35">
      <c r="A38" s="10"/>
      <c r="C38" s="1141"/>
      <c r="D38" s="49"/>
      <c r="E38" s="49"/>
      <c r="F38" s="49"/>
      <c r="G38" s="49"/>
      <c r="H38" s="1145" t="s">
        <v>149</v>
      </c>
      <c r="I38" s="49"/>
      <c r="L38" s="49"/>
      <c r="N38" s="49"/>
      <c r="O38" s="283"/>
      <c r="P38" s="49"/>
      <c r="Q38" s="164"/>
      <c r="R38" s="164"/>
      <c r="S38" s="164"/>
      <c r="T38" s="1142">
        <f t="shared" si="15"/>
        <v>0</v>
      </c>
      <c r="U38" s="1142">
        <f t="shared" si="15"/>
        <v>0</v>
      </c>
      <c r="V38" s="1142">
        <f t="shared" si="15"/>
        <v>0</v>
      </c>
      <c r="W38" s="1142">
        <f t="shared" si="15"/>
        <v>0</v>
      </c>
      <c r="X38" s="1142">
        <f t="shared" si="15"/>
        <v>0</v>
      </c>
      <c r="Y38" s="1142">
        <f t="shared" si="15"/>
        <v>0</v>
      </c>
      <c r="Z38" s="1142">
        <f t="shared" si="15"/>
        <v>0</v>
      </c>
      <c r="AA38" s="1142">
        <f t="shared" si="15"/>
        <v>0</v>
      </c>
      <c r="AB38" s="1142">
        <f t="shared" si="15"/>
        <v>0</v>
      </c>
      <c r="AC38" s="1142">
        <f t="shared" si="15"/>
        <v>0</v>
      </c>
      <c r="AD38" s="164"/>
      <c r="AE38" s="277"/>
      <c r="AF38" s="271"/>
      <c r="AG38" s="271"/>
      <c r="AH38" s="271"/>
    </row>
    <row r="39" spans="1:34" ht="15.75" customHeight="1" x14ac:dyDescent="0.35">
      <c r="A39" s="10"/>
      <c r="C39" s="1141"/>
      <c r="D39" s="49"/>
      <c r="E39" s="49"/>
      <c r="F39" s="49"/>
      <c r="G39" s="49"/>
      <c r="H39" s="1145" t="s">
        <v>150</v>
      </c>
      <c r="I39" s="49"/>
      <c r="L39" s="49"/>
      <c r="N39" s="49"/>
      <c r="O39" s="283"/>
      <c r="P39" s="49"/>
      <c r="Q39" s="164"/>
      <c r="R39" s="164"/>
      <c r="S39" s="164"/>
      <c r="T39" s="1142">
        <f t="shared" si="15"/>
        <v>0</v>
      </c>
      <c r="U39" s="1142">
        <f t="shared" si="15"/>
        <v>0</v>
      </c>
      <c r="V39" s="1142">
        <f t="shared" si="15"/>
        <v>0</v>
      </c>
      <c r="W39" s="1142">
        <f t="shared" si="15"/>
        <v>0</v>
      </c>
      <c r="X39" s="1142">
        <f t="shared" si="15"/>
        <v>0</v>
      </c>
      <c r="Y39" s="1142">
        <f t="shared" si="15"/>
        <v>0</v>
      </c>
      <c r="Z39" s="1142">
        <f t="shared" si="15"/>
        <v>0</v>
      </c>
      <c r="AA39" s="1142">
        <f t="shared" si="15"/>
        <v>0</v>
      </c>
      <c r="AB39" s="1142">
        <f t="shared" si="15"/>
        <v>0</v>
      </c>
      <c r="AC39" s="1142">
        <f t="shared" si="15"/>
        <v>0</v>
      </c>
      <c r="AD39" s="164"/>
      <c r="AE39" s="277"/>
      <c r="AF39" s="271"/>
      <c r="AG39" s="271"/>
      <c r="AH39" s="271"/>
    </row>
    <row r="40" spans="1:34" ht="15.75" customHeight="1" x14ac:dyDescent="0.35">
      <c r="A40" s="10"/>
      <c r="C40" s="1141"/>
      <c r="D40" s="49"/>
      <c r="E40" s="49"/>
      <c r="F40" s="49"/>
      <c r="G40" s="49"/>
      <c r="H40" s="1145" t="s">
        <v>152</v>
      </c>
      <c r="I40" s="49"/>
      <c r="L40" s="49"/>
      <c r="N40" s="49"/>
      <c r="O40" s="283"/>
      <c r="P40" s="49"/>
      <c r="Q40" s="164"/>
      <c r="R40" s="164"/>
      <c r="S40" s="164"/>
      <c r="T40" s="1142">
        <f t="shared" si="15"/>
        <v>0</v>
      </c>
      <c r="U40" s="1142">
        <f t="shared" si="15"/>
        <v>0</v>
      </c>
      <c r="V40" s="1142">
        <f t="shared" si="15"/>
        <v>0</v>
      </c>
      <c r="W40" s="1142">
        <f t="shared" si="15"/>
        <v>0</v>
      </c>
      <c r="X40" s="1142">
        <f t="shared" si="15"/>
        <v>0</v>
      </c>
      <c r="Y40" s="1142">
        <f t="shared" si="15"/>
        <v>0</v>
      </c>
      <c r="Z40" s="1142">
        <f t="shared" si="15"/>
        <v>0</v>
      </c>
      <c r="AA40" s="1142">
        <f t="shared" si="15"/>
        <v>0</v>
      </c>
      <c r="AB40" s="1142">
        <f t="shared" si="15"/>
        <v>0</v>
      </c>
      <c r="AC40" s="1142">
        <f t="shared" si="15"/>
        <v>0</v>
      </c>
      <c r="AD40" s="164"/>
      <c r="AE40" s="277"/>
      <c r="AF40" s="271"/>
      <c r="AG40" s="271"/>
      <c r="AH40" s="271"/>
    </row>
    <row r="41" spans="1:34" ht="15.75" customHeight="1" x14ac:dyDescent="0.35">
      <c r="A41" s="10"/>
      <c r="C41" s="1141"/>
      <c r="D41" s="49"/>
      <c r="E41" s="49"/>
      <c r="F41" s="49"/>
      <c r="G41" s="49"/>
      <c r="H41" s="1145" t="s">
        <v>343</v>
      </c>
      <c r="I41" s="49"/>
      <c r="L41" s="49"/>
      <c r="N41" s="49"/>
      <c r="O41" s="283"/>
      <c r="P41" s="49"/>
      <c r="Q41" s="164"/>
      <c r="R41" s="164"/>
      <c r="S41" s="164"/>
      <c r="T41" s="1142">
        <f t="shared" si="15"/>
        <v>0</v>
      </c>
      <c r="U41" s="1142">
        <f t="shared" si="15"/>
        <v>0</v>
      </c>
      <c r="V41" s="1142">
        <f t="shared" si="15"/>
        <v>0</v>
      </c>
      <c r="W41" s="1142">
        <f t="shared" si="15"/>
        <v>0</v>
      </c>
      <c r="X41" s="1142">
        <f t="shared" si="15"/>
        <v>0</v>
      </c>
      <c r="Y41" s="1142">
        <f t="shared" si="15"/>
        <v>0</v>
      </c>
      <c r="Z41" s="1142">
        <f t="shared" si="15"/>
        <v>0</v>
      </c>
      <c r="AA41" s="1142">
        <f t="shared" si="15"/>
        <v>0</v>
      </c>
      <c r="AB41" s="1142">
        <f t="shared" si="15"/>
        <v>0</v>
      </c>
      <c r="AC41" s="1142">
        <f t="shared" si="15"/>
        <v>0</v>
      </c>
      <c r="AD41" s="164"/>
      <c r="AE41" s="277"/>
      <c r="AF41" s="271"/>
      <c r="AG41" s="271"/>
      <c r="AH41" s="271"/>
    </row>
    <row r="42" spans="1:34" ht="15.75" customHeight="1" x14ac:dyDescent="0.35">
      <c r="A42" s="10"/>
      <c r="C42" s="1141"/>
      <c r="D42" s="49"/>
      <c r="E42" s="49"/>
      <c r="F42" s="49"/>
      <c r="G42" s="49"/>
      <c r="H42" s="1145" t="s">
        <v>345</v>
      </c>
      <c r="I42" s="49"/>
      <c r="L42" s="49"/>
      <c r="N42" s="49"/>
      <c r="O42" s="283"/>
      <c r="P42" s="49"/>
      <c r="Q42" s="164"/>
      <c r="R42" s="164"/>
      <c r="S42" s="164"/>
      <c r="T42" s="1142">
        <f t="shared" si="15"/>
        <v>0</v>
      </c>
      <c r="U42" s="1142">
        <f t="shared" si="15"/>
        <v>0</v>
      </c>
      <c r="V42" s="1142">
        <f t="shared" si="15"/>
        <v>0</v>
      </c>
      <c r="W42" s="1142">
        <f t="shared" si="15"/>
        <v>0</v>
      </c>
      <c r="X42" s="1142">
        <f t="shared" si="15"/>
        <v>0</v>
      </c>
      <c r="Y42" s="1142">
        <f t="shared" si="15"/>
        <v>0</v>
      </c>
      <c r="Z42" s="1142">
        <f t="shared" si="15"/>
        <v>0</v>
      </c>
      <c r="AA42" s="1142">
        <f t="shared" si="15"/>
        <v>0</v>
      </c>
      <c r="AB42" s="1142">
        <f t="shared" si="15"/>
        <v>0</v>
      </c>
      <c r="AC42" s="1142">
        <f t="shared" si="15"/>
        <v>0</v>
      </c>
      <c r="AD42" s="164"/>
      <c r="AE42" s="277"/>
      <c r="AF42" s="271"/>
      <c r="AG42" s="271"/>
      <c r="AH42" s="271"/>
    </row>
    <row r="43" spans="1:34" ht="15.75" customHeight="1" x14ac:dyDescent="0.35">
      <c r="A43" s="10"/>
      <c r="C43" s="1141"/>
      <c r="D43" s="49"/>
      <c r="E43" s="49"/>
      <c r="F43" s="49"/>
      <c r="G43" s="49"/>
      <c r="H43" s="1145" t="s">
        <v>347</v>
      </c>
      <c r="I43" s="49"/>
      <c r="L43" s="49"/>
      <c r="N43" s="49"/>
      <c r="O43" s="283"/>
      <c r="P43" s="49"/>
      <c r="Q43" s="164"/>
      <c r="R43" s="164"/>
      <c r="S43" s="164"/>
      <c r="T43" s="1142">
        <f t="shared" si="15"/>
        <v>0</v>
      </c>
      <c r="U43" s="1142">
        <f t="shared" si="15"/>
        <v>0</v>
      </c>
      <c r="V43" s="1142">
        <f t="shared" si="15"/>
        <v>0</v>
      </c>
      <c r="W43" s="1142">
        <f t="shared" si="15"/>
        <v>0</v>
      </c>
      <c r="X43" s="1142">
        <f t="shared" si="15"/>
        <v>0</v>
      </c>
      <c r="Y43" s="1142">
        <f t="shared" si="15"/>
        <v>0</v>
      </c>
      <c r="Z43" s="1142">
        <f t="shared" si="15"/>
        <v>0</v>
      </c>
      <c r="AA43" s="1142">
        <f t="shared" si="15"/>
        <v>0</v>
      </c>
      <c r="AB43" s="1142">
        <f t="shared" si="15"/>
        <v>0</v>
      </c>
      <c r="AC43" s="1142">
        <f t="shared" si="15"/>
        <v>0</v>
      </c>
      <c r="AD43" s="164"/>
      <c r="AE43" s="277"/>
      <c r="AF43" s="271"/>
      <c r="AG43" s="271"/>
      <c r="AH43" s="271"/>
    </row>
    <row r="44" spans="1:34" ht="15.75" customHeight="1" x14ac:dyDescent="0.35">
      <c r="A44" s="10"/>
      <c r="C44" s="1141"/>
      <c r="D44" s="49"/>
      <c r="E44" s="49"/>
      <c r="F44" s="49"/>
      <c r="G44" s="49"/>
      <c r="H44" s="1146" t="s">
        <v>785</v>
      </c>
      <c r="I44" s="49"/>
      <c r="L44" s="49"/>
      <c r="N44" s="49"/>
      <c r="O44" s="283"/>
      <c r="P44" s="49"/>
      <c r="Q44" s="164"/>
      <c r="R44" s="164"/>
      <c r="S44" s="164"/>
      <c r="T44" s="1142">
        <f t="shared" si="15"/>
        <v>0</v>
      </c>
      <c r="U44" s="1142">
        <f t="shared" si="15"/>
        <v>0</v>
      </c>
      <c r="V44" s="1142">
        <f t="shared" si="15"/>
        <v>0</v>
      </c>
      <c r="W44" s="1142">
        <f t="shared" si="15"/>
        <v>0</v>
      </c>
      <c r="X44" s="1142">
        <f t="shared" si="15"/>
        <v>0</v>
      </c>
      <c r="Y44" s="1142">
        <f t="shared" si="15"/>
        <v>0</v>
      </c>
      <c r="Z44" s="1142">
        <f t="shared" si="15"/>
        <v>0</v>
      </c>
      <c r="AA44" s="1142">
        <f t="shared" si="15"/>
        <v>0</v>
      </c>
      <c r="AB44" s="1142">
        <f t="shared" si="15"/>
        <v>0</v>
      </c>
      <c r="AC44" s="1142">
        <f t="shared" si="15"/>
        <v>0</v>
      </c>
      <c r="AD44" s="164"/>
      <c r="AE44" s="277"/>
      <c r="AF44" s="271"/>
      <c r="AG44" s="271"/>
      <c r="AH44" s="271"/>
    </row>
    <row r="45" spans="1:34" ht="15.75" customHeight="1" x14ac:dyDescent="0.35">
      <c r="A45" s="10"/>
      <c r="C45" s="1141"/>
      <c r="D45" s="49"/>
      <c r="E45" s="49"/>
      <c r="F45" s="49"/>
      <c r="G45" s="49"/>
      <c r="H45" s="1145" t="s">
        <v>348</v>
      </c>
      <c r="I45" s="49"/>
      <c r="L45" s="49"/>
      <c r="N45" s="49"/>
      <c r="O45" s="283"/>
      <c r="P45" s="49"/>
      <c r="Q45" s="164"/>
      <c r="R45" s="164"/>
      <c r="S45" s="164"/>
      <c r="T45" s="1142">
        <f t="shared" si="15"/>
        <v>0</v>
      </c>
      <c r="U45" s="1142">
        <f t="shared" si="15"/>
        <v>0</v>
      </c>
      <c r="V45" s="1142">
        <f t="shared" si="15"/>
        <v>0</v>
      </c>
      <c r="W45" s="1142">
        <f t="shared" si="15"/>
        <v>0</v>
      </c>
      <c r="X45" s="1142">
        <f t="shared" si="15"/>
        <v>0</v>
      </c>
      <c r="Y45" s="1142">
        <f t="shared" si="15"/>
        <v>0</v>
      </c>
      <c r="Z45" s="1142">
        <f t="shared" si="15"/>
        <v>0</v>
      </c>
      <c r="AA45" s="1142">
        <f t="shared" si="15"/>
        <v>0</v>
      </c>
      <c r="AB45" s="1142">
        <f t="shared" si="15"/>
        <v>0</v>
      </c>
      <c r="AC45" s="1142">
        <f t="shared" si="15"/>
        <v>0</v>
      </c>
      <c r="AD45" s="164"/>
      <c r="AE45" s="277"/>
      <c r="AF45" s="271"/>
      <c r="AG45" s="271"/>
      <c r="AH45" s="271"/>
    </row>
    <row r="46" spans="1:34" ht="15.75" customHeight="1" x14ac:dyDescent="0.35">
      <c r="A46" s="10"/>
      <c r="C46" s="1141"/>
      <c r="D46" s="49"/>
      <c r="E46" s="49"/>
      <c r="F46" s="49"/>
      <c r="G46" s="49"/>
      <c r="H46" s="1147" t="s">
        <v>350</v>
      </c>
      <c r="I46" s="49"/>
      <c r="K46" s="49"/>
      <c r="L46" s="49"/>
      <c r="M46" s="49"/>
      <c r="N46" s="49"/>
      <c r="O46" s="283"/>
      <c r="P46" s="49"/>
      <c r="Q46" s="164"/>
      <c r="R46" s="164"/>
      <c r="S46" s="164"/>
      <c r="T46" s="1142">
        <f t="shared" si="15"/>
        <v>0</v>
      </c>
      <c r="U46" s="1142">
        <f>U20-U33</f>
        <v>11.277810527470052</v>
      </c>
      <c r="V46" s="1142">
        <f t="shared" si="15"/>
        <v>11.388935379579465</v>
      </c>
      <c r="W46" s="1142">
        <f t="shared" si="15"/>
        <v>11.501155190034382</v>
      </c>
      <c r="X46" s="1142">
        <f t="shared" si="15"/>
        <v>11.614480747904565</v>
      </c>
      <c r="Y46" s="1142">
        <f t="shared" si="15"/>
        <v>11.728922948568822</v>
      </c>
      <c r="Z46" s="1142">
        <f t="shared" si="15"/>
        <v>11.844492794762573</v>
      </c>
      <c r="AA46" s="1142">
        <f t="shared" si="15"/>
        <v>11.961201397635705</v>
      </c>
      <c r="AB46" s="1142">
        <f t="shared" si="15"/>
        <v>12.079059977820719</v>
      </c>
      <c r="AC46" s="1142">
        <f t="shared" si="15"/>
        <v>12.198079866511534</v>
      </c>
      <c r="AD46" s="164"/>
      <c r="AE46" s="277"/>
      <c r="AF46" s="271"/>
      <c r="AG46" s="271"/>
      <c r="AH46" s="271"/>
    </row>
    <row r="47" spans="1:34" ht="15.75" customHeight="1" x14ac:dyDescent="0.35">
      <c r="A47" s="10"/>
      <c r="B47" s="273"/>
      <c r="C47" s="49"/>
      <c r="D47" s="49"/>
      <c r="E47" s="49"/>
      <c r="F47" s="49"/>
      <c r="G47" s="49"/>
      <c r="H47" s="49"/>
      <c r="I47" s="49"/>
      <c r="J47" s="49"/>
      <c r="K47" s="49"/>
      <c r="L47" s="49"/>
      <c r="M47" s="49"/>
      <c r="N47" s="49"/>
      <c r="O47" s="283"/>
      <c r="P47" s="49"/>
      <c r="Q47" s="164"/>
      <c r="R47" s="164"/>
      <c r="S47" s="164"/>
      <c r="T47" s="1142"/>
      <c r="U47" s="1142"/>
      <c r="V47" s="1142"/>
      <c r="W47" s="1142"/>
      <c r="X47" s="1142"/>
      <c r="Y47" s="1142"/>
      <c r="Z47" s="1142"/>
      <c r="AA47" s="1142"/>
      <c r="AB47" s="1142"/>
      <c r="AC47" s="1142"/>
      <c r="AD47" s="164"/>
      <c r="AE47" s="277"/>
      <c r="AF47" s="271"/>
      <c r="AG47" s="271"/>
      <c r="AH47" s="271"/>
    </row>
    <row r="48" spans="1:34" ht="15.75" customHeight="1" x14ac:dyDescent="0.35">
      <c r="A48" s="10"/>
      <c r="B48" s="273"/>
      <c r="C48" s="49"/>
      <c r="D48" s="49"/>
      <c r="E48" s="49"/>
      <c r="F48" s="49"/>
      <c r="G48" s="49"/>
      <c r="H48" s="49"/>
      <c r="I48" s="49"/>
      <c r="J48" s="49"/>
      <c r="K48" s="49"/>
      <c r="L48" s="49"/>
      <c r="M48" s="49"/>
      <c r="N48" s="49"/>
      <c r="O48" s="283"/>
      <c r="P48" s="49"/>
      <c r="Q48" s="164"/>
      <c r="R48" s="164"/>
      <c r="S48" s="164"/>
      <c r="T48" s="164"/>
      <c r="AD48" s="164"/>
      <c r="AE48" s="277"/>
      <c r="AF48" s="271"/>
      <c r="AG48" s="271"/>
      <c r="AH48" s="271"/>
    </row>
    <row r="49" spans="1:34" ht="15.75" customHeight="1" x14ac:dyDescent="0.35">
      <c r="A49" s="10"/>
      <c r="B49" s="273"/>
      <c r="C49" s="49"/>
      <c r="D49" s="49"/>
      <c r="E49" s="49"/>
      <c r="F49" s="49"/>
      <c r="G49" s="49"/>
      <c r="H49" s="49"/>
      <c r="I49" s="49"/>
      <c r="J49" s="49"/>
      <c r="K49" s="49"/>
      <c r="L49" s="49"/>
      <c r="M49" s="49"/>
      <c r="N49" s="49"/>
      <c r="O49" s="283"/>
      <c r="P49" s="49"/>
      <c r="Q49" s="164"/>
      <c r="R49" s="164"/>
      <c r="S49" s="164"/>
      <c r="T49" s="164"/>
      <c r="AD49" s="164"/>
      <c r="AE49" s="277"/>
      <c r="AF49" s="271"/>
      <c r="AG49" s="271"/>
      <c r="AH49" s="271"/>
    </row>
    <row r="50" spans="1:34" ht="15.75" customHeight="1" x14ac:dyDescent="0.35">
      <c r="A50" s="10"/>
      <c r="B50" s="273"/>
      <c r="C50" s="49"/>
      <c r="D50" s="49"/>
      <c r="E50" s="49"/>
      <c r="F50" s="49"/>
      <c r="G50" s="49"/>
      <c r="H50" s="49"/>
      <c r="I50" s="49"/>
      <c r="J50" s="49"/>
      <c r="K50" s="49"/>
      <c r="L50" s="49"/>
      <c r="M50" s="49"/>
      <c r="N50" s="49"/>
      <c r="O50" s="283"/>
      <c r="P50" s="49"/>
      <c r="Q50" s="164"/>
      <c r="R50" s="164"/>
      <c r="S50" s="164"/>
      <c r="T50" s="164"/>
      <c r="AD50" s="164"/>
      <c r="AE50" s="277"/>
      <c r="AF50" s="271"/>
      <c r="AG50" s="271"/>
      <c r="AH50" s="271"/>
    </row>
    <row r="51" spans="1:34" ht="15.75" customHeight="1" x14ac:dyDescent="0.35">
      <c r="A51" s="10"/>
      <c r="B51" s="273"/>
      <c r="C51" s="49"/>
      <c r="D51" s="49"/>
      <c r="E51" s="49"/>
      <c r="F51" s="49"/>
      <c r="G51" s="49"/>
      <c r="H51" s="49"/>
      <c r="I51" s="49"/>
      <c r="J51" s="49"/>
      <c r="K51" s="49"/>
      <c r="L51" s="49"/>
      <c r="M51" s="49"/>
      <c r="N51" s="49"/>
      <c r="O51" s="283"/>
      <c r="P51" s="49"/>
      <c r="Q51" s="164"/>
      <c r="R51" s="164"/>
      <c r="AD51" s="164"/>
      <c r="AE51" s="277"/>
      <c r="AF51" s="271"/>
      <c r="AG51" s="271"/>
      <c r="AH51" s="271"/>
    </row>
    <row r="52" spans="1:34" ht="15.75" customHeight="1" x14ac:dyDescent="0.35">
      <c r="A52" s="10"/>
      <c r="B52" s="273"/>
      <c r="C52" s="49"/>
      <c r="D52" s="49"/>
      <c r="E52" s="49"/>
      <c r="F52" s="49"/>
      <c r="G52" s="49"/>
      <c r="H52" s="49"/>
      <c r="I52" s="49"/>
      <c r="J52" s="49"/>
      <c r="K52" s="49"/>
      <c r="L52" s="49"/>
      <c r="M52" s="49"/>
      <c r="N52" s="49"/>
      <c r="O52" s="283"/>
      <c r="P52" s="49"/>
      <c r="Q52" s="164"/>
      <c r="R52" s="164"/>
      <c r="AD52" s="164"/>
      <c r="AE52" s="277"/>
      <c r="AF52" s="271"/>
      <c r="AG52" s="271"/>
      <c r="AH52" s="271"/>
    </row>
    <row r="53" spans="1:34" ht="42.75" customHeight="1" x14ac:dyDescent="0.35">
      <c r="A53" s="10"/>
      <c r="B53" s="273"/>
      <c r="C53" s="49"/>
      <c r="D53" s="49"/>
      <c r="E53" s="49"/>
      <c r="F53" s="49"/>
      <c r="G53" s="49"/>
      <c r="H53" s="49"/>
      <c r="I53" s="49"/>
      <c r="J53" s="49"/>
      <c r="K53" s="49"/>
      <c r="L53" s="49"/>
      <c r="M53" s="49"/>
      <c r="N53" s="49"/>
      <c r="O53" s="283"/>
      <c r="P53" s="49"/>
      <c r="Q53" s="164"/>
      <c r="R53" s="164"/>
      <c r="S53" s="164"/>
      <c r="T53" s="164"/>
      <c r="AD53" s="164"/>
      <c r="AE53" s="277"/>
      <c r="AF53" s="271"/>
      <c r="AG53" s="271"/>
      <c r="AH53" s="271"/>
    </row>
    <row r="54" spans="1:34" ht="15.75" customHeight="1" x14ac:dyDescent="0.35">
      <c r="A54" s="10"/>
      <c r="B54" s="273"/>
      <c r="C54" s="49"/>
      <c r="D54" s="49"/>
      <c r="E54" s="49"/>
      <c r="F54" s="49"/>
      <c r="G54" s="49"/>
      <c r="H54" s="49"/>
      <c r="I54" s="49"/>
      <c r="J54" s="49"/>
      <c r="K54" s="49"/>
      <c r="L54" s="49"/>
      <c r="M54" s="49"/>
      <c r="N54" s="49"/>
      <c r="O54" s="283"/>
      <c r="P54" s="49"/>
      <c r="Q54" s="164"/>
      <c r="R54" s="164"/>
      <c r="S54" s="164"/>
      <c r="T54" s="164"/>
      <c r="U54" s="164"/>
      <c r="V54" s="164"/>
      <c r="W54" s="164"/>
      <c r="X54" s="164"/>
      <c r="Y54" s="164"/>
      <c r="Z54" s="164"/>
      <c r="AA54" s="164"/>
      <c r="AB54" s="164"/>
      <c r="AC54" s="164"/>
      <c r="AD54" s="164"/>
      <c r="AE54" s="277"/>
      <c r="AF54" s="271"/>
      <c r="AG54" s="271"/>
      <c r="AH54" s="271"/>
    </row>
    <row r="55" spans="1:34" x14ac:dyDescent="0.35">
      <c r="C55" s="49"/>
      <c r="D55" s="49"/>
      <c r="E55" s="278"/>
      <c r="F55" s="49"/>
      <c r="G55" s="49"/>
      <c r="H55" s="49"/>
      <c r="I55" s="49"/>
      <c r="J55" s="49"/>
      <c r="K55" s="49"/>
      <c r="L55" s="49"/>
      <c r="M55" s="49"/>
      <c r="N55" s="49"/>
      <c r="P55" s="49"/>
      <c r="Q55" s="49"/>
      <c r="R55" s="49"/>
      <c r="S55" s="49"/>
      <c r="T55" s="49"/>
      <c r="U55" s="49"/>
      <c r="V55" s="49"/>
      <c r="W55" s="49"/>
      <c r="X55" s="49"/>
      <c r="Y55" s="49"/>
      <c r="Z55" s="49"/>
      <c r="AA55" s="49"/>
      <c r="AB55" s="49"/>
      <c r="AC55" s="49"/>
      <c r="AD55" s="49"/>
      <c r="AE55" s="49"/>
    </row>
    <row r="56" spans="1:34" x14ac:dyDescent="0.35">
      <c r="B56" s="307" t="s">
        <v>352</v>
      </c>
      <c r="C56" s="49"/>
      <c r="D56" s="49"/>
      <c r="E56" s="49"/>
      <c r="F56" s="49"/>
      <c r="G56" s="49"/>
      <c r="H56" s="49"/>
      <c r="I56" s="49"/>
      <c r="J56" s="49"/>
      <c r="K56" s="49"/>
      <c r="L56" s="49"/>
      <c r="M56" s="49"/>
      <c r="N56" s="49"/>
      <c r="O56" s="49"/>
      <c r="P56" s="49"/>
      <c r="Q56" s="49"/>
      <c r="R56" s="49"/>
      <c r="S56" s="49"/>
      <c r="T56" s="49"/>
      <c r="U56" s="49"/>
      <c r="V56" s="49"/>
      <c r="W56" s="49"/>
      <c r="X56" s="49"/>
      <c r="Y56" s="49"/>
      <c r="Z56" s="49"/>
      <c r="AA56" s="49"/>
      <c r="AB56" s="49"/>
      <c r="AC56" s="49"/>
      <c r="AD56" s="49"/>
      <c r="AE56" s="49"/>
    </row>
    <row r="57" spans="1:34" ht="27" customHeight="1" x14ac:dyDescent="0.35">
      <c r="B57" s="1675" t="s">
        <v>353</v>
      </c>
      <c r="C57" s="1676"/>
      <c r="D57" s="1677"/>
      <c r="E57" s="1677"/>
      <c r="F57" s="1677"/>
      <c r="G57" s="1677"/>
      <c r="H57" s="1677"/>
      <c r="I57" s="1677"/>
      <c r="J57" s="1677"/>
      <c r="K57" s="1677"/>
      <c r="L57" s="1677"/>
      <c r="M57" s="1677"/>
      <c r="N57" s="1677"/>
      <c r="O57" s="1677"/>
      <c r="P57" s="1677"/>
      <c r="Q57" s="1677"/>
      <c r="R57" s="1677"/>
      <c r="S57" s="1677"/>
      <c r="T57" s="1677"/>
      <c r="U57" s="1677"/>
      <c r="V57" s="1677"/>
      <c r="W57" s="1677"/>
      <c r="X57" s="1677"/>
      <c r="Y57" s="1677"/>
      <c r="Z57" s="1677"/>
      <c r="AA57" s="1677"/>
      <c r="AB57" s="1677"/>
      <c r="AC57" s="1678"/>
      <c r="AD57" s="316" t="s">
        <v>335</v>
      </c>
      <c r="AE57" s="315"/>
    </row>
    <row r="58" spans="1:34" ht="17.899999999999999" customHeight="1" x14ac:dyDescent="0.35">
      <c r="B58" s="325" t="s">
        <v>354</v>
      </c>
      <c r="C58" s="49"/>
      <c r="D58" s="340"/>
      <c r="E58" s="328"/>
      <c r="F58" s="328"/>
      <c r="G58" s="328"/>
      <c r="H58" s="321"/>
      <c r="I58" s="321"/>
      <c r="J58" s="265">
        <f>SUM(J59:J61)</f>
        <v>692.8</v>
      </c>
      <c r="K58" s="265">
        <f t="shared" ref="K58:P58" si="16">SUM(K59:K61)</f>
        <v>39.200000000000003</v>
      </c>
      <c r="L58" s="265">
        <f t="shared" si="16"/>
        <v>29</v>
      </c>
      <c r="M58" s="265">
        <f t="shared" si="16"/>
        <v>27</v>
      </c>
      <c r="N58" s="265">
        <f t="shared" si="16"/>
        <v>18</v>
      </c>
      <c r="O58" s="265">
        <f t="shared" si="16"/>
        <v>0</v>
      </c>
      <c r="P58" s="341">
        <f t="shared" si="16"/>
        <v>0</v>
      </c>
      <c r="Q58" s="265"/>
      <c r="R58" s="265"/>
      <c r="S58" s="265"/>
      <c r="T58" s="319"/>
      <c r="U58" s="319"/>
      <c r="V58" s="319"/>
      <c r="W58" s="319"/>
      <c r="X58" s="319"/>
      <c r="Y58" s="319"/>
      <c r="Z58" s="319"/>
      <c r="AA58" s="319"/>
      <c r="AB58" s="319"/>
      <c r="AC58" s="302"/>
      <c r="AD58" s="246">
        <f t="shared" ref="AD58:AD72" si="17">SUM(I58:Y58)/4</f>
        <v>201.5</v>
      </c>
      <c r="AE58" s="1673" t="s">
        <v>355</v>
      </c>
      <c r="AF58" s="1674"/>
    </row>
    <row r="59" spans="1:34" x14ac:dyDescent="0.35">
      <c r="B59" s="275" t="s">
        <v>149</v>
      </c>
      <c r="C59" s="49"/>
      <c r="D59" s="231"/>
      <c r="E59" s="49"/>
      <c r="F59" s="49"/>
      <c r="G59" s="49"/>
      <c r="H59" s="50"/>
      <c r="I59" s="50"/>
      <c r="J59" s="252">
        <f>C79*4</f>
        <v>600</v>
      </c>
      <c r="K59" s="252"/>
      <c r="L59" s="252"/>
      <c r="M59" s="252"/>
      <c r="N59" s="252"/>
      <c r="O59" s="252"/>
      <c r="P59" s="254"/>
      <c r="Q59" s="252"/>
      <c r="R59" s="252"/>
      <c r="S59" s="252"/>
      <c r="T59" s="268"/>
      <c r="U59" s="268"/>
      <c r="V59" s="268"/>
      <c r="W59" s="268"/>
      <c r="X59" s="268"/>
      <c r="Y59" s="268"/>
      <c r="Z59" s="268"/>
      <c r="AA59" s="268"/>
      <c r="AB59" s="268"/>
      <c r="AC59" s="326"/>
      <c r="AD59" s="246">
        <f t="shared" si="17"/>
        <v>150</v>
      </c>
      <c r="AE59" s="252"/>
    </row>
    <row r="60" spans="1:34" ht="15" customHeight="1" x14ac:dyDescent="0.35">
      <c r="B60" s="275" t="s">
        <v>150</v>
      </c>
      <c r="C60" s="49"/>
      <c r="D60" s="231"/>
      <c r="E60" s="49"/>
      <c r="F60" s="49"/>
      <c r="G60" s="49"/>
      <c r="H60" s="50"/>
      <c r="I60" s="50"/>
      <c r="J60" s="252">
        <v>28.4</v>
      </c>
      <c r="K60" s="252">
        <v>15.8</v>
      </c>
      <c r="L60" s="252">
        <v>15.2</v>
      </c>
      <c r="M60" s="252">
        <v>10.9</v>
      </c>
      <c r="N60" s="252">
        <v>18</v>
      </c>
      <c r="O60" s="252"/>
      <c r="P60" s="254"/>
      <c r="Q60" s="252"/>
      <c r="R60" s="252"/>
      <c r="S60" s="252">
        <v>20</v>
      </c>
      <c r="T60" s="266">
        <v>10</v>
      </c>
      <c r="U60" s="268"/>
      <c r="V60" s="268"/>
      <c r="W60" s="268"/>
      <c r="X60" s="268"/>
      <c r="Y60" s="268"/>
      <c r="Z60" s="268"/>
      <c r="AA60" s="268"/>
      <c r="AB60" s="268"/>
      <c r="AC60" s="326"/>
      <c r="AD60" s="246">
        <f t="shared" si="17"/>
        <v>29.575000000000003</v>
      </c>
      <c r="AE60" s="252"/>
    </row>
    <row r="61" spans="1:34" x14ac:dyDescent="0.35">
      <c r="B61" s="275" t="s">
        <v>152</v>
      </c>
      <c r="C61" s="49"/>
      <c r="D61" s="231"/>
      <c r="E61" s="49"/>
      <c r="F61" s="49"/>
      <c r="G61" s="49"/>
      <c r="H61" s="50"/>
      <c r="I61" s="50"/>
      <c r="J61" s="162">
        <v>64.400000000000006</v>
      </c>
      <c r="K61" s="162">
        <v>23.4</v>
      </c>
      <c r="L61" s="162">
        <v>13.8</v>
      </c>
      <c r="M61" s="162">
        <v>16.100000000000001</v>
      </c>
      <c r="N61" s="252"/>
      <c r="O61" s="252"/>
      <c r="P61" s="254"/>
      <c r="Q61" s="252"/>
      <c r="R61" s="252"/>
      <c r="S61" s="252"/>
      <c r="T61" s="268"/>
      <c r="U61" s="268"/>
      <c r="V61" s="268"/>
      <c r="W61" s="268"/>
      <c r="X61" s="268"/>
      <c r="Y61" s="268"/>
      <c r="Z61" s="268"/>
      <c r="AA61" s="268"/>
      <c r="AB61" s="268"/>
      <c r="AC61" s="326"/>
      <c r="AD61" s="246">
        <f t="shared" si="17"/>
        <v>29.425000000000004</v>
      </c>
      <c r="AE61" s="252"/>
    </row>
    <row r="62" spans="1:34" ht="16.5" customHeight="1" x14ac:dyDescent="0.35">
      <c r="B62" s="325" t="s">
        <v>356</v>
      </c>
      <c r="C62" s="49"/>
      <c r="D62" s="231"/>
      <c r="E62" s="49"/>
      <c r="F62" s="49"/>
      <c r="G62" s="49"/>
      <c r="H62" s="50"/>
      <c r="I62" s="50"/>
      <c r="J62" s="50"/>
      <c r="K62" s="50"/>
      <c r="L62" s="50"/>
      <c r="M62" s="252">
        <f>SUM(M63:M67)</f>
        <v>43</v>
      </c>
      <c r="N62" s="252">
        <f t="shared" ref="N62:AC62" si="18">SUM(N63:N67)</f>
        <v>70</v>
      </c>
      <c r="O62" s="252">
        <f t="shared" si="18"/>
        <v>59.999999999999964</v>
      </c>
      <c r="P62" s="254">
        <f t="shared" si="18"/>
        <v>50</v>
      </c>
      <c r="Q62" s="252">
        <f t="shared" si="18"/>
        <v>44.999999999999964</v>
      </c>
      <c r="R62" s="252">
        <f t="shared" si="18"/>
        <v>44.999999999999964</v>
      </c>
      <c r="S62" s="252">
        <f t="shared" si="18"/>
        <v>44.999999999999964</v>
      </c>
      <c r="T62" s="268">
        <f t="shared" si="18"/>
        <v>44.999999999999964</v>
      </c>
      <c r="U62" s="268">
        <f t="shared" si="18"/>
        <v>44.999999999999964</v>
      </c>
      <c r="V62" s="268">
        <f t="shared" si="18"/>
        <v>44.999999999999964</v>
      </c>
      <c r="W62" s="268">
        <f t="shared" si="18"/>
        <v>44.999999999999964</v>
      </c>
      <c r="X62" s="268">
        <f t="shared" si="18"/>
        <v>44.999999999999964</v>
      </c>
      <c r="Y62" s="268">
        <f t="shared" si="18"/>
        <v>19</v>
      </c>
      <c r="Z62" s="268">
        <f t="shared" si="18"/>
        <v>0</v>
      </c>
      <c r="AA62" s="268">
        <f t="shared" si="18"/>
        <v>0</v>
      </c>
      <c r="AB62" s="268">
        <f t="shared" si="18"/>
        <v>0</v>
      </c>
      <c r="AC62" s="326">
        <f t="shared" si="18"/>
        <v>0</v>
      </c>
      <c r="AD62" s="246">
        <f t="shared" si="17"/>
        <v>150.49999999999991</v>
      </c>
      <c r="AE62" s="1673" t="s">
        <v>357</v>
      </c>
      <c r="AF62" s="1674"/>
    </row>
    <row r="63" spans="1:34" x14ac:dyDescent="0.35">
      <c r="B63" s="275" t="s">
        <v>343</v>
      </c>
      <c r="C63" s="49"/>
      <c r="D63" s="231"/>
      <c r="E63" s="49"/>
      <c r="F63" s="49"/>
      <c r="G63" s="49"/>
      <c r="H63" s="50"/>
      <c r="I63" s="50"/>
      <c r="J63" s="50"/>
      <c r="K63" s="50"/>
      <c r="L63" s="50"/>
      <c r="M63" s="252">
        <f>C82/12*4</f>
        <v>9.6666666666666661</v>
      </c>
      <c r="N63" s="252">
        <f>M63</f>
        <v>9.6666666666666661</v>
      </c>
      <c r="O63" s="252">
        <f t="shared" ref="O63:X63" si="19">N63</f>
        <v>9.6666666666666661</v>
      </c>
      <c r="P63" s="254">
        <f t="shared" si="19"/>
        <v>9.6666666666666661</v>
      </c>
      <c r="Q63" s="252">
        <f t="shared" si="19"/>
        <v>9.6666666666666661</v>
      </c>
      <c r="R63" s="252">
        <f t="shared" si="19"/>
        <v>9.6666666666666661</v>
      </c>
      <c r="S63" s="252">
        <f t="shared" si="19"/>
        <v>9.6666666666666661</v>
      </c>
      <c r="T63" s="268">
        <f t="shared" si="19"/>
        <v>9.6666666666666661</v>
      </c>
      <c r="U63" s="268">
        <f t="shared" si="19"/>
        <v>9.6666666666666661</v>
      </c>
      <c r="V63" s="268">
        <f t="shared" si="19"/>
        <v>9.6666666666666661</v>
      </c>
      <c r="W63" s="268">
        <f t="shared" si="19"/>
        <v>9.6666666666666661</v>
      </c>
      <c r="X63" s="268">
        <f t="shared" si="19"/>
        <v>9.6666666666666661</v>
      </c>
      <c r="Y63" s="267"/>
      <c r="Z63" s="267"/>
      <c r="AA63" s="267"/>
      <c r="AB63" s="267"/>
      <c r="AC63" s="327"/>
      <c r="AD63" s="246">
        <f t="shared" si="17"/>
        <v>29.000000000000004</v>
      </c>
      <c r="AE63" s="1673"/>
      <c r="AF63" s="1674"/>
    </row>
    <row r="64" spans="1:34" ht="41.9" customHeight="1" x14ac:dyDescent="0.35">
      <c r="B64" s="275" t="s">
        <v>150</v>
      </c>
      <c r="C64" s="49"/>
      <c r="D64" s="231"/>
      <c r="E64" s="49"/>
      <c r="F64" s="49"/>
      <c r="G64" s="49"/>
      <c r="H64" s="50"/>
      <c r="I64" s="50"/>
      <c r="J64" s="50"/>
      <c r="K64" s="50"/>
      <c r="L64" s="50"/>
      <c r="M64" s="303">
        <f>C93/12*4 - 7</f>
        <v>20.333333333333332</v>
      </c>
      <c r="N64" s="303">
        <f>C93/12*4 + 20</f>
        <v>47.333333333333329</v>
      </c>
      <c r="O64" s="303">
        <v>37.3333333333333</v>
      </c>
      <c r="P64" s="342">
        <v>27.333333333333332</v>
      </c>
      <c r="Q64" s="303">
        <v>22.3333333333333</v>
      </c>
      <c r="R64" s="303">
        <v>22.3333333333333</v>
      </c>
      <c r="S64" s="303">
        <v>22.3333333333333</v>
      </c>
      <c r="T64" s="330">
        <v>22.3333333333333</v>
      </c>
      <c r="U64" s="330">
        <v>22.3333333333333</v>
      </c>
      <c r="V64" s="330">
        <v>22.3333333333333</v>
      </c>
      <c r="W64" s="330">
        <v>22.3333333333333</v>
      </c>
      <c r="X64" s="330">
        <v>22.3333333333333</v>
      </c>
      <c r="Y64" s="330">
        <v>19</v>
      </c>
      <c r="Z64" s="330"/>
      <c r="AA64" s="330"/>
      <c r="AB64" s="330"/>
      <c r="AC64" s="331"/>
      <c r="AD64" s="246">
        <f>SUM(I64:Y64)/4</f>
        <v>82.499999999999943</v>
      </c>
      <c r="AE64" s="336" t="s">
        <v>358</v>
      </c>
    </row>
    <row r="65" spans="1:88" x14ac:dyDescent="0.35">
      <c r="B65" s="275" t="s">
        <v>152</v>
      </c>
      <c r="C65" s="49"/>
      <c r="D65" s="231"/>
      <c r="E65" s="49"/>
      <c r="F65" s="49"/>
      <c r="G65" s="49"/>
      <c r="H65" s="50"/>
      <c r="I65" s="50"/>
      <c r="J65" s="50"/>
      <c r="K65" s="50"/>
      <c r="L65" s="50"/>
      <c r="M65" s="252">
        <f>C94/12*4</f>
        <v>1</v>
      </c>
      <c r="N65" s="252">
        <f>C94/12*4</f>
        <v>1</v>
      </c>
      <c r="O65" s="252">
        <f t="shared" ref="O65:X65" si="20">$C$94/12*4</f>
        <v>1</v>
      </c>
      <c r="P65" s="254">
        <f t="shared" si="20"/>
        <v>1</v>
      </c>
      <c r="Q65" s="252">
        <f t="shared" si="20"/>
        <v>1</v>
      </c>
      <c r="R65" s="252">
        <f t="shared" si="20"/>
        <v>1</v>
      </c>
      <c r="S65" s="252">
        <f t="shared" si="20"/>
        <v>1</v>
      </c>
      <c r="T65" s="268">
        <f t="shared" si="20"/>
        <v>1</v>
      </c>
      <c r="U65" s="268">
        <f t="shared" si="20"/>
        <v>1</v>
      </c>
      <c r="V65" s="268">
        <f t="shared" si="20"/>
        <v>1</v>
      </c>
      <c r="W65" s="268">
        <f t="shared" si="20"/>
        <v>1</v>
      </c>
      <c r="X65" s="268">
        <f t="shared" si="20"/>
        <v>1</v>
      </c>
      <c r="Y65" s="267"/>
      <c r="Z65" s="267"/>
      <c r="AA65" s="267"/>
      <c r="AB65" s="267"/>
      <c r="AC65" s="327"/>
      <c r="AD65" s="246">
        <f t="shared" si="17"/>
        <v>3</v>
      </c>
      <c r="AE65" s="50"/>
    </row>
    <row r="66" spans="1:88" ht="13.4" customHeight="1" x14ac:dyDescent="0.35">
      <c r="B66" s="275" t="s">
        <v>359</v>
      </c>
      <c r="C66" s="49"/>
      <c r="D66" s="231"/>
      <c r="E66" s="49"/>
      <c r="F66" s="49"/>
      <c r="G66" s="49"/>
      <c r="H66" s="50"/>
      <c r="I66" s="50"/>
      <c r="J66" s="50"/>
      <c r="K66" s="50"/>
      <c r="L66" s="50"/>
      <c r="M66" s="252">
        <f t="shared" ref="M66:X66" si="21">$C$95/12*4</f>
        <v>11.333333333333334</v>
      </c>
      <c r="N66" s="252">
        <f t="shared" si="21"/>
        <v>11.333333333333334</v>
      </c>
      <c r="O66" s="252">
        <f t="shared" si="21"/>
        <v>11.333333333333334</v>
      </c>
      <c r="P66" s="254">
        <f t="shared" si="21"/>
        <v>11.333333333333334</v>
      </c>
      <c r="Q66" s="252">
        <f t="shared" si="21"/>
        <v>11.333333333333334</v>
      </c>
      <c r="R66" s="252">
        <f t="shared" si="21"/>
        <v>11.333333333333334</v>
      </c>
      <c r="S66" s="252">
        <f t="shared" si="21"/>
        <v>11.333333333333334</v>
      </c>
      <c r="T66" s="268">
        <f t="shared" si="21"/>
        <v>11.333333333333334</v>
      </c>
      <c r="U66" s="268">
        <f t="shared" si="21"/>
        <v>11.333333333333334</v>
      </c>
      <c r="V66" s="268">
        <f t="shared" si="21"/>
        <v>11.333333333333334</v>
      </c>
      <c r="W66" s="268">
        <f t="shared" si="21"/>
        <v>11.333333333333334</v>
      </c>
      <c r="X66" s="268">
        <f t="shared" si="21"/>
        <v>11.333333333333334</v>
      </c>
      <c r="Y66" s="267"/>
      <c r="Z66" s="267"/>
      <c r="AA66" s="267"/>
      <c r="AB66" s="267"/>
      <c r="AC66" s="327"/>
      <c r="AD66" s="246">
        <f t="shared" si="17"/>
        <v>33.999999999999993</v>
      </c>
      <c r="AE66" s="50"/>
    </row>
    <row r="67" spans="1:88" ht="29.25" customHeight="1" x14ac:dyDescent="0.35">
      <c r="B67" s="275" t="s">
        <v>360</v>
      </c>
      <c r="C67" s="49"/>
      <c r="D67" s="231"/>
      <c r="E67" s="49"/>
      <c r="F67" s="49"/>
      <c r="G67" s="49"/>
      <c r="H67" s="50"/>
      <c r="I67" s="50"/>
      <c r="J67" s="50"/>
      <c r="K67" s="50"/>
      <c r="L67" s="50"/>
      <c r="M67" s="252">
        <f t="shared" ref="M67:X67" si="22">$C$96/12*4</f>
        <v>0.66666666666666663</v>
      </c>
      <c r="N67" s="252">
        <f t="shared" si="22"/>
        <v>0.66666666666666663</v>
      </c>
      <c r="O67" s="252">
        <f t="shared" si="22"/>
        <v>0.66666666666666663</v>
      </c>
      <c r="P67" s="254">
        <f t="shared" si="22"/>
        <v>0.66666666666666663</v>
      </c>
      <c r="Q67" s="252">
        <f t="shared" si="22"/>
        <v>0.66666666666666663</v>
      </c>
      <c r="R67" s="252">
        <f t="shared" si="22"/>
        <v>0.66666666666666663</v>
      </c>
      <c r="S67" s="252">
        <f t="shared" si="22"/>
        <v>0.66666666666666663</v>
      </c>
      <c r="T67" s="268">
        <f t="shared" si="22"/>
        <v>0.66666666666666663</v>
      </c>
      <c r="U67" s="268">
        <f t="shared" si="22"/>
        <v>0.66666666666666663</v>
      </c>
      <c r="V67" s="268">
        <f t="shared" si="22"/>
        <v>0.66666666666666663</v>
      </c>
      <c r="W67" s="268">
        <f t="shared" si="22"/>
        <v>0.66666666666666663</v>
      </c>
      <c r="X67" s="268">
        <f t="shared" si="22"/>
        <v>0.66666666666666663</v>
      </c>
      <c r="Y67" s="267"/>
      <c r="Z67" s="267"/>
      <c r="AA67" s="267"/>
      <c r="AB67" s="267"/>
      <c r="AC67" s="327"/>
      <c r="AD67" s="246">
        <f t="shared" si="17"/>
        <v>2</v>
      </c>
      <c r="AE67" s="50"/>
    </row>
    <row r="68" spans="1:88" ht="44.25" customHeight="1" x14ac:dyDescent="0.35">
      <c r="B68" s="325" t="s">
        <v>361</v>
      </c>
      <c r="C68" s="49"/>
      <c r="D68" s="231"/>
      <c r="E68" s="49"/>
      <c r="F68" s="49"/>
      <c r="G68" s="49"/>
      <c r="H68" s="50"/>
      <c r="I68" s="50"/>
      <c r="J68" s="50"/>
      <c r="K68" s="50"/>
      <c r="L68" s="50"/>
      <c r="M68" s="252"/>
      <c r="N68" s="252">
        <f t="shared" ref="N68:AC68" si="23">SUM(N69:N73)</f>
        <v>954.03959999999972</v>
      </c>
      <c r="O68" s="252">
        <f t="shared" si="23"/>
        <v>85.500399999999999</v>
      </c>
      <c r="P68" s="254">
        <f t="shared" si="23"/>
        <v>83.481000000000009</v>
      </c>
      <c r="Q68" s="252">
        <f t="shared" si="23"/>
        <v>662.76099999999997</v>
      </c>
      <c r="R68" s="252">
        <f t="shared" si="23"/>
        <v>83.481000000000009</v>
      </c>
      <c r="S68" s="252">
        <f t="shared" si="23"/>
        <v>83.481000000000009</v>
      </c>
      <c r="T68" s="268">
        <f t="shared" si="23"/>
        <v>62.811999999999998</v>
      </c>
      <c r="U68" s="268">
        <f t="shared" si="23"/>
        <v>62.811999999999998</v>
      </c>
      <c r="V68" s="268">
        <f t="shared" si="23"/>
        <v>62.811999999999998</v>
      </c>
      <c r="W68" s="268">
        <f t="shared" si="23"/>
        <v>62.811999999999998</v>
      </c>
      <c r="X68" s="268">
        <f t="shared" si="23"/>
        <v>41.554000000000002</v>
      </c>
      <c r="Y68" s="268">
        <f t="shared" si="23"/>
        <v>41.554000000000002</v>
      </c>
      <c r="Z68" s="268">
        <f t="shared" si="23"/>
        <v>41.554000000000002</v>
      </c>
      <c r="AA68" s="268">
        <f t="shared" si="23"/>
        <v>41.554000000000002</v>
      </c>
      <c r="AB68" s="268">
        <f t="shared" si="23"/>
        <v>27.678000000000001</v>
      </c>
      <c r="AC68" s="326">
        <f t="shared" si="23"/>
        <v>27.678000000000001</v>
      </c>
      <c r="AD68" s="246">
        <f t="shared" si="17"/>
        <v>571.77499999999986</v>
      </c>
      <c r="AE68" s="1673" t="s">
        <v>362</v>
      </c>
      <c r="AF68" s="1674"/>
    </row>
    <row r="69" spans="1:88" ht="17.899999999999999" customHeight="1" x14ac:dyDescent="0.35">
      <c r="B69" s="275" t="s">
        <v>348</v>
      </c>
      <c r="C69" s="49"/>
      <c r="D69" s="231"/>
      <c r="E69" s="49"/>
      <c r="F69" s="49"/>
      <c r="G69" s="49"/>
      <c r="H69" s="50"/>
      <c r="I69" s="50"/>
      <c r="J69" s="50"/>
      <c r="K69" s="50"/>
      <c r="L69" s="50"/>
      <c r="M69" s="252"/>
      <c r="N69" s="252">
        <f>0.6*C98*4</f>
        <v>868.91999999999985</v>
      </c>
      <c r="O69" s="252"/>
      <c r="P69" s="254"/>
      <c r="Q69" s="252">
        <f>0.4*C98*4</f>
        <v>579.28</v>
      </c>
      <c r="R69" s="252"/>
      <c r="S69" s="252"/>
      <c r="T69" s="268"/>
      <c r="U69" s="268"/>
      <c r="V69" s="268"/>
      <c r="W69" s="268"/>
      <c r="X69" s="268"/>
      <c r="Y69" s="268"/>
      <c r="Z69" s="268"/>
      <c r="AA69" s="268"/>
      <c r="AB69" s="268"/>
      <c r="AC69" s="326"/>
      <c r="AD69" s="246">
        <f t="shared" si="17"/>
        <v>362.04999999999995</v>
      </c>
      <c r="AE69" s="296" t="s">
        <v>363</v>
      </c>
      <c r="AF69" s="296"/>
    </row>
    <row r="70" spans="1:88" x14ac:dyDescent="0.35">
      <c r="B70" s="275" t="s">
        <v>150</v>
      </c>
      <c r="C70" s="49"/>
      <c r="D70" s="231"/>
      <c r="E70" s="49"/>
      <c r="F70" s="49"/>
      <c r="G70" s="49"/>
      <c r="H70" s="50"/>
      <c r="I70" s="50"/>
      <c r="J70" s="50"/>
      <c r="K70" s="50"/>
      <c r="L70" s="50"/>
      <c r="M70" s="252"/>
      <c r="N70" s="252">
        <f>'ARP Quarterly'!D9</f>
        <v>24.693999999999999</v>
      </c>
      <c r="O70" s="252">
        <f>'ARP Quarterly'!E9</f>
        <v>24.693999999999999</v>
      </c>
      <c r="P70" s="254">
        <f>'ARP Quarterly'!F9</f>
        <v>46.79</v>
      </c>
      <c r="Q70" s="252">
        <f>'ARP Quarterly'!G9</f>
        <v>46.79</v>
      </c>
      <c r="R70" s="252">
        <f>'ARP Quarterly'!H9</f>
        <v>46.79</v>
      </c>
      <c r="S70" s="252">
        <f>'ARP Quarterly'!I9</f>
        <v>46.79</v>
      </c>
      <c r="T70" s="268">
        <f>'ARP Quarterly'!J9</f>
        <v>38.595999999999997</v>
      </c>
      <c r="U70" s="268">
        <f>'ARP Quarterly'!K9</f>
        <v>38.595999999999997</v>
      </c>
      <c r="V70" s="268">
        <f>'ARP Quarterly'!L9</f>
        <v>38.595999999999997</v>
      </c>
      <c r="W70" s="268">
        <f>'ARP Quarterly'!M9</f>
        <v>38.595999999999997</v>
      </c>
      <c r="X70" s="268">
        <f>'ARP Quarterly'!N9</f>
        <v>31.911000000000001</v>
      </c>
      <c r="Y70" s="268">
        <f>'ARP Quarterly'!O9</f>
        <v>31.911000000000001</v>
      </c>
      <c r="Z70" s="268">
        <f>'ARP Quarterly'!P9</f>
        <v>31.911000000000001</v>
      </c>
      <c r="AA70" s="268">
        <f>'ARP Quarterly'!Q9</f>
        <v>31.911000000000001</v>
      </c>
      <c r="AB70" s="268">
        <f>'ARP Quarterly'!R9</f>
        <v>23.099</v>
      </c>
      <c r="AC70" s="326">
        <f>'ARP Quarterly'!S9</f>
        <v>23.099</v>
      </c>
      <c r="AD70" s="246">
        <f t="shared" si="17"/>
        <v>113.68849999999999</v>
      </c>
      <c r="AE70" s="252"/>
    </row>
    <row r="71" spans="1:88" x14ac:dyDescent="0.35">
      <c r="B71" s="275" t="s">
        <v>152</v>
      </c>
      <c r="C71" s="49"/>
      <c r="D71" s="231"/>
      <c r="E71" s="49"/>
      <c r="F71" s="49"/>
      <c r="G71" s="49"/>
      <c r="H71" s="50"/>
      <c r="I71" s="50"/>
      <c r="J71" s="50"/>
      <c r="K71" s="50"/>
      <c r="L71" s="50"/>
      <c r="M71" s="252"/>
      <c r="N71" s="252">
        <f>'ARP Quarterly'!D14</f>
        <v>1.1696</v>
      </c>
      <c r="O71" s="252">
        <f>'ARP Quarterly'!E14</f>
        <v>1.5503999999999998</v>
      </c>
      <c r="P71" s="254">
        <f>'ARP Quarterly'!F14</f>
        <v>1.02</v>
      </c>
      <c r="Q71" s="252">
        <f>'ARP Quarterly'!G14</f>
        <v>1.02</v>
      </c>
      <c r="R71" s="252">
        <f>'ARP Quarterly'!H14</f>
        <v>1.02</v>
      </c>
      <c r="S71" s="252">
        <f>'ARP Quarterly'!I14</f>
        <v>1.02</v>
      </c>
      <c r="T71" s="268">
        <f>'ARP Quarterly'!J14</f>
        <v>0</v>
      </c>
      <c r="U71" s="268">
        <f>'ARP Quarterly'!K14</f>
        <v>0</v>
      </c>
      <c r="V71" s="268">
        <f>'ARP Quarterly'!L14</f>
        <v>0</v>
      </c>
      <c r="W71" s="268">
        <f>'ARP Quarterly'!M14</f>
        <v>0</v>
      </c>
      <c r="X71" s="268">
        <f>'ARP Quarterly'!N14</f>
        <v>0</v>
      </c>
      <c r="Y71" s="268">
        <f>'ARP Quarterly'!O14</f>
        <v>0</v>
      </c>
      <c r="Z71" s="268">
        <f>'ARP Quarterly'!P14</f>
        <v>0</v>
      </c>
      <c r="AA71" s="268">
        <f>'ARP Quarterly'!Q14</f>
        <v>0</v>
      </c>
      <c r="AB71" s="268">
        <f>'ARP Quarterly'!R14</f>
        <v>0</v>
      </c>
      <c r="AC71" s="326">
        <f>'ARP Quarterly'!S14</f>
        <v>0</v>
      </c>
      <c r="AD71" s="246">
        <f t="shared" si="17"/>
        <v>1.6999999999999997</v>
      </c>
      <c r="AE71" s="252"/>
    </row>
    <row r="72" spans="1:88" x14ac:dyDescent="0.35">
      <c r="B72" s="275" t="s">
        <v>364</v>
      </c>
      <c r="C72" s="49"/>
      <c r="D72" s="231"/>
      <c r="E72" s="49"/>
      <c r="F72" s="49"/>
      <c r="G72" s="49"/>
      <c r="H72" s="50"/>
      <c r="I72" s="50"/>
      <c r="J72" s="50"/>
      <c r="K72" s="50"/>
      <c r="L72" s="50"/>
      <c r="M72" s="252"/>
      <c r="N72" s="252">
        <f>'ARP Quarterly'!D10</f>
        <v>59.256</v>
      </c>
      <c r="O72" s="252">
        <f>'ARP Quarterly'!E10</f>
        <v>59.256</v>
      </c>
      <c r="P72" s="254">
        <f>'ARP Quarterly'!F10</f>
        <v>35.671000000000006</v>
      </c>
      <c r="Q72" s="252">
        <f>'ARP Quarterly'!G10</f>
        <v>35.671000000000006</v>
      </c>
      <c r="R72" s="252">
        <f>'ARP Quarterly'!H10</f>
        <v>35.671000000000006</v>
      </c>
      <c r="S72" s="252">
        <f>'ARP Quarterly'!I10</f>
        <v>35.671000000000006</v>
      </c>
      <c r="T72" s="268">
        <f>'ARP Quarterly'!J10</f>
        <v>24.216000000000001</v>
      </c>
      <c r="U72" s="268">
        <f>'ARP Quarterly'!K10</f>
        <v>24.216000000000001</v>
      </c>
      <c r="V72" s="268">
        <f>'ARP Quarterly'!L10</f>
        <v>24.216000000000001</v>
      </c>
      <c r="W72" s="268">
        <f>'ARP Quarterly'!M10</f>
        <v>24.216000000000001</v>
      </c>
      <c r="X72" s="268">
        <f>'ARP Quarterly'!N10</f>
        <v>9.6430000000000007</v>
      </c>
      <c r="Y72" s="268">
        <f>'ARP Quarterly'!O10</f>
        <v>9.6430000000000007</v>
      </c>
      <c r="Z72" s="268">
        <f>'ARP Quarterly'!P10</f>
        <v>9.6430000000000007</v>
      </c>
      <c r="AA72" s="268">
        <f>'ARP Quarterly'!Q10</f>
        <v>9.6430000000000007</v>
      </c>
      <c r="AB72" s="268">
        <f>'ARP Quarterly'!R10</f>
        <v>4.5789999999999997</v>
      </c>
      <c r="AC72" s="326">
        <f>'ARP Quarterly'!S10</f>
        <v>4.5789999999999997</v>
      </c>
      <c r="AD72" s="246">
        <f t="shared" si="17"/>
        <v>94.336500000000001</v>
      </c>
      <c r="AE72" s="252"/>
    </row>
    <row r="73" spans="1:88" x14ac:dyDescent="0.35">
      <c r="A73" s="10"/>
      <c r="B73" s="291"/>
      <c r="C73" s="288"/>
      <c r="D73" s="286"/>
      <c r="E73" s="288"/>
      <c r="F73" s="288"/>
      <c r="G73" s="288"/>
      <c r="H73" s="293"/>
      <c r="I73" s="293"/>
      <c r="J73" s="293"/>
      <c r="K73" s="293"/>
      <c r="L73" s="293"/>
      <c r="M73" s="304"/>
      <c r="N73" s="304"/>
      <c r="O73" s="304"/>
      <c r="P73" s="317"/>
      <c r="Q73" s="304"/>
      <c r="R73" s="304"/>
      <c r="S73" s="304"/>
      <c r="T73" s="297"/>
      <c r="U73" s="297"/>
      <c r="V73" s="297"/>
      <c r="W73" s="297"/>
      <c r="X73" s="297"/>
      <c r="Y73" s="297"/>
      <c r="Z73" s="297"/>
      <c r="AA73" s="297"/>
      <c r="AB73" s="297"/>
      <c r="AC73" s="298"/>
      <c r="AD73" s="317"/>
      <c r="AE73" s="252"/>
      <c r="AF73" s="10"/>
      <c r="AG73" s="10"/>
      <c r="AH73" s="10"/>
      <c r="AI73" s="10"/>
      <c r="AJ73" s="10"/>
      <c r="AK73" s="10"/>
      <c r="AL73" s="10"/>
      <c r="AM73" s="10"/>
      <c r="AN73" s="10"/>
      <c r="AO73" s="10"/>
      <c r="AP73" s="10"/>
      <c r="AQ73" s="10"/>
      <c r="AR73" s="10"/>
      <c r="AS73" s="10"/>
      <c r="AT73" s="10"/>
      <c r="AU73" s="10"/>
      <c r="AV73" s="10"/>
      <c r="AW73" s="10"/>
      <c r="AX73" s="10"/>
      <c r="AY73" s="10"/>
      <c r="AZ73" s="10"/>
      <c r="BA73" s="10"/>
      <c r="BB73" s="10"/>
      <c r="BC73" s="10"/>
      <c r="BD73" s="10"/>
      <c r="BE73" s="10"/>
      <c r="BF73" s="10"/>
      <c r="BG73" s="10"/>
      <c r="BH73" s="10"/>
      <c r="BI73" s="10"/>
      <c r="BJ73" s="10"/>
      <c r="BK73" s="10"/>
      <c r="BL73" s="10"/>
      <c r="BM73" s="10"/>
      <c r="BN73" s="10"/>
      <c r="BO73" s="10"/>
      <c r="BP73" s="10"/>
      <c r="BQ73" s="10"/>
      <c r="BR73" s="10"/>
      <c r="BS73" s="10"/>
      <c r="BT73" s="10"/>
      <c r="BU73" s="10"/>
      <c r="BV73" s="10"/>
      <c r="BW73" s="10"/>
      <c r="BX73" s="10"/>
      <c r="BY73" s="10"/>
      <c r="BZ73" s="10"/>
      <c r="CA73" s="10"/>
      <c r="CB73" s="10"/>
      <c r="CC73" s="10"/>
      <c r="CD73" s="10"/>
      <c r="CE73" s="10"/>
      <c r="CF73" s="10"/>
      <c r="CG73" s="10"/>
      <c r="CH73" s="10"/>
      <c r="CI73" s="10"/>
      <c r="CJ73" s="10"/>
    </row>
    <row r="74" spans="1:88" x14ac:dyDescent="0.35">
      <c r="B74" s="273"/>
      <c r="C74" s="49"/>
      <c r="D74" s="49"/>
      <c r="E74" s="49"/>
      <c r="F74" s="49"/>
      <c r="G74" s="49"/>
      <c r="H74" s="49"/>
      <c r="I74" s="49"/>
      <c r="J74" s="49"/>
      <c r="K74" s="49"/>
      <c r="L74" s="49"/>
      <c r="M74" s="49"/>
      <c r="N74" s="49"/>
      <c r="O74" s="49"/>
      <c r="P74" s="49"/>
      <c r="Q74" s="49"/>
      <c r="R74" s="49"/>
      <c r="S74" s="49"/>
      <c r="T74" s="49"/>
      <c r="U74" s="49"/>
      <c r="V74" s="49"/>
      <c r="W74" s="49"/>
      <c r="X74" s="49"/>
      <c r="Y74" s="49"/>
      <c r="Z74" s="49"/>
      <c r="AA74" s="49"/>
      <c r="AB74" s="49"/>
      <c r="AC74" s="49"/>
      <c r="AD74" s="49"/>
      <c r="AE74" s="49"/>
    </row>
    <row r="75" spans="1:88" x14ac:dyDescent="0.35">
      <c r="B75" s="273"/>
      <c r="C75" s="49"/>
      <c r="D75" s="49"/>
      <c r="E75" s="49"/>
      <c r="F75" s="49"/>
      <c r="G75" s="49"/>
      <c r="H75" s="49"/>
      <c r="I75" s="49"/>
      <c r="J75" s="49"/>
      <c r="K75" s="49"/>
      <c r="L75" s="49"/>
      <c r="M75" s="49"/>
      <c r="N75" s="49"/>
      <c r="O75" s="49"/>
      <c r="P75" s="49"/>
      <c r="Q75" s="49"/>
      <c r="R75" s="49"/>
      <c r="S75" s="49"/>
      <c r="T75" s="49"/>
      <c r="U75" s="49"/>
      <c r="V75" s="49"/>
      <c r="W75" s="49"/>
      <c r="X75" s="49"/>
      <c r="Y75" s="49"/>
      <c r="Z75" s="49"/>
      <c r="AA75" s="49"/>
      <c r="AB75" s="49"/>
      <c r="AC75" s="49"/>
      <c r="AD75" s="49"/>
      <c r="AE75" s="49"/>
    </row>
    <row r="76" spans="1:88" ht="17.899999999999999" customHeight="1" x14ac:dyDescent="0.35">
      <c r="B76" s="299" t="s">
        <v>365</v>
      </c>
      <c r="H76" s="50"/>
      <c r="I76" s="50"/>
      <c r="J76" s="50"/>
      <c r="K76" s="50"/>
      <c r="L76" s="50"/>
      <c r="M76" s="50"/>
      <c r="N76" s="50"/>
      <c r="O76" s="50"/>
      <c r="P76" s="50"/>
      <c r="Q76" s="50"/>
      <c r="R76" s="50"/>
      <c r="S76" s="50"/>
      <c r="T76" s="50"/>
      <c r="U76" s="50"/>
      <c r="V76" s="50"/>
      <c r="W76" s="50"/>
      <c r="X76" s="50"/>
      <c r="Y76" s="50"/>
      <c r="Z76" s="50"/>
      <c r="AA76" s="50"/>
      <c r="AB76" s="50"/>
      <c r="AC76" s="50"/>
      <c r="AD76" s="50"/>
      <c r="AE76" s="50"/>
    </row>
    <row r="77" spans="1:88" ht="29.9" customHeight="1" x14ac:dyDescent="0.35">
      <c r="B77" s="333" t="s">
        <v>366</v>
      </c>
      <c r="C77" s="334" t="s">
        <v>367</v>
      </c>
      <c r="D77" s="335" t="s">
        <v>368</v>
      </c>
      <c r="E77" s="311" t="s">
        <v>369</v>
      </c>
      <c r="F77" s="50"/>
      <c r="G77" s="50"/>
      <c r="H77" s="50"/>
      <c r="I77" s="50"/>
      <c r="J77" s="50"/>
      <c r="K77" s="50"/>
      <c r="L77" s="50"/>
      <c r="M77" s="50"/>
      <c r="N77" s="50"/>
      <c r="O77" s="50"/>
      <c r="P77" s="50"/>
      <c r="Q77" s="50"/>
      <c r="R77" s="50"/>
      <c r="S77" s="50"/>
      <c r="T77" s="50"/>
      <c r="U77" s="50"/>
      <c r="V77" s="50"/>
      <c r="W77" s="50"/>
    </row>
    <row r="78" spans="1:88" ht="18.75" customHeight="1" x14ac:dyDescent="0.35">
      <c r="B78" s="339" t="s">
        <v>370</v>
      </c>
      <c r="C78" s="294">
        <f>SUM(C79:C84)</f>
        <v>898.11599999999999</v>
      </c>
      <c r="D78" s="50">
        <f>SUM(D79:D83)</f>
        <v>202.36666666666667</v>
      </c>
      <c r="E78" s="242">
        <f>SUM(E79:E83)</f>
        <v>650.35233333333326</v>
      </c>
      <c r="F78" s="50"/>
      <c r="G78" s="50"/>
      <c r="H78" s="50"/>
      <c r="I78" s="50"/>
      <c r="J78" s="50"/>
      <c r="K78" s="50"/>
      <c r="L78" s="50"/>
      <c r="M78" s="50"/>
      <c r="N78" s="50"/>
      <c r="O78" s="50"/>
      <c r="P78" s="50"/>
      <c r="Q78" s="50"/>
      <c r="R78" s="50"/>
      <c r="S78" s="50"/>
      <c r="T78" s="50"/>
      <c r="U78" s="50"/>
      <c r="V78" s="50"/>
      <c r="W78" s="50"/>
    </row>
    <row r="79" spans="1:88" x14ac:dyDescent="0.35">
      <c r="B79" s="338" t="s">
        <v>149</v>
      </c>
      <c r="C79" s="294">
        <f>C88</f>
        <v>150</v>
      </c>
      <c r="D79" s="50">
        <f>SUM(H12:M12)/4</f>
        <v>149.47499999999999</v>
      </c>
      <c r="E79" s="246">
        <f>C79-D79</f>
        <v>0.52500000000000568</v>
      </c>
      <c r="F79" s="50"/>
      <c r="G79" s="50"/>
      <c r="H79" s="50"/>
      <c r="I79" s="284"/>
      <c r="J79" s="284"/>
      <c r="K79" s="284"/>
      <c r="L79" s="284"/>
      <c r="M79" s="284"/>
      <c r="N79" s="284"/>
      <c r="O79" s="284"/>
      <c r="P79" s="284"/>
      <c r="Q79" s="50"/>
      <c r="R79" s="50"/>
      <c r="S79" s="50"/>
      <c r="T79" s="50"/>
      <c r="U79" s="50"/>
      <c r="V79" s="50"/>
      <c r="W79" s="50"/>
    </row>
    <row r="80" spans="1:88" x14ac:dyDescent="0.35">
      <c r="B80" s="338" t="s">
        <v>150</v>
      </c>
      <c r="C80" s="343">
        <f>C89+C93+C99</f>
        <v>273.16899999999998</v>
      </c>
      <c r="D80" s="50">
        <f>SUM(H13:M13)/4</f>
        <v>22.075000000000003</v>
      </c>
      <c r="E80" s="246">
        <f>C80-D80</f>
        <v>251.09399999999999</v>
      </c>
      <c r="F80" s="50"/>
      <c r="G80" s="50"/>
      <c r="H80" s="50"/>
      <c r="I80" s="284"/>
      <c r="J80" s="284"/>
      <c r="K80" s="284"/>
      <c r="L80" s="284"/>
      <c r="M80" s="284"/>
      <c r="N80" s="284"/>
      <c r="O80" s="284"/>
      <c r="P80" s="284"/>
      <c r="Q80" s="50"/>
      <c r="R80" s="50"/>
      <c r="S80" s="50"/>
      <c r="T80" s="50"/>
      <c r="U80" s="50"/>
      <c r="V80" s="50"/>
      <c r="W80" s="50"/>
    </row>
    <row r="81" spans="2:34" x14ac:dyDescent="0.35">
      <c r="B81" s="338" t="s">
        <v>152</v>
      </c>
      <c r="C81" s="195">
        <f>C90+C100+C94</f>
        <v>38.5</v>
      </c>
      <c r="D81" s="50">
        <f>SUM(H14:M14)/4</f>
        <v>28.400000000000002</v>
      </c>
      <c r="E81" s="246">
        <f>C81-D81</f>
        <v>10.099999999999998</v>
      </c>
      <c r="F81" s="50"/>
      <c r="G81" s="50"/>
      <c r="H81" s="50"/>
      <c r="I81" s="284"/>
      <c r="J81" s="284"/>
      <c r="K81" s="284"/>
      <c r="L81" s="284"/>
      <c r="M81" s="284"/>
      <c r="N81" s="284"/>
      <c r="O81" s="284"/>
      <c r="P81" s="284"/>
      <c r="Q81" s="1679"/>
      <c r="R81" s="1679"/>
      <c r="S81" s="1679"/>
      <c r="T81" s="1679"/>
      <c r="U81" s="1679"/>
      <c r="V81" s="1679"/>
      <c r="W81" s="1679"/>
      <c r="X81" s="1679"/>
      <c r="Y81" s="1679"/>
      <c r="Z81" s="1679"/>
      <c r="AA81" s="1679"/>
      <c r="AB81" s="1679"/>
      <c r="AC81" s="1679"/>
      <c r="AD81" s="1679"/>
      <c r="AE81" s="1679"/>
      <c r="AF81" s="1679"/>
      <c r="AG81" s="1679"/>
      <c r="AH81" s="1679"/>
    </row>
    <row r="82" spans="2:34" ht="17.25" customHeight="1" x14ac:dyDescent="0.35">
      <c r="B82" s="338" t="s">
        <v>371</v>
      </c>
      <c r="C82" s="195">
        <f>C92</f>
        <v>29</v>
      </c>
      <c r="D82" s="50">
        <f>SUM(H15:M15)/4</f>
        <v>2.4166666666666665</v>
      </c>
      <c r="E82" s="246">
        <f>C82-D82</f>
        <v>26.583333333333332</v>
      </c>
      <c r="F82" s="50"/>
      <c r="G82" s="50"/>
      <c r="H82" s="50"/>
      <c r="I82" s="284"/>
      <c r="J82" s="284"/>
      <c r="K82" s="284"/>
      <c r="L82" s="284"/>
      <c r="M82" s="284"/>
      <c r="N82" s="284"/>
      <c r="O82" s="284"/>
      <c r="P82" s="284"/>
      <c r="Q82" s="1680"/>
      <c r="R82" s="1680"/>
      <c r="S82" s="1680"/>
      <c r="T82" s="1680"/>
      <c r="U82" s="1680"/>
      <c r="V82" s="1680"/>
      <c r="W82" s="1680"/>
      <c r="X82" s="1680"/>
      <c r="Y82" s="1680"/>
      <c r="Z82" s="159"/>
      <c r="AA82" s="159"/>
      <c r="AB82" s="159"/>
      <c r="AC82" s="159"/>
      <c r="AD82" s="1680"/>
      <c r="AE82" s="1680"/>
      <c r="AF82" s="1680"/>
      <c r="AG82" s="1680"/>
      <c r="AH82" s="159"/>
    </row>
    <row r="83" spans="2:34" ht="15.75" customHeight="1" x14ac:dyDescent="0.35">
      <c r="B83" s="338" t="s">
        <v>348</v>
      </c>
      <c r="C83" s="195">
        <f>C98</f>
        <v>362.04999999999995</v>
      </c>
      <c r="D83" s="50">
        <v>0</v>
      </c>
      <c r="E83" s="246">
        <f>C83-D83</f>
        <v>362.04999999999995</v>
      </c>
      <c r="F83" s="50"/>
      <c r="G83" s="50"/>
      <c r="H83" s="50"/>
      <c r="I83" s="284"/>
      <c r="J83" s="284"/>
      <c r="K83" s="284"/>
      <c r="L83" s="284"/>
      <c r="M83" s="284"/>
      <c r="N83" s="284"/>
      <c r="O83" s="284"/>
      <c r="P83" s="284"/>
      <c r="Q83" s="159"/>
      <c r="R83" s="159"/>
      <c r="S83" s="159"/>
      <c r="T83" s="159"/>
      <c r="U83" s="159"/>
      <c r="V83" s="159"/>
      <c r="W83" s="159"/>
      <c r="X83" s="159"/>
      <c r="Y83" s="159"/>
      <c r="Z83" s="159"/>
      <c r="AA83" s="159"/>
      <c r="AB83" s="159"/>
      <c r="AC83" s="159"/>
      <c r="AD83" s="159"/>
      <c r="AE83" s="159"/>
      <c r="AF83" s="159"/>
      <c r="AG83" s="159"/>
      <c r="AH83" s="159"/>
    </row>
    <row r="84" spans="2:34" ht="15" customHeight="1" x14ac:dyDescent="0.35">
      <c r="B84" s="337" t="s">
        <v>372</v>
      </c>
      <c r="C84" s="294">
        <f>C101+C102+C95+C96</f>
        <v>45.396999999999998</v>
      </c>
      <c r="D84" s="50"/>
      <c r="E84" s="246"/>
      <c r="F84" s="50"/>
      <c r="G84" s="50"/>
      <c r="H84" s="50"/>
      <c r="I84" s="284"/>
      <c r="J84" s="284"/>
      <c r="K84" s="284"/>
      <c r="L84" s="284"/>
      <c r="M84" s="284"/>
      <c r="N84" s="284"/>
      <c r="O84" s="284"/>
      <c r="P84" s="284"/>
      <c r="Q84" s="50"/>
      <c r="R84" s="50"/>
      <c r="S84" s="50"/>
      <c r="T84" s="50"/>
      <c r="U84" s="50"/>
      <c r="V84" s="50"/>
      <c r="W84" s="50"/>
    </row>
    <row r="85" spans="2:34" ht="5.25" customHeight="1" x14ac:dyDescent="0.35">
      <c r="B85" s="337"/>
      <c r="C85" s="294"/>
      <c r="D85" s="50"/>
      <c r="E85" s="246"/>
      <c r="F85" s="50"/>
      <c r="G85" s="50"/>
      <c r="H85" s="50"/>
      <c r="I85" s="284"/>
      <c r="J85" s="284"/>
      <c r="K85" s="284"/>
      <c r="L85" s="284"/>
      <c r="M85" s="284"/>
      <c r="N85" s="284"/>
      <c r="O85" s="284"/>
      <c r="P85" s="284"/>
      <c r="Q85" s="50"/>
      <c r="R85" s="50"/>
      <c r="S85" s="50"/>
      <c r="T85" s="50"/>
      <c r="U85" s="50"/>
      <c r="V85" s="50"/>
      <c r="W85" s="50"/>
    </row>
    <row r="86" spans="2:34" ht="18.75" customHeight="1" x14ac:dyDescent="0.35">
      <c r="B86" s="339" t="s">
        <v>373</v>
      </c>
      <c r="C86" s="195">
        <f>C87+C91+C97</f>
        <v>898.11599999999999</v>
      </c>
      <c r="D86" s="50"/>
      <c r="E86" s="246"/>
      <c r="F86" s="50"/>
      <c r="G86" s="50"/>
      <c r="H86" s="50"/>
      <c r="I86" s="284"/>
      <c r="J86" s="284"/>
      <c r="K86" s="284"/>
      <c r="L86" s="284"/>
      <c r="M86" s="284"/>
      <c r="N86" s="284"/>
      <c r="O86" s="284"/>
      <c r="P86" s="284"/>
      <c r="Q86" s="50"/>
      <c r="R86" s="50"/>
      <c r="S86" s="50"/>
      <c r="T86" s="50"/>
      <c r="U86" s="50"/>
      <c r="V86" s="50"/>
      <c r="W86" s="50"/>
    </row>
    <row r="87" spans="2:34" ht="16.399999999999999" customHeight="1" x14ac:dyDescent="0.35">
      <c r="B87" s="325" t="s">
        <v>354</v>
      </c>
      <c r="C87" s="195">
        <f>SUM(C88:C90)</f>
        <v>199</v>
      </c>
      <c r="D87" s="50"/>
      <c r="E87" s="246"/>
      <c r="F87" s="50"/>
      <c r="G87" s="50"/>
      <c r="H87" s="50"/>
      <c r="I87" s="284"/>
      <c r="J87" s="284"/>
      <c r="K87" s="284"/>
      <c r="L87" s="284"/>
      <c r="M87" s="284"/>
      <c r="N87" s="284"/>
      <c r="O87" s="284"/>
      <c r="P87" s="284"/>
      <c r="Q87" s="50"/>
      <c r="R87" s="50"/>
      <c r="S87" s="50"/>
      <c r="T87" s="50"/>
      <c r="U87" s="50"/>
      <c r="V87" s="50"/>
      <c r="W87" s="50"/>
    </row>
    <row r="88" spans="2:34" ht="20.9" customHeight="1" x14ac:dyDescent="0.35">
      <c r="B88" s="275" t="s">
        <v>149</v>
      </c>
      <c r="C88" s="195">
        <v>150</v>
      </c>
      <c r="D88" s="50"/>
      <c r="E88" s="246"/>
      <c r="F88" s="50"/>
      <c r="G88" s="50"/>
      <c r="H88" s="50"/>
      <c r="I88" s="284"/>
      <c r="J88" s="284"/>
      <c r="K88" s="284"/>
      <c r="L88" s="284"/>
      <c r="M88" s="284"/>
      <c r="N88" s="284"/>
      <c r="O88" s="284"/>
      <c r="P88" s="284"/>
      <c r="Q88" s="50"/>
      <c r="R88" s="50"/>
      <c r="S88" s="50"/>
      <c r="T88" s="50"/>
      <c r="U88" s="50"/>
      <c r="V88" s="50"/>
      <c r="W88" s="50"/>
    </row>
    <row r="89" spans="2:34" ht="16.5" customHeight="1" x14ac:dyDescent="0.35">
      <c r="B89" s="275" t="s">
        <v>150</v>
      </c>
      <c r="C89" s="343">
        <v>22</v>
      </c>
      <c r="D89" s="162"/>
      <c r="E89" s="246"/>
      <c r="F89" s="50"/>
      <c r="G89" s="50"/>
      <c r="H89" s="50"/>
      <c r="I89" s="284"/>
      <c r="J89" s="284"/>
      <c r="K89" s="284"/>
      <c r="L89" s="284"/>
      <c r="M89" s="284"/>
      <c r="N89" s="284"/>
      <c r="O89" s="284"/>
      <c r="P89" s="284"/>
      <c r="Q89" s="50"/>
      <c r="R89" s="50"/>
      <c r="S89" s="50"/>
      <c r="T89" s="50"/>
      <c r="U89" s="50"/>
      <c r="V89" s="50"/>
      <c r="W89" s="50"/>
    </row>
    <row r="90" spans="2:34" x14ac:dyDescent="0.35">
      <c r="B90" s="275" t="s">
        <v>152</v>
      </c>
      <c r="C90" s="195">
        <v>27</v>
      </c>
      <c r="D90" s="50"/>
      <c r="E90" s="246"/>
      <c r="F90" s="49"/>
      <c r="G90" s="50"/>
      <c r="H90" s="50"/>
      <c r="I90" s="284"/>
      <c r="J90" s="284"/>
      <c r="K90" s="284"/>
      <c r="L90" s="284"/>
      <c r="M90" s="284"/>
      <c r="N90" s="284"/>
      <c r="P90" s="284"/>
      <c r="Q90" s="50"/>
      <c r="R90" s="50"/>
      <c r="S90" s="50"/>
      <c r="T90" s="50"/>
      <c r="U90" s="50"/>
      <c r="V90" s="50"/>
      <c r="W90" s="50"/>
    </row>
    <row r="91" spans="2:34" ht="15" customHeight="1" x14ac:dyDescent="0.35">
      <c r="B91" s="325" t="s">
        <v>356</v>
      </c>
      <c r="C91" s="195">
        <f>SUM(C92:C96)</f>
        <v>150</v>
      </c>
      <c r="D91" s="50"/>
      <c r="E91" s="246"/>
      <c r="F91" s="50"/>
      <c r="G91" s="50"/>
      <c r="H91" s="50"/>
      <c r="I91" s="50"/>
      <c r="J91" s="50"/>
      <c r="K91" s="50"/>
      <c r="L91" s="50"/>
      <c r="M91" s="50"/>
      <c r="N91" s="50"/>
      <c r="P91" s="50"/>
      <c r="Q91" s="50"/>
      <c r="R91" s="50"/>
      <c r="S91" s="50"/>
      <c r="T91" s="50"/>
      <c r="U91" s="50"/>
      <c r="V91" s="50"/>
      <c r="W91" s="50"/>
    </row>
    <row r="92" spans="2:34" ht="17.25" customHeight="1" x14ac:dyDescent="0.35">
      <c r="B92" s="275" t="s">
        <v>343</v>
      </c>
      <c r="C92" s="195">
        <f>'Response and Relief Act Score'!F7</f>
        <v>29</v>
      </c>
      <c r="D92" s="50"/>
      <c r="E92" s="246"/>
      <c r="F92" s="50"/>
      <c r="G92" s="50"/>
      <c r="H92" s="50"/>
      <c r="I92" s="50"/>
    </row>
    <row r="93" spans="2:34" x14ac:dyDescent="0.35">
      <c r="B93" s="275" t="s">
        <v>150</v>
      </c>
      <c r="C93" s="195">
        <f>'Response and Relief Act Score'!F5</f>
        <v>82</v>
      </c>
      <c r="D93" s="50"/>
      <c r="E93" s="246"/>
      <c r="F93" s="50"/>
      <c r="G93" s="50"/>
      <c r="H93" s="50"/>
      <c r="I93" s="50"/>
      <c r="J93" s="50"/>
      <c r="K93" s="50"/>
      <c r="L93" s="50"/>
      <c r="M93" s="50"/>
      <c r="N93" s="50"/>
      <c r="P93" s="50"/>
      <c r="Q93" s="50"/>
      <c r="R93" s="50"/>
      <c r="S93" s="50"/>
      <c r="T93" s="50"/>
      <c r="U93" s="50"/>
      <c r="V93" s="50"/>
      <c r="W93" s="50"/>
    </row>
    <row r="94" spans="2:34" x14ac:dyDescent="0.35">
      <c r="B94" s="275" t="s">
        <v>152</v>
      </c>
      <c r="C94" s="195">
        <f>'Response and Relief Act Score'!F6</f>
        <v>3</v>
      </c>
      <c r="D94" s="50"/>
      <c r="E94" s="246"/>
      <c r="F94" s="50"/>
      <c r="G94" s="50"/>
      <c r="H94" s="50"/>
      <c r="I94" s="50"/>
      <c r="J94" s="50"/>
      <c r="K94" s="50"/>
      <c r="L94" s="50"/>
      <c r="M94" s="50"/>
      <c r="N94" s="50"/>
      <c r="P94" s="50"/>
      <c r="Q94" s="50"/>
      <c r="R94" s="50"/>
      <c r="S94" s="50"/>
      <c r="T94" s="50"/>
      <c r="U94" s="50"/>
      <c r="V94" s="50"/>
      <c r="W94" s="50"/>
    </row>
    <row r="95" spans="2:34" ht="29.25" customHeight="1" x14ac:dyDescent="0.35">
      <c r="B95" s="275" t="s">
        <v>359</v>
      </c>
      <c r="C95" s="195">
        <f>'Response and Relief Act Score'!F9</f>
        <v>34</v>
      </c>
      <c r="D95" s="50"/>
      <c r="E95" s="246"/>
      <c r="F95" s="50"/>
      <c r="G95" s="50"/>
      <c r="H95" s="50"/>
      <c r="I95" s="300"/>
      <c r="J95" s="50"/>
      <c r="K95" s="50"/>
      <c r="L95" s="50"/>
      <c r="M95" s="50"/>
      <c r="N95" s="50"/>
      <c r="O95" s="284"/>
      <c r="P95" s="50"/>
      <c r="Q95" s="50"/>
      <c r="R95" s="50"/>
      <c r="S95" s="50"/>
      <c r="T95" s="50"/>
      <c r="U95" s="50"/>
      <c r="V95" s="50"/>
      <c r="W95" s="50"/>
    </row>
    <row r="96" spans="2:34" ht="12.75" customHeight="1" x14ac:dyDescent="0.35">
      <c r="B96" s="275" t="s">
        <v>360</v>
      </c>
      <c r="C96" s="195">
        <f>'Response and Relief Act Score'!F8</f>
        <v>2</v>
      </c>
      <c r="D96" s="50"/>
      <c r="E96" s="246"/>
      <c r="F96" s="50"/>
      <c r="G96" s="50"/>
      <c r="H96" s="50"/>
      <c r="I96" s="50"/>
      <c r="J96" s="50"/>
      <c r="K96" s="50"/>
      <c r="L96" s="50"/>
      <c r="M96" s="50"/>
      <c r="N96" s="50"/>
      <c r="O96" s="50"/>
      <c r="P96" s="50"/>
      <c r="Q96" s="50"/>
      <c r="R96" s="50"/>
      <c r="S96" s="50"/>
      <c r="T96" s="50"/>
      <c r="U96" s="50"/>
      <c r="V96" s="50"/>
      <c r="W96" s="50"/>
    </row>
    <row r="97" spans="1:31" x14ac:dyDescent="0.35">
      <c r="A97" s="290"/>
      <c r="B97" s="287" t="s">
        <v>361</v>
      </c>
      <c r="C97" s="294">
        <f>SUM(C98:C102)</f>
        <v>549.11599999999999</v>
      </c>
      <c r="D97" s="50"/>
      <c r="E97" s="246"/>
      <c r="F97" s="50"/>
      <c r="G97" s="50"/>
      <c r="H97" s="50"/>
      <c r="I97" s="50"/>
      <c r="J97" s="50"/>
      <c r="K97" s="50"/>
      <c r="L97" s="50"/>
      <c r="M97" s="50"/>
      <c r="N97" s="50"/>
      <c r="P97" s="50"/>
      <c r="Q97" s="50"/>
      <c r="R97" s="50"/>
      <c r="S97" s="50"/>
      <c r="T97" s="50"/>
      <c r="U97" s="50"/>
      <c r="V97" s="50"/>
      <c r="W97" s="50"/>
    </row>
    <row r="98" spans="1:31" ht="16.399999999999999" customHeight="1" x14ac:dyDescent="0.35">
      <c r="A98" s="290"/>
      <c r="B98" s="289" t="s">
        <v>348</v>
      </c>
      <c r="C98" s="294">
        <f>'ARP Score'!AJ16</f>
        <v>362.04999999999995</v>
      </c>
      <c r="D98" s="50"/>
      <c r="E98" s="246"/>
      <c r="F98" s="50"/>
      <c r="G98" s="50"/>
      <c r="H98" s="50"/>
      <c r="I98" s="50"/>
      <c r="J98" s="50"/>
      <c r="K98" s="50"/>
      <c r="L98" s="50"/>
      <c r="M98" s="50"/>
      <c r="N98" s="50"/>
      <c r="O98" s="50"/>
      <c r="P98" s="50"/>
      <c r="Q98" s="50"/>
      <c r="R98" s="50"/>
      <c r="S98" s="50"/>
      <c r="T98" s="50"/>
      <c r="U98" s="50"/>
      <c r="V98" s="50"/>
      <c r="W98" s="50"/>
    </row>
    <row r="99" spans="1:31" ht="15" customHeight="1" x14ac:dyDescent="0.35">
      <c r="A99" s="1682"/>
      <c r="B99" s="289" t="s">
        <v>150</v>
      </c>
      <c r="C99" s="294">
        <f>'ARP Score'!AL16</f>
        <v>169.16899999999998</v>
      </c>
      <c r="D99" s="50"/>
      <c r="E99" s="246"/>
      <c r="F99" s="50"/>
      <c r="G99" s="50"/>
      <c r="H99" s="50"/>
      <c r="I99" s="50"/>
      <c r="J99" s="50"/>
      <c r="K99" s="50"/>
      <c r="L99" s="50"/>
      <c r="M99" s="50"/>
      <c r="N99" s="50"/>
      <c r="O99" s="50"/>
      <c r="P99" s="50"/>
      <c r="Q99" s="292"/>
      <c r="R99" s="50"/>
      <c r="S99" s="50"/>
      <c r="T99" s="50"/>
      <c r="U99" s="50"/>
      <c r="V99" s="50"/>
      <c r="W99" s="50"/>
    </row>
    <row r="100" spans="1:31" x14ac:dyDescent="0.35">
      <c r="A100" s="1682"/>
      <c r="B100" s="289" t="s">
        <v>152</v>
      </c>
      <c r="C100" s="294">
        <f>'ARP Score'!AK16</f>
        <v>8.5</v>
      </c>
      <c r="D100" s="50"/>
      <c r="E100" s="246"/>
      <c r="F100" s="50"/>
      <c r="G100" s="50"/>
      <c r="H100" s="50"/>
      <c r="I100" s="50"/>
      <c r="J100" s="50"/>
      <c r="K100" s="50"/>
      <c r="L100" s="50"/>
      <c r="M100" s="50"/>
      <c r="N100" s="50"/>
      <c r="O100" s="50"/>
      <c r="P100" s="50"/>
      <c r="Q100" s="50"/>
      <c r="R100" s="50"/>
      <c r="S100" s="50"/>
      <c r="T100" s="50"/>
      <c r="U100" s="50"/>
      <c r="V100" s="50"/>
      <c r="W100" s="50"/>
    </row>
    <row r="101" spans="1:31" ht="17.25" customHeight="1" x14ac:dyDescent="0.35">
      <c r="A101" s="290"/>
      <c r="B101" s="289" t="s">
        <v>364</v>
      </c>
      <c r="C101" s="294">
        <f>'ARP Score'!AM16</f>
        <v>0.79700000000000004</v>
      </c>
      <c r="D101" s="50"/>
      <c r="E101" s="246"/>
      <c r="F101" s="50"/>
      <c r="G101" s="50"/>
      <c r="H101" s="50"/>
      <c r="I101" s="50"/>
      <c r="J101" s="50"/>
      <c r="K101" s="50"/>
      <c r="L101" s="50"/>
      <c r="M101" s="50"/>
      <c r="N101" s="50"/>
      <c r="O101" s="50"/>
      <c r="P101" s="50"/>
      <c r="Q101" s="50"/>
      <c r="R101" s="50"/>
      <c r="S101" s="50"/>
      <c r="T101" s="50"/>
      <c r="U101" s="50"/>
      <c r="V101" s="50"/>
      <c r="W101" s="50"/>
    </row>
    <row r="102" spans="1:31" ht="17.25" customHeight="1" x14ac:dyDescent="0.35">
      <c r="A102" s="290"/>
      <c r="B102" s="291" t="s">
        <v>374</v>
      </c>
      <c r="C102" s="295">
        <f>'ARP Score'!AN16</f>
        <v>8.6</v>
      </c>
      <c r="D102" s="293"/>
      <c r="E102" s="279"/>
      <c r="F102" s="50"/>
      <c r="G102" s="50"/>
      <c r="H102" s="50"/>
      <c r="I102" s="50"/>
      <c r="J102" s="50"/>
      <c r="K102" s="50"/>
      <c r="L102" s="50"/>
      <c r="M102" s="50"/>
      <c r="N102" s="50"/>
      <c r="O102" s="50"/>
      <c r="P102" s="50"/>
      <c r="Q102" s="50"/>
      <c r="R102" s="50"/>
      <c r="S102" s="50"/>
      <c r="T102" s="50"/>
      <c r="U102" s="50"/>
      <c r="V102" s="50"/>
      <c r="W102" s="50"/>
    </row>
    <row r="103" spans="1:31" ht="17.25" customHeight="1" x14ac:dyDescent="0.35">
      <c r="B103" s="289"/>
      <c r="C103" s="69"/>
      <c r="D103" s="69"/>
      <c r="E103" s="69"/>
      <c r="F103" s="69"/>
      <c r="G103" s="69"/>
      <c r="H103" s="50"/>
      <c r="I103" s="50"/>
      <c r="J103" s="50"/>
      <c r="K103" s="50"/>
      <c r="L103" s="50"/>
      <c r="M103" s="50"/>
      <c r="N103" s="50"/>
      <c r="O103" s="50"/>
      <c r="P103" s="50"/>
      <c r="Q103" s="50"/>
      <c r="R103" s="50"/>
      <c r="S103" s="50"/>
      <c r="T103" s="50"/>
      <c r="U103" s="50"/>
      <c r="V103" s="50"/>
      <c r="W103" s="50"/>
      <c r="X103" s="50"/>
      <c r="Y103" s="50"/>
      <c r="Z103" s="50"/>
      <c r="AA103" s="50"/>
      <c r="AB103" s="50"/>
      <c r="AC103" s="50"/>
      <c r="AD103" s="50"/>
      <c r="AE103" s="50"/>
    </row>
    <row r="104" spans="1:31" ht="17.25" customHeight="1" x14ac:dyDescent="0.35">
      <c r="B104" s="276" t="s">
        <v>375</v>
      </c>
      <c r="C104" s="69"/>
      <c r="D104" s="69"/>
      <c r="E104" s="69"/>
      <c r="F104" s="69"/>
      <c r="G104" s="69"/>
      <c r="H104" s="50"/>
      <c r="I104" s="50"/>
      <c r="J104" s="50"/>
      <c r="K104" s="50"/>
      <c r="L104" s="50"/>
      <c r="M104" s="50"/>
      <c r="N104" s="50"/>
      <c r="O104" s="50"/>
      <c r="P104" s="50"/>
      <c r="Q104" s="50"/>
      <c r="R104" s="50"/>
      <c r="S104" s="50"/>
      <c r="T104" s="50"/>
      <c r="U104" s="50"/>
      <c r="V104" s="50"/>
      <c r="W104" s="50"/>
      <c r="X104" s="50"/>
      <c r="Y104" s="50"/>
      <c r="Z104" s="50"/>
      <c r="AA104" s="50"/>
      <c r="AB104" s="50"/>
      <c r="AC104" s="50"/>
      <c r="AD104" s="50"/>
      <c r="AE104" s="50"/>
    </row>
    <row r="105" spans="1:31" ht="14.9" customHeight="1" x14ac:dyDescent="0.35">
      <c r="B105" s="1653" t="s">
        <v>376</v>
      </c>
      <c r="C105" s="1654"/>
      <c r="D105" s="1655" t="s">
        <v>280</v>
      </c>
      <c r="E105" s="1656"/>
      <c r="F105" s="1656"/>
      <c r="G105" s="1656"/>
      <c r="H105" s="1656"/>
      <c r="I105" s="1656"/>
      <c r="J105" s="1656"/>
      <c r="K105" s="1656"/>
      <c r="L105" s="1656"/>
      <c r="M105" s="1656"/>
      <c r="N105" s="1656"/>
      <c r="O105" s="1656"/>
      <c r="P105" s="1656"/>
      <c r="Q105" s="1656"/>
      <c r="R105" s="1656"/>
      <c r="S105" s="1656"/>
      <c r="T105" s="1650"/>
      <c r="U105" s="1232"/>
      <c r="V105" s="1629" t="s">
        <v>281</v>
      </c>
      <c r="W105" s="1629"/>
      <c r="X105" s="1629"/>
      <c r="Y105" s="1629"/>
      <c r="Z105" s="1629"/>
      <c r="AA105" s="1629"/>
      <c r="AB105" s="1629"/>
      <c r="AC105" s="1630"/>
      <c r="AD105" s="136"/>
      <c r="AE105" s="136"/>
    </row>
    <row r="106" spans="1:31" x14ac:dyDescent="0.35">
      <c r="B106" s="1641"/>
      <c r="C106" s="1642"/>
      <c r="D106" s="127">
        <v>2018</v>
      </c>
      <c r="E106" s="1624">
        <v>2019</v>
      </c>
      <c r="F106" s="1646"/>
      <c r="G106" s="1646"/>
      <c r="H106" s="1661"/>
      <c r="I106" s="1624">
        <v>2020</v>
      </c>
      <c r="J106" s="1646"/>
      <c r="K106" s="1646"/>
      <c r="L106" s="1646"/>
      <c r="M106" s="1624">
        <v>2021</v>
      </c>
      <c r="N106" s="1646"/>
      <c r="O106" s="1646"/>
      <c r="P106" s="1646"/>
      <c r="Q106" s="1662">
        <v>2022</v>
      </c>
      <c r="R106" s="1663"/>
      <c r="S106" s="158"/>
      <c r="T106" s="168"/>
      <c r="U106" s="1228"/>
      <c r="V106" s="1229">
        <v>2023</v>
      </c>
      <c r="W106" s="1229"/>
      <c r="X106" s="1230"/>
      <c r="Y106" s="1633">
        <v>2024</v>
      </c>
      <c r="Z106" s="1631"/>
      <c r="AA106" s="1631"/>
      <c r="AB106" s="1632"/>
      <c r="AC106" s="178">
        <v>2025</v>
      </c>
      <c r="AD106" s="159"/>
      <c r="AE106" s="159"/>
    </row>
    <row r="107" spans="1:31" x14ac:dyDescent="0.35">
      <c r="B107" s="1643"/>
      <c r="C107" s="1644"/>
      <c r="D107" s="118" t="s">
        <v>282</v>
      </c>
      <c r="E107" s="118" t="s">
        <v>283</v>
      </c>
      <c r="F107" s="132" t="s">
        <v>284</v>
      </c>
      <c r="G107" s="132" t="s">
        <v>238</v>
      </c>
      <c r="H107" s="115" t="s">
        <v>282</v>
      </c>
      <c r="I107" s="132" t="s">
        <v>283</v>
      </c>
      <c r="J107" s="132" t="s">
        <v>284</v>
      </c>
      <c r="K107" s="132" t="s">
        <v>238</v>
      </c>
      <c r="L107" s="132" t="s">
        <v>282</v>
      </c>
      <c r="M107" s="118" t="s">
        <v>283</v>
      </c>
      <c r="N107" s="132" t="s">
        <v>284</v>
      </c>
      <c r="O107" s="132" t="s">
        <v>238</v>
      </c>
      <c r="P107" s="132" t="s">
        <v>282</v>
      </c>
      <c r="Q107" s="118" t="s">
        <v>283</v>
      </c>
      <c r="R107" s="132" t="s">
        <v>284</v>
      </c>
      <c r="S107" s="132" t="s">
        <v>238</v>
      </c>
      <c r="T107" s="115" t="s">
        <v>282</v>
      </c>
      <c r="U107" s="1127" t="s">
        <v>283</v>
      </c>
      <c r="V107" s="190" t="s">
        <v>284</v>
      </c>
      <c r="W107" s="190" t="s">
        <v>238</v>
      </c>
      <c r="X107" s="191" t="s">
        <v>282</v>
      </c>
      <c r="Y107" s="189" t="s">
        <v>283</v>
      </c>
      <c r="Z107" s="186" t="s">
        <v>284</v>
      </c>
      <c r="AA107" s="190" t="s">
        <v>238</v>
      </c>
      <c r="AB107" s="190" t="s">
        <v>282</v>
      </c>
      <c r="AC107" s="192" t="s">
        <v>283</v>
      </c>
      <c r="AD107" s="159"/>
      <c r="AE107" s="159"/>
    </row>
    <row r="108" spans="1:31" ht="29.25" customHeight="1" x14ac:dyDescent="0.35">
      <c r="B108" s="1292" t="s">
        <v>377</v>
      </c>
      <c r="C108" s="329"/>
      <c r="D108" s="1135"/>
      <c r="E108" s="1136"/>
      <c r="F108" s="1136"/>
      <c r="G108" s="1136"/>
      <c r="H108" s="1137">
        <f t="shared" ref="H108:O108" si="24">SUM(H110:H118)</f>
        <v>205.80500000000001</v>
      </c>
      <c r="I108" s="1137">
        <f t="shared" si="24"/>
        <v>210.29200000000003</v>
      </c>
      <c r="J108" s="1137">
        <f t="shared" si="24"/>
        <v>325.28399999999999</v>
      </c>
      <c r="K108" s="1137">
        <f t="shared" si="24"/>
        <v>297.32000000000005</v>
      </c>
      <c r="L108" s="1137">
        <f t="shared" si="24"/>
        <v>289.54199999999997</v>
      </c>
      <c r="M108" s="1137">
        <f t="shared" si="24"/>
        <v>315.67900000000003</v>
      </c>
      <c r="N108" s="1137">
        <f t="shared" si="24"/>
        <v>361.52700000000004</v>
      </c>
      <c r="O108" s="1137">
        <f t="shared" si="24"/>
        <v>374.99100000000004</v>
      </c>
      <c r="P108" s="1137">
        <f>SUM(P110:P119)</f>
        <v>401.58485200000007</v>
      </c>
      <c r="Q108" s="1137">
        <f>SUM(Q110:Q119)</f>
        <v>438.45827479999997</v>
      </c>
      <c r="R108" s="1137">
        <f>SUM(R110:R119)</f>
        <v>505.04903199999995</v>
      </c>
      <c r="S108" s="1137">
        <f>SUM(S110:S119)</f>
        <v>492.38786800000003</v>
      </c>
      <c r="T108" s="265">
        <f t="shared" ref="T108:AC108" si="25">SUM(T110:T119)</f>
        <v>454.86592799999988</v>
      </c>
      <c r="U108" s="1138">
        <f>SUM(U110:U119)</f>
        <v>448.74654320000008</v>
      </c>
      <c r="V108" s="319">
        <f t="shared" si="25"/>
        <v>447.62918787478441</v>
      </c>
      <c r="W108" s="319">
        <f t="shared" si="25"/>
        <v>446.45162391265626</v>
      </c>
      <c r="X108" s="319">
        <f t="shared" si="25"/>
        <v>446.80789141457103</v>
      </c>
      <c r="Y108" s="319">
        <f t="shared" si="25"/>
        <v>435.3935120000001</v>
      </c>
      <c r="Z108" s="319">
        <f t="shared" si="25"/>
        <v>415.52699462977574</v>
      </c>
      <c r="AA108" s="319">
        <f t="shared" si="25"/>
        <v>419.98253662916255</v>
      </c>
      <c r="AB108" s="319">
        <f t="shared" si="25"/>
        <v>424.72893341115389</v>
      </c>
      <c r="AC108" s="302">
        <f t="shared" si="25"/>
        <v>407.89333299999998</v>
      </c>
      <c r="AD108" s="251"/>
      <c r="AE108" s="251"/>
    </row>
    <row r="109" spans="1:31" ht="19.399999999999999" customHeight="1" x14ac:dyDescent="0.35">
      <c r="B109" s="339" t="s">
        <v>378</v>
      </c>
      <c r="C109" s="162"/>
      <c r="D109" s="195"/>
      <c r="E109" s="162"/>
      <c r="F109" s="162"/>
      <c r="G109" s="162"/>
      <c r="H109" s="252"/>
      <c r="I109" s="252"/>
      <c r="J109" s="252"/>
      <c r="K109" s="252"/>
      <c r="L109" s="252"/>
      <c r="M109" s="252"/>
      <c r="N109" s="252"/>
      <c r="O109" s="252"/>
      <c r="P109" s="252"/>
      <c r="Q109" s="252"/>
      <c r="R109" s="252"/>
      <c r="S109" s="252"/>
      <c r="T109" s="1280"/>
      <c r="U109" s="1293"/>
      <c r="V109" s="269"/>
      <c r="W109" s="269"/>
      <c r="X109" s="269"/>
      <c r="Y109" s="269"/>
      <c r="Z109" s="269"/>
      <c r="AA109" s="269"/>
      <c r="AB109" s="269"/>
      <c r="AC109" s="310"/>
      <c r="AD109" s="251"/>
      <c r="AE109" s="251"/>
    </row>
    <row r="110" spans="1:31" x14ac:dyDescent="0.35">
      <c r="B110" s="240" t="s">
        <v>152</v>
      </c>
      <c r="C110" s="49"/>
      <c r="D110" s="231"/>
      <c r="E110" s="49"/>
      <c r="F110" s="49"/>
      <c r="G110" s="49"/>
      <c r="H110" s="252"/>
      <c r="I110" s="252"/>
      <c r="J110" s="252">
        <f t="shared" ref="J110:AC110" si="26">J14</f>
        <v>64.400000000000006</v>
      </c>
      <c r="K110" s="252">
        <f t="shared" si="26"/>
        <v>23.4</v>
      </c>
      <c r="L110" s="252">
        <f t="shared" si="26"/>
        <v>13.8</v>
      </c>
      <c r="M110" s="252">
        <f t="shared" si="26"/>
        <v>12</v>
      </c>
      <c r="N110" s="252">
        <f t="shared" si="26"/>
        <v>7.5</v>
      </c>
      <c r="O110" s="252">
        <f t="shared" si="26"/>
        <v>10.5</v>
      </c>
      <c r="P110" s="252">
        <f t="shared" si="26"/>
        <v>18</v>
      </c>
      <c r="Q110" s="252">
        <f t="shared" si="26"/>
        <v>15</v>
      </c>
      <c r="R110" s="252">
        <f t="shared" si="26"/>
        <v>11.2</v>
      </c>
      <c r="S110" s="252">
        <f t="shared" si="26"/>
        <v>7.5</v>
      </c>
      <c r="T110" s="1280">
        <f t="shared" si="26"/>
        <v>6.2</v>
      </c>
      <c r="U110" s="254">
        <f t="shared" si="26"/>
        <v>0</v>
      </c>
      <c r="V110" s="269">
        <f t="shared" si="26"/>
        <v>0</v>
      </c>
      <c r="W110" s="269">
        <f t="shared" si="26"/>
        <v>0</v>
      </c>
      <c r="X110" s="269">
        <f t="shared" si="26"/>
        <v>0</v>
      </c>
      <c r="Y110" s="269">
        <f t="shared" si="26"/>
        <v>0</v>
      </c>
      <c r="Z110" s="269">
        <f t="shared" si="26"/>
        <v>0</v>
      </c>
      <c r="AA110" s="269">
        <f t="shared" si="26"/>
        <v>0</v>
      </c>
      <c r="AB110" s="269">
        <f t="shared" si="26"/>
        <v>0</v>
      </c>
      <c r="AC110" s="310">
        <f t="shared" si="26"/>
        <v>0</v>
      </c>
      <c r="AD110" s="252"/>
      <c r="AE110" s="252"/>
    </row>
    <row r="111" spans="1:31" x14ac:dyDescent="0.35">
      <c r="B111" s="240" t="s">
        <v>343</v>
      </c>
      <c r="C111" s="49"/>
      <c r="D111" s="231"/>
      <c r="E111" s="49"/>
      <c r="F111" s="49"/>
      <c r="G111" s="49"/>
      <c r="H111" s="252"/>
      <c r="I111" s="252"/>
      <c r="J111" s="252"/>
      <c r="K111" s="252"/>
      <c r="L111" s="252"/>
      <c r="M111" s="252">
        <f>M63</f>
        <v>9.6666666666666661</v>
      </c>
      <c r="N111" s="252">
        <f t="shared" ref="N111:AC111" si="27">N63</f>
        <v>9.6666666666666661</v>
      </c>
      <c r="O111" s="252">
        <f t="shared" si="27"/>
        <v>9.6666666666666661</v>
      </c>
      <c r="P111" s="252">
        <f t="shared" si="27"/>
        <v>9.6666666666666661</v>
      </c>
      <c r="Q111" s="252">
        <f>Q63</f>
        <v>9.6666666666666661</v>
      </c>
      <c r="R111" s="252">
        <f>R63</f>
        <v>9.6666666666666661</v>
      </c>
      <c r="S111" s="252">
        <f>S63</f>
        <v>9.6666666666666661</v>
      </c>
      <c r="T111" s="1280">
        <f t="shared" si="27"/>
        <v>9.6666666666666661</v>
      </c>
      <c r="U111" s="254">
        <f t="shared" si="27"/>
        <v>9.6666666666666661</v>
      </c>
      <c r="V111" s="269">
        <f t="shared" si="27"/>
        <v>9.6666666666666661</v>
      </c>
      <c r="W111" s="269">
        <f t="shared" si="27"/>
        <v>9.6666666666666661</v>
      </c>
      <c r="X111" s="269">
        <f t="shared" si="27"/>
        <v>9.6666666666666661</v>
      </c>
      <c r="Y111" s="269">
        <f t="shared" si="27"/>
        <v>0</v>
      </c>
      <c r="Z111" s="269">
        <f t="shared" si="27"/>
        <v>0</v>
      </c>
      <c r="AA111" s="269">
        <f t="shared" si="27"/>
        <v>0</v>
      </c>
      <c r="AB111" s="269">
        <f t="shared" si="27"/>
        <v>0</v>
      </c>
      <c r="AC111" s="310">
        <f t="shared" si="27"/>
        <v>0</v>
      </c>
      <c r="AD111" s="252"/>
      <c r="AE111" s="252"/>
    </row>
    <row r="112" spans="1:31" x14ac:dyDescent="0.35">
      <c r="B112" s="240" t="s">
        <v>379</v>
      </c>
      <c r="C112" s="49"/>
      <c r="D112" s="231"/>
      <c r="E112" s="49"/>
      <c r="F112" s="49"/>
      <c r="G112" s="49"/>
      <c r="H112" s="252"/>
      <c r="I112" s="252"/>
      <c r="J112" s="252"/>
      <c r="K112" s="252"/>
      <c r="L112" s="252"/>
      <c r="M112" s="252">
        <f t="shared" ref="M112:AC112" si="28">M16</f>
        <v>12</v>
      </c>
      <c r="N112" s="252">
        <f t="shared" si="28"/>
        <v>12</v>
      </c>
      <c r="O112" s="252">
        <f t="shared" si="28"/>
        <v>12</v>
      </c>
      <c r="P112" s="252">
        <f t="shared" si="28"/>
        <v>12</v>
      </c>
      <c r="Q112" s="252">
        <f t="shared" si="28"/>
        <v>12</v>
      </c>
      <c r="R112" s="252">
        <f t="shared" si="28"/>
        <v>12</v>
      </c>
      <c r="S112" s="252">
        <f t="shared" si="28"/>
        <v>12</v>
      </c>
      <c r="T112" s="1280">
        <f t="shared" si="28"/>
        <v>12</v>
      </c>
      <c r="U112" s="254">
        <f t="shared" si="28"/>
        <v>12</v>
      </c>
      <c r="V112" s="269">
        <f t="shared" si="28"/>
        <v>12</v>
      </c>
      <c r="W112" s="269">
        <f t="shared" si="28"/>
        <v>12</v>
      </c>
      <c r="X112" s="269">
        <f t="shared" si="28"/>
        <v>12</v>
      </c>
      <c r="Y112" s="269">
        <f t="shared" si="28"/>
        <v>0</v>
      </c>
      <c r="Z112" s="269">
        <f t="shared" si="28"/>
        <v>0</v>
      </c>
      <c r="AA112" s="269">
        <f t="shared" si="28"/>
        <v>0</v>
      </c>
      <c r="AB112" s="269">
        <f t="shared" si="28"/>
        <v>0</v>
      </c>
      <c r="AC112" s="310">
        <f t="shared" si="28"/>
        <v>0</v>
      </c>
      <c r="AD112" s="252"/>
      <c r="AE112" s="252"/>
    </row>
    <row r="113" spans="2:31" x14ac:dyDescent="0.35">
      <c r="B113" s="240" t="s">
        <v>380</v>
      </c>
      <c r="C113" s="49"/>
      <c r="D113" s="231"/>
      <c r="E113" s="49"/>
      <c r="F113" s="49"/>
      <c r="G113" s="49"/>
      <c r="H113" s="52">
        <f t="shared" ref="H113:AC113" si="29">H20</f>
        <v>205.80500000000001</v>
      </c>
      <c r="I113" s="52">
        <f t="shared" si="29"/>
        <v>210.29200000000003</v>
      </c>
      <c r="J113" s="52">
        <f t="shared" si="29"/>
        <v>197.48400000000004</v>
      </c>
      <c r="K113" s="52">
        <f t="shared" si="29"/>
        <v>213.12000000000006</v>
      </c>
      <c r="L113" s="52">
        <f t="shared" si="29"/>
        <v>215.54199999999997</v>
      </c>
      <c r="M113" s="52">
        <f t="shared" si="29"/>
        <v>213.11233333333337</v>
      </c>
      <c r="N113" s="52">
        <f t="shared" si="29"/>
        <v>224.76033333333339</v>
      </c>
      <c r="O113" s="52">
        <f t="shared" si="29"/>
        <v>222.12433333333337</v>
      </c>
      <c r="P113" s="52">
        <f t="shared" si="29"/>
        <v>250.09733333333338</v>
      </c>
      <c r="Q113" s="52">
        <f t="shared" si="29"/>
        <v>253.39533333333327</v>
      </c>
      <c r="R113" s="52">
        <f t="shared" si="29"/>
        <v>266.9323333333333</v>
      </c>
      <c r="S113" s="52">
        <f t="shared" si="29"/>
        <v>265.62533333333334</v>
      </c>
      <c r="T113" s="1281">
        <f t="shared" si="29"/>
        <v>232.39233333333323</v>
      </c>
      <c r="U113" s="1102">
        <f t="shared" si="29"/>
        <v>245.96000000000009</v>
      </c>
      <c r="V113" s="270">
        <f t="shared" si="29"/>
        <v>248.38354387478446</v>
      </c>
      <c r="W113" s="270">
        <f t="shared" si="29"/>
        <v>250.83096791265635</v>
      </c>
      <c r="X113" s="270">
        <f t="shared" si="29"/>
        <v>253.3025074145711</v>
      </c>
      <c r="Y113" s="270">
        <f t="shared" si="29"/>
        <v>255.79840000000004</v>
      </c>
      <c r="Z113" s="270">
        <f t="shared" si="29"/>
        <v>258.31888562977576</v>
      </c>
      <c r="AA113" s="270">
        <f t="shared" si="29"/>
        <v>260.86420662916254</v>
      </c>
      <c r="AB113" s="270">
        <f t="shared" si="29"/>
        <v>263.43460771115389</v>
      </c>
      <c r="AC113" s="308">
        <f t="shared" si="29"/>
        <v>266.03033599999998</v>
      </c>
      <c r="AD113" s="52"/>
      <c r="AE113" s="52"/>
    </row>
    <row r="114" spans="2:31" x14ac:dyDescent="0.35">
      <c r="B114" s="240" t="s">
        <v>1193</v>
      </c>
      <c r="C114" s="49"/>
      <c r="D114" s="231"/>
      <c r="E114" s="49"/>
      <c r="F114" s="49"/>
      <c r="G114" s="49"/>
      <c r="H114" s="52"/>
      <c r="I114" s="52"/>
      <c r="J114" s="52"/>
      <c r="K114" s="52"/>
      <c r="L114" s="52"/>
      <c r="M114" s="52"/>
      <c r="N114" s="52"/>
      <c r="O114" s="52"/>
      <c r="P114" s="52"/>
      <c r="Q114" s="52"/>
      <c r="R114" s="52"/>
      <c r="S114" s="232">
        <f>'IRA and CHIPS'!E184</f>
        <v>0</v>
      </c>
      <c r="T114" s="1282">
        <f>'IRA and CHIPS'!F184</f>
        <v>6.8000000000000005E-2</v>
      </c>
      <c r="U114" s="233">
        <f>'IRA and CHIPS'!G184</f>
        <v>6.8000000000000005E-2</v>
      </c>
      <c r="V114" s="234">
        <f>'IRA and CHIPS'!H184</f>
        <v>6.8000000000000005E-2</v>
      </c>
      <c r="W114" s="234">
        <f>'IRA and CHIPS'!I184</f>
        <v>6.8000000000000005E-2</v>
      </c>
      <c r="X114" s="234">
        <f>'IRA and CHIPS'!J184</f>
        <v>1.363</v>
      </c>
      <c r="Y114" s="234">
        <f>'IRA and CHIPS'!K184</f>
        <v>1.363</v>
      </c>
      <c r="Z114" s="234">
        <f>'IRA and CHIPS'!L184</f>
        <v>1.363</v>
      </c>
      <c r="AA114" s="234">
        <f>'IRA and CHIPS'!M184</f>
        <v>1.363</v>
      </c>
      <c r="AB114" s="234">
        <f>'IRA and CHIPS'!N184</f>
        <v>2.4329999999999998</v>
      </c>
      <c r="AC114" s="234">
        <f>'IRA and CHIPS'!O184</f>
        <v>2.4329999999999998</v>
      </c>
      <c r="AD114" s="52"/>
      <c r="AE114" s="52"/>
    </row>
    <row r="115" spans="2:31" ht="14.9" customHeight="1" x14ac:dyDescent="0.35">
      <c r="B115" s="309" t="s">
        <v>381</v>
      </c>
      <c r="C115" s="49"/>
      <c r="D115" s="231"/>
      <c r="E115" s="49"/>
      <c r="F115" s="49"/>
      <c r="G115" s="49"/>
      <c r="H115" s="252"/>
      <c r="I115" s="252"/>
      <c r="J115" s="252"/>
      <c r="K115" s="252"/>
      <c r="L115" s="252"/>
      <c r="M115" s="252"/>
      <c r="N115" s="252"/>
      <c r="O115" s="252"/>
      <c r="P115" s="252"/>
      <c r="Q115" s="252"/>
      <c r="R115" s="252"/>
      <c r="S115" s="252"/>
      <c r="T115" s="1280"/>
      <c r="U115" s="1293"/>
      <c r="V115" s="269"/>
      <c r="W115" s="269"/>
      <c r="X115" s="269"/>
      <c r="Y115" s="269"/>
      <c r="Z115" s="269"/>
      <c r="AA115" s="269"/>
      <c r="AB115" s="269"/>
      <c r="AC115" s="310"/>
      <c r="AD115" s="252"/>
      <c r="AE115" s="252"/>
    </row>
    <row r="116" spans="2:31" ht="14.9" customHeight="1" x14ac:dyDescent="0.35">
      <c r="B116" s="240" t="s">
        <v>150</v>
      </c>
      <c r="C116" s="49"/>
      <c r="D116" s="231"/>
      <c r="E116" s="49"/>
      <c r="F116" s="49"/>
      <c r="G116" s="49"/>
      <c r="H116" s="252"/>
      <c r="I116" s="252"/>
      <c r="J116" s="252">
        <f t="shared" ref="J116:U116" si="30">J13</f>
        <v>28.4</v>
      </c>
      <c r="K116" s="252">
        <f t="shared" si="30"/>
        <v>15.8</v>
      </c>
      <c r="L116" s="252">
        <f t="shared" si="30"/>
        <v>15.2</v>
      </c>
      <c r="M116" s="252">
        <f t="shared" si="30"/>
        <v>28.9</v>
      </c>
      <c r="N116" s="252">
        <f t="shared" si="30"/>
        <v>67.599999999999994</v>
      </c>
      <c r="O116" s="252">
        <f t="shared" si="30"/>
        <v>80.7</v>
      </c>
      <c r="P116" s="252">
        <f t="shared" si="30"/>
        <v>87.2</v>
      </c>
      <c r="Q116" s="252">
        <f t="shared" si="30"/>
        <v>72.400000000000006</v>
      </c>
      <c r="R116" s="252">
        <f t="shared" si="30"/>
        <v>85.9</v>
      </c>
      <c r="S116" s="253">
        <f t="shared" si="30"/>
        <v>68.3</v>
      </c>
      <c r="T116" s="1283">
        <f t="shared" si="30"/>
        <v>64</v>
      </c>
      <c r="U116" s="1104">
        <f t="shared" si="30"/>
        <v>60.929333333333297</v>
      </c>
      <c r="V116" s="269">
        <f>V60+V64+'ARP Quarterly'!L28</f>
        <v>58.594257333333303</v>
      </c>
      <c r="W116" s="269">
        <f>W60+W64+'ARP Quarterly'!M28</f>
        <v>61.672045333333294</v>
      </c>
      <c r="X116" s="269">
        <f>X60+X64+'ARP Quarterly'!N28</f>
        <v>63.261773333333295</v>
      </c>
      <c r="Y116" s="269">
        <f>Y60+Y64+'ARP Quarterly'!O28</f>
        <v>61.518167999999996</v>
      </c>
      <c r="Z116" s="269">
        <f>Z60+Z64+'ARP Quarterly'!P28</f>
        <v>44.428388999999996</v>
      </c>
      <c r="AA116" s="269">
        <f>AA60+AA64+'ARP Quarterly'!Q28</f>
        <v>46.338610000000003</v>
      </c>
      <c r="AB116" s="269">
        <f>AB60+AB64+'ARP Quarterly'!R28</f>
        <v>47.279744500000007</v>
      </c>
      <c r="AC116" s="310">
        <f>AC60+AC64+'ARP Quarterly'!S28</f>
        <v>46.283419000000009</v>
      </c>
      <c r="AD116" s="240"/>
      <c r="AE116" s="252"/>
    </row>
    <row r="117" spans="2:31" x14ac:dyDescent="0.35">
      <c r="B117" s="240" t="s">
        <v>149</v>
      </c>
      <c r="C117" s="52"/>
      <c r="D117" s="346"/>
      <c r="E117" s="52"/>
      <c r="F117" s="52"/>
      <c r="G117" s="52"/>
      <c r="H117" s="252"/>
      <c r="I117" s="252"/>
      <c r="J117" s="252">
        <v>35</v>
      </c>
      <c r="K117" s="252">
        <v>45</v>
      </c>
      <c r="L117" s="252">
        <v>45</v>
      </c>
      <c r="M117" s="252">
        <v>40</v>
      </c>
      <c r="N117" s="252">
        <v>40</v>
      </c>
      <c r="O117" s="252">
        <v>40</v>
      </c>
      <c r="P117" s="252">
        <v>40</v>
      </c>
      <c r="Q117" s="252">
        <v>50</v>
      </c>
      <c r="R117" s="252">
        <v>50</v>
      </c>
      <c r="S117" s="252">
        <v>50</v>
      </c>
      <c r="T117" s="1280">
        <v>50</v>
      </c>
      <c r="U117" s="1287">
        <v>40</v>
      </c>
      <c r="V117" s="269">
        <v>30</v>
      </c>
      <c r="W117" s="269">
        <v>20</v>
      </c>
      <c r="X117" s="269">
        <v>15</v>
      </c>
      <c r="Y117" s="269">
        <v>10</v>
      </c>
      <c r="Z117" s="269"/>
      <c r="AA117" s="269"/>
      <c r="AB117" s="269"/>
      <c r="AC117" s="310"/>
      <c r="AD117" s="80"/>
    </row>
    <row r="118" spans="2:31" ht="28.5" customHeight="1" x14ac:dyDescent="0.35">
      <c r="B118" s="272" t="s">
        <v>382</v>
      </c>
      <c r="C118" s="288"/>
      <c r="D118" s="231"/>
      <c r="E118" s="49"/>
      <c r="F118" s="49"/>
      <c r="G118" s="49"/>
      <c r="H118" s="252"/>
      <c r="I118" s="252"/>
      <c r="J118" s="252"/>
      <c r="K118" s="252"/>
      <c r="L118" s="252"/>
      <c r="M118" s="252"/>
      <c r="N118" s="252">
        <f>'ARP Quarterly'!D47</f>
        <v>0</v>
      </c>
      <c r="O118" s="252">
        <f>'ARP Quarterly'!E47</f>
        <v>0</v>
      </c>
      <c r="P118" s="252">
        <f>'ARP Quarterly'!F47</f>
        <v>34.620851999999999</v>
      </c>
      <c r="Q118" s="252">
        <f>'ARP Quarterly'!G47</f>
        <v>50.996274799999995</v>
      </c>
      <c r="R118" s="252">
        <f>'ARP Quarterly'!H47</f>
        <v>69.350031999999999</v>
      </c>
      <c r="S118" s="252">
        <f>'ARP Quarterly'!I47</f>
        <v>79.295867999999999</v>
      </c>
      <c r="T118" s="1280">
        <f>'ARP Quarterly'!J47</f>
        <v>80.538927999999999</v>
      </c>
      <c r="U118" s="254">
        <f>'ARP Quarterly'!K47</f>
        <v>80.122543199999996</v>
      </c>
      <c r="V118" s="322">
        <f>'ARP Quarterly'!L47</f>
        <v>88.916719999999998</v>
      </c>
      <c r="W118" s="322">
        <f>'ARP Quarterly'!M47</f>
        <v>92.213943999999998</v>
      </c>
      <c r="X118" s="322">
        <f>'ARP Quarterly'!N47</f>
        <v>92.213943999999998</v>
      </c>
      <c r="Y118" s="322">
        <f>'ARP Quarterly'!O47</f>
        <v>94.213943999999998</v>
      </c>
      <c r="Z118" s="322">
        <f>'ARP Quarterly'!P47</f>
        <v>98.916719999999998</v>
      </c>
      <c r="AA118" s="322">
        <f>'ARP Quarterly'!Q47</f>
        <v>98.916719999999998</v>
      </c>
      <c r="AB118" s="322">
        <f>'ARP Quarterly'!R47</f>
        <v>99.081581199999988</v>
      </c>
      <c r="AC118" s="323">
        <f>'ARP Quarterly'!S47</f>
        <v>93.146578000000005</v>
      </c>
      <c r="AD118" s="305"/>
    </row>
    <row r="119" spans="2:31" ht="55.4" customHeight="1" x14ac:dyDescent="0.35">
      <c r="B119" s="280" t="s">
        <v>835</v>
      </c>
      <c r="C119" s="281"/>
      <c r="D119" s="229"/>
      <c r="E119" s="230"/>
      <c r="F119" s="230"/>
      <c r="G119" s="230"/>
      <c r="H119" s="230"/>
      <c r="I119" s="281"/>
      <c r="J119" s="281"/>
      <c r="K119" s="281"/>
      <c r="L119" s="281"/>
      <c r="M119" s="281"/>
      <c r="N119" s="281"/>
      <c r="O119" s="281"/>
      <c r="P119" s="281">
        <v>-50</v>
      </c>
      <c r="Q119" s="281">
        <v>-25</v>
      </c>
      <c r="R119" s="281"/>
      <c r="S119" s="281"/>
      <c r="T119" s="281"/>
      <c r="U119" s="282"/>
      <c r="V119" s="281"/>
      <c r="W119" s="281"/>
      <c r="X119" s="281"/>
      <c r="Y119" s="281">
        <v>12.5</v>
      </c>
      <c r="Z119" s="281">
        <v>12.5</v>
      </c>
      <c r="AA119" s="281">
        <v>12.5</v>
      </c>
      <c r="AB119" s="281">
        <v>12.5</v>
      </c>
      <c r="AC119" s="282"/>
    </row>
    <row r="120" spans="2:31" ht="14.5" customHeight="1" x14ac:dyDescent="0.35">
      <c r="B120" s="225"/>
      <c r="C120" s="163"/>
      <c r="D120" s="163"/>
      <c r="E120" s="163"/>
      <c r="F120" s="163"/>
      <c r="G120" s="163"/>
      <c r="H120" s="163"/>
      <c r="I120" s="163"/>
      <c r="J120" s="163"/>
      <c r="K120" s="163"/>
      <c r="L120" s="163"/>
      <c r="M120" s="163"/>
      <c r="N120" s="163"/>
      <c r="O120" s="163"/>
      <c r="P120" s="163"/>
      <c r="Q120" s="163"/>
      <c r="R120" s="163"/>
      <c r="S120" s="163"/>
      <c r="T120" s="163"/>
      <c r="U120" s="163"/>
      <c r="V120" s="163"/>
      <c r="W120" s="163"/>
      <c r="X120" s="163"/>
      <c r="Y120" s="163"/>
      <c r="Z120" s="163"/>
      <c r="AA120" s="163"/>
      <c r="AB120" s="163"/>
      <c r="AC120" s="163"/>
    </row>
    <row r="121" spans="2:31" ht="14.5" customHeight="1" x14ac:dyDescent="0.35">
      <c r="B121" s="1089" t="s">
        <v>377</v>
      </c>
      <c r="C121" s="163"/>
      <c r="D121" s="163"/>
      <c r="E121" s="163"/>
      <c r="F121" s="163"/>
      <c r="G121" s="163"/>
      <c r="H121" s="163"/>
      <c r="I121" s="163"/>
      <c r="J121" s="163"/>
      <c r="K121" s="163"/>
      <c r="L121" s="163"/>
      <c r="M121" s="163"/>
      <c r="N121" s="163"/>
      <c r="O121" s="163"/>
      <c r="P121" s="163"/>
      <c r="Q121" s="163"/>
      <c r="R121" s="163"/>
      <c r="S121" s="163"/>
      <c r="T121" s="1138">
        <v>454.86592799999988</v>
      </c>
      <c r="U121" s="319">
        <v>432.05586867252998</v>
      </c>
      <c r="V121" s="319">
        <v>436.24025249520497</v>
      </c>
      <c r="W121" s="319">
        <v>434.95046872262196</v>
      </c>
      <c r="X121" s="319">
        <v>435.19341066666652</v>
      </c>
      <c r="Y121" s="319">
        <v>423.66458905143122</v>
      </c>
      <c r="Z121" s="319">
        <v>403.68250183501317</v>
      </c>
      <c r="AA121" s="319">
        <v>408.02133523152685</v>
      </c>
      <c r="AB121" s="319">
        <v>412.64987343333314</v>
      </c>
      <c r="AC121" s="1139">
        <v>395.69525313348845</v>
      </c>
      <c r="AD121" s="1148">
        <f>U108-U121</f>
        <v>16.690674527470094</v>
      </c>
    </row>
    <row r="122" spans="2:31" ht="14.5" customHeight="1" x14ac:dyDescent="0.35">
      <c r="B122" s="339" t="s">
        <v>378</v>
      </c>
      <c r="C122" s="163"/>
      <c r="D122" s="163"/>
      <c r="E122" s="163"/>
      <c r="F122" s="163"/>
      <c r="G122" s="163"/>
      <c r="H122" s="163"/>
      <c r="I122" s="163"/>
      <c r="J122" s="163"/>
      <c r="K122" s="163"/>
      <c r="L122" s="163"/>
      <c r="M122" s="163"/>
      <c r="N122" s="163"/>
      <c r="O122" s="163"/>
      <c r="P122" s="163"/>
      <c r="Q122" s="163"/>
      <c r="R122" s="163"/>
      <c r="S122" s="163"/>
      <c r="T122" s="254"/>
      <c r="U122" s="269"/>
      <c r="V122" s="269"/>
      <c r="W122" s="269"/>
      <c r="X122" s="269"/>
      <c r="Y122" s="269"/>
      <c r="Z122" s="269"/>
      <c r="AA122" s="269"/>
      <c r="AB122" s="269"/>
      <c r="AC122" s="310"/>
      <c r="AD122" s="1148">
        <f t="shared" ref="AD122:AD132" si="31">U109-U122</f>
        <v>0</v>
      </c>
    </row>
    <row r="123" spans="2:31" ht="14.5" customHeight="1" x14ac:dyDescent="0.35">
      <c r="B123" s="240" t="s">
        <v>152</v>
      </c>
      <c r="C123" s="163"/>
      <c r="D123" s="163"/>
      <c r="E123" s="163"/>
      <c r="F123" s="163"/>
      <c r="G123" s="163"/>
      <c r="H123" s="163"/>
      <c r="I123" s="163"/>
      <c r="J123" s="163"/>
      <c r="K123" s="163"/>
      <c r="L123" s="163"/>
      <c r="M123" s="163"/>
      <c r="N123" s="163"/>
      <c r="O123" s="163"/>
      <c r="P123" s="163"/>
      <c r="Q123" s="163"/>
      <c r="R123" s="163"/>
      <c r="S123" s="163"/>
      <c r="T123" s="254">
        <v>6.2</v>
      </c>
      <c r="U123" s="269">
        <v>0</v>
      </c>
      <c r="V123" s="269">
        <v>0</v>
      </c>
      <c r="W123" s="269">
        <v>0</v>
      </c>
      <c r="X123" s="269">
        <v>0</v>
      </c>
      <c r="Y123" s="269">
        <v>0</v>
      </c>
      <c r="Z123" s="269">
        <v>0</v>
      </c>
      <c r="AA123" s="269">
        <v>0</v>
      </c>
      <c r="AB123" s="269">
        <v>0</v>
      </c>
      <c r="AC123" s="310">
        <v>0</v>
      </c>
      <c r="AD123" s="1148">
        <f t="shared" si="31"/>
        <v>0</v>
      </c>
    </row>
    <row r="124" spans="2:31" ht="14.5" customHeight="1" x14ac:dyDescent="0.35">
      <c r="B124" s="240" t="s">
        <v>343</v>
      </c>
      <c r="C124" s="163"/>
      <c r="D124" s="163"/>
      <c r="E124" s="163"/>
      <c r="F124" s="163"/>
      <c r="G124" s="163"/>
      <c r="H124" s="163"/>
      <c r="I124" s="163"/>
      <c r="J124" s="163"/>
      <c r="K124" s="163"/>
      <c r="L124" s="163"/>
      <c r="M124" s="163"/>
      <c r="N124" s="163"/>
      <c r="O124" s="163"/>
      <c r="P124" s="163"/>
      <c r="Q124" s="163"/>
      <c r="R124" s="163"/>
      <c r="S124" s="163"/>
      <c r="T124" s="254">
        <v>9.6666666666666661</v>
      </c>
      <c r="U124" s="269">
        <v>9.6666666666666661</v>
      </c>
      <c r="V124" s="269">
        <v>9.6666666666666661</v>
      </c>
      <c r="W124" s="269">
        <v>9.6666666666666661</v>
      </c>
      <c r="X124" s="269">
        <v>9.6666666666666661</v>
      </c>
      <c r="Y124" s="269">
        <v>0</v>
      </c>
      <c r="Z124" s="269">
        <v>0</v>
      </c>
      <c r="AA124" s="269">
        <v>0</v>
      </c>
      <c r="AB124" s="269">
        <v>0</v>
      </c>
      <c r="AC124" s="310">
        <v>0</v>
      </c>
      <c r="AD124" s="1148">
        <f t="shared" si="31"/>
        <v>0</v>
      </c>
    </row>
    <row r="125" spans="2:31" ht="14.5" customHeight="1" x14ac:dyDescent="0.35">
      <c r="B125" s="240" t="s">
        <v>379</v>
      </c>
      <c r="C125" s="163"/>
      <c r="D125" s="163"/>
      <c r="E125" s="163"/>
      <c r="F125" s="163"/>
      <c r="G125" s="163"/>
      <c r="H125" s="163"/>
      <c r="I125" s="163"/>
      <c r="J125" s="163"/>
      <c r="K125" s="163"/>
      <c r="L125" s="163"/>
      <c r="M125" s="163"/>
      <c r="N125" s="163"/>
      <c r="O125" s="163"/>
      <c r="P125" s="163"/>
      <c r="Q125" s="163"/>
      <c r="R125" s="163"/>
      <c r="S125" s="163"/>
      <c r="T125" s="254">
        <v>12</v>
      </c>
      <c r="U125" s="269">
        <v>12</v>
      </c>
      <c r="V125" s="269">
        <v>12</v>
      </c>
      <c r="W125" s="269">
        <v>12</v>
      </c>
      <c r="X125" s="269">
        <v>12</v>
      </c>
      <c r="Y125" s="269">
        <v>0</v>
      </c>
      <c r="Z125" s="269">
        <v>0</v>
      </c>
      <c r="AA125" s="269">
        <v>0</v>
      </c>
      <c r="AB125" s="269">
        <v>0</v>
      </c>
      <c r="AC125" s="310">
        <v>0</v>
      </c>
      <c r="AD125" s="1148">
        <f t="shared" si="31"/>
        <v>0</v>
      </c>
    </row>
    <row r="126" spans="2:31" ht="14.5" customHeight="1" x14ac:dyDescent="0.35">
      <c r="B126" s="240" t="s">
        <v>380</v>
      </c>
      <c r="C126" s="163"/>
      <c r="D126" s="163"/>
      <c r="E126" s="163"/>
      <c r="F126" s="163"/>
      <c r="G126" s="163"/>
      <c r="H126" s="163"/>
      <c r="I126" s="163"/>
      <c r="J126" s="163"/>
      <c r="K126" s="163"/>
      <c r="L126" s="163"/>
      <c r="M126" s="163"/>
      <c r="N126" s="163"/>
      <c r="O126" s="163"/>
      <c r="P126" s="163"/>
      <c r="Q126" s="163"/>
      <c r="R126" s="163"/>
      <c r="S126" s="163"/>
      <c r="T126" s="255">
        <v>232.39233333333323</v>
      </c>
      <c r="U126" s="1103">
        <v>234.68218947253004</v>
      </c>
      <c r="V126" s="270">
        <v>236.994608495205</v>
      </c>
      <c r="W126" s="270">
        <v>239.32981272262197</v>
      </c>
      <c r="X126" s="270">
        <v>241.68802666666653</v>
      </c>
      <c r="Y126" s="270">
        <v>244.06947705143122</v>
      </c>
      <c r="Z126" s="270">
        <v>246.47439283501319</v>
      </c>
      <c r="AA126" s="270">
        <v>248.90300523152683</v>
      </c>
      <c r="AB126" s="270">
        <v>251.35554773333317</v>
      </c>
      <c r="AC126" s="308">
        <v>253.83225613348844</v>
      </c>
      <c r="AD126" s="1148">
        <f t="shared" si="31"/>
        <v>11.277810527470052</v>
      </c>
    </row>
    <row r="127" spans="2:31" ht="14.5" customHeight="1" x14ac:dyDescent="0.35">
      <c r="B127" s="240" t="s">
        <v>1193</v>
      </c>
      <c r="C127" s="163"/>
      <c r="D127" s="163"/>
      <c r="E127" s="163"/>
      <c r="F127" s="163"/>
      <c r="G127" s="163"/>
      <c r="H127" s="163"/>
      <c r="I127" s="163"/>
      <c r="J127" s="163"/>
      <c r="K127" s="163"/>
      <c r="L127" s="163"/>
      <c r="M127" s="163"/>
      <c r="N127" s="163"/>
      <c r="O127" s="163"/>
      <c r="P127" s="163"/>
      <c r="Q127" s="163"/>
      <c r="R127" s="163"/>
      <c r="S127" s="163"/>
      <c r="T127" s="233">
        <v>6.8000000000000005E-2</v>
      </c>
      <c r="U127" s="234">
        <v>6.8000000000000005E-2</v>
      </c>
      <c r="V127" s="234">
        <v>6.8000000000000005E-2</v>
      </c>
      <c r="W127" s="234">
        <v>6.8000000000000005E-2</v>
      </c>
      <c r="X127" s="234">
        <v>1.363</v>
      </c>
      <c r="Y127" s="234">
        <v>1.363</v>
      </c>
      <c r="Z127" s="234">
        <v>1.363</v>
      </c>
      <c r="AA127" s="234">
        <v>1.363</v>
      </c>
      <c r="AB127" s="234">
        <v>2.4329999999999998</v>
      </c>
      <c r="AC127" s="234">
        <v>2.4329999999999998</v>
      </c>
      <c r="AD127" s="1148">
        <f t="shared" si="31"/>
        <v>0</v>
      </c>
    </row>
    <row r="128" spans="2:31" ht="14.5" customHeight="1" x14ac:dyDescent="0.35">
      <c r="B128" s="309" t="s">
        <v>381</v>
      </c>
      <c r="C128" s="163"/>
      <c r="D128" s="163"/>
      <c r="E128" s="163"/>
      <c r="F128" s="163"/>
      <c r="G128" s="163"/>
      <c r="H128" s="163"/>
      <c r="I128" s="163"/>
      <c r="J128" s="163"/>
      <c r="K128" s="163"/>
      <c r="L128" s="163"/>
      <c r="M128" s="163"/>
      <c r="N128" s="163"/>
      <c r="O128" s="163"/>
      <c r="P128" s="163"/>
      <c r="Q128" s="163"/>
      <c r="R128" s="163"/>
      <c r="S128" s="163"/>
      <c r="T128" s="254"/>
      <c r="U128" s="269"/>
      <c r="V128" s="269"/>
      <c r="W128" s="269"/>
      <c r="X128" s="269"/>
      <c r="Y128" s="269"/>
      <c r="Z128" s="269"/>
      <c r="AA128" s="269"/>
      <c r="AB128" s="269"/>
      <c r="AC128" s="310"/>
      <c r="AD128" s="1148">
        <f t="shared" si="31"/>
        <v>0</v>
      </c>
    </row>
    <row r="129" spans="2:31" ht="14.5" customHeight="1" x14ac:dyDescent="0.35">
      <c r="B129" s="240" t="s">
        <v>150</v>
      </c>
      <c r="C129" s="163"/>
      <c r="D129" s="163"/>
      <c r="E129" s="163"/>
      <c r="F129" s="163"/>
      <c r="G129" s="163"/>
      <c r="H129" s="163"/>
      <c r="I129" s="163"/>
      <c r="J129" s="163"/>
      <c r="K129" s="163"/>
      <c r="L129" s="163"/>
      <c r="M129" s="163"/>
      <c r="N129" s="163"/>
      <c r="O129" s="163"/>
      <c r="P129" s="163"/>
      <c r="Q129" s="163"/>
      <c r="R129" s="163"/>
      <c r="S129" s="163"/>
      <c r="T129" s="261">
        <v>64</v>
      </c>
      <c r="U129" s="1105">
        <v>55.516469333333305</v>
      </c>
      <c r="V129" s="269">
        <v>58.594257333333303</v>
      </c>
      <c r="W129" s="269">
        <v>61.672045333333294</v>
      </c>
      <c r="X129" s="269">
        <v>63.261773333333295</v>
      </c>
      <c r="Y129" s="269">
        <v>61.518167999999996</v>
      </c>
      <c r="Z129" s="269">
        <v>44.428388999999996</v>
      </c>
      <c r="AA129" s="269">
        <v>46.338610000000003</v>
      </c>
      <c r="AB129" s="269">
        <v>47.279744500000007</v>
      </c>
      <c r="AC129" s="310">
        <v>46.283419000000009</v>
      </c>
      <c r="AD129" s="1148">
        <f t="shared" si="31"/>
        <v>5.4128639999999919</v>
      </c>
    </row>
    <row r="130" spans="2:31" ht="14.5" customHeight="1" x14ac:dyDescent="0.35">
      <c r="B130" s="240" t="s">
        <v>149</v>
      </c>
      <c r="C130" s="163"/>
      <c r="D130" s="163"/>
      <c r="E130" s="163"/>
      <c r="F130" s="163"/>
      <c r="G130" s="163"/>
      <c r="H130" s="163"/>
      <c r="I130" s="163"/>
      <c r="J130" s="163"/>
      <c r="K130" s="163"/>
      <c r="L130" s="163"/>
      <c r="M130" s="163"/>
      <c r="N130" s="163"/>
      <c r="O130" s="163"/>
      <c r="P130" s="163"/>
      <c r="Q130" s="163"/>
      <c r="R130" s="163"/>
      <c r="S130" s="163"/>
      <c r="T130" s="254">
        <v>50</v>
      </c>
      <c r="U130" s="269">
        <v>40</v>
      </c>
      <c r="V130" s="269">
        <v>30</v>
      </c>
      <c r="W130" s="269">
        <v>20</v>
      </c>
      <c r="X130" s="269">
        <v>15</v>
      </c>
      <c r="Y130" s="269">
        <v>10</v>
      </c>
      <c r="Z130" s="269"/>
      <c r="AA130" s="269"/>
      <c r="AB130" s="269"/>
      <c r="AC130" s="310"/>
      <c r="AD130" s="1148">
        <f t="shared" si="31"/>
        <v>0</v>
      </c>
    </row>
    <row r="131" spans="2:31" ht="14.5" customHeight="1" x14ac:dyDescent="0.35">
      <c r="B131" s="272" t="s">
        <v>382</v>
      </c>
      <c r="C131" s="163"/>
      <c r="D131" s="163"/>
      <c r="E131" s="163"/>
      <c r="F131" s="163"/>
      <c r="G131" s="163"/>
      <c r="H131" s="163"/>
      <c r="I131" s="163"/>
      <c r="J131" s="163"/>
      <c r="K131" s="163"/>
      <c r="L131" s="163"/>
      <c r="M131" s="163"/>
      <c r="N131" s="163"/>
      <c r="O131" s="163"/>
      <c r="P131" s="163"/>
      <c r="Q131" s="163"/>
      <c r="R131" s="163"/>
      <c r="S131" s="163"/>
      <c r="T131" s="254">
        <v>80.538927999999999</v>
      </c>
      <c r="U131" s="322">
        <v>80.122543199999996</v>
      </c>
      <c r="V131" s="322">
        <v>88.916719999999998</v>
      </c>
      <c r="W131" s="322">
        <v>92.213943999999998</v>
      </c>
      <c r="X131" s="322">
        <v>92.213943999999998</v>
      </c>
      <c r="Y131" s="322">
        <v>94.213943999999998</v>
      </c>
      <c r="Z131" s="322">
        <v>98.916719999999998</v>
      </c>
      <c r="AA131" s="322">
        <v>98.916719999999998</v>
      </c>
      <c r="AB131" s="322">
        <v>99.081581199999988</v>
      </c>
      <c r="AC131" s="323">
        <v>93.146578000000005</v>
      </c>
      <c r="AD131" s="1148">
        <f t="shared" si="31"/>
        <v>0</v>
      </c>
    </row>
    <row r="132" spans="2:31" ht="14.5" customHeight="1" x14ac:dyDescent="0.35">
      <c r="B132" s="280" t="s">
        <v>835</v>
      </c>
      <c r="C132" s="163"/>
      <c r="D132" s="163"/>
      <c r="E132" s="163"/>
      <c r="F132" s="163"/>
      <c r="G132" s="163"/>
      <c r="H132" s="163"/>
      <c r="I132" s="163"/>
      <c r="J132" s="163"/>
      <c r="K132" s="163"/>
      <c r="L132" s="163"/>
      <c r="M132" s="163"/>
      <c r="N132" s="163"/>
      <c r="O132" s="163"/>
      <c r="P132" s="163"/>
      <c r="Q132" s="163"/>
      <c r="R132" s="163"/>
      <c r="S132" s="163"/>
      <c r="T132" s="347"/>
      <c r="U132" s="281"/>
      <c r="V132" s="281"/>
      <c r="W132" s="281"/>
      <c r="X132" s="281"/>
      <c r="Y132" s="281">
        <v>12.5</v>
      </c>
      <c r="Z132" s="281">
        <v>12.5</v>
      </c>
      <c r="AA132" s="281">
        <v>12.5</v>
      </c>
      <c r="AB132" s="281">
        <v>12.5</v>
      </c>
      <c r="AC132" s="282"/>
      <c r="AD132" s="1148">
        <f t="shared" si="31"/>
        <v>0</v>
      </c>
    </row>
    <row r="133" spans="2:31" ht="14.5" customHeight="1" x14ac:dyDescent="0.35">
      <c r="B133" s="225"/>
      <c r="C133" s="163"/>
      <c r="D133" s="163"/>
      <c r="E133" s="163"/>
      <c r="F133" s="163"/>
      <c r="G133" s="163"/>
      <c r="H133" s="163"/>
      <c r="I133" s="163"/>
      <c r="J133" s="163"/>
      <c r="K133" s="163"/>
      <c r="L133" s="163"/>
      <c r="M133" s="163"/>
      <c r="N133" s="163"/>
      <c r="O133" s="163"/>
      <c r="P133" s="163"/>
      <c r="Q133" s="163"/>
      <c r="R133" s="163"/>
      <c r="S133" s="163"/>
      <c r="T133" s="163"/>
      <c r="U133" s="163"/>
      <c r="V133" s="163"/>
      <c r="W133" s="163"/>
      <c r="X133" s="163"/>
      <c r="Y133" s="163"/>
      <c r="Z133" s="163"/>
      <c r="AA133" s="163"/>
      <c r="AB133" s="163"/>
      <c r="AC133" s="163"/>
    </row>
    <row r="134" spans="2:31" x14ac:dyDescent="0.35">
      <c r="B134" s="1634" t="s">
        <v>134</v>
      </c>
      <c r="C134" s="1634"/>
      <c r="D134" s="1634"/>
      <c r="E134" s="1634"/>
      <c r="F134" s="1634"/>
      <c r="G134" s="1634"/>
      <c r="H134" s="1634"/>
      <c r="I134" s="1634"/>
      <c r="J134" s="1634"/>
      <c r="K134" s="1634"/>
      <c r="L134" s="1634"/>
      <c r="M134" s="1634"/>
      <c r="N134" s="1634"/>
      <c r="O134" s="1634"/>
      <c r="P134" s="1634"/>
      <c r="Q134" s="1634"/>
      <c r="R134" s="1634"/>
      <c r="S134" s="1634"/>
      <c r="T134" s="1634"/>
      <c r="U134" s="1634"/>
      <c r="V134" s="1634"/>
      <c r="W134" s="1634"/>
      <c r="X134" s="1634"/>
      <c r="Y134" s="1634"/>
      <c r="Z134" s="147"/>
      <c r="AA134" s="147"/>
      <c r="AB134" s="147"/>
      <c r="AC134" s="147"/>
      <c r="AD134" s="136"/>
      <c r="AE134" s="136"/>
    </row>
    <row r="135" spans="2:31" ht="19.399999999999999" customHeight="1" x14ac:dyDescent="0.35">
      <c r="B135" s="1635" t="s">
        <v>2240</v>
      </c>
      <c r="C135" s="1635"/>
      <c r="D135" s="1635"/>
      <c r="E135" s="1635"/>
      <c r="F135" s="1635"/>
      <c r="G135" s="1635"/>
      <c r="H135" s="1635"/>
      <c r="I135" s="1635"/>
      <c r="J135" s="1635"/>
      <c r="K135" s="1635"/>
      <c r="L135" s="1635"/>
      <c r="M135" s="1635"/>
      <c r="N135" s="1635"/>
      <c r="O135" s="1635"/>
      <c r="P135" s="1635"/>
      <c r="Q135" s="1635"/>
      <c r="R135" s="1635"/>
      <c r="S135" s="1635"/>
      <c r="T135" s="1635"/>
      <c r="U135" s="1635"/>
      <c r="V135" s="1635"/>
      <c r="W135" s="1635"/>
      <c r="X135" s="1635"/>
      <c r="Y135" s="1635"/>
      <c r="Z135" s="1635"/>
      <c r="AA135" s="1635"/>
      <c r="AB135" s="1635"/>
      <c r="AC135" s="1635"/>
      <c r="AD135" s="148"/>
      <c r="AE135" s="148"/>
    </row>
    <row r="136" spans="2:31" ht="11.9" customHeight="1" x14ac:dyDescent="0.35">
      <c r="B136" s="160"/>
      <c r="C136" s="160"/>
      <c r="D136" s="160"/>
      <c r="E136" s="160"/>
      <c r="F136" s="160"/>
      <c r="G136" s="160"/>
      <c r="H136" s="160"/>
      <c r="I136" s="160"/>
      <c r="J136" s="160"/>
      <c r="K136" s="160"/>
      <c r="L136" s="160"/>
      <c r="M136" s="160"/>
      <c r="V136" s="159"/>
      <c r="W136" s="159"/>
      <c r="X136" s="159"/>
      <c r="Y136" s="159"/>
      <c r="Z136" s="159"/>
      <c r="AA136" s="159"/>
      <c r="AB136" s="159"/>
      <c r="AC136" s="159"/>
      <c r="AD136" s="159"/>
      <c r="AE136" s="159"/>
    </row>
    <row r="137" spans="2:31" ht="14.9" customHeight="1" x14ac:dyDescent="0.35">
      <c r="B137" s="1653" t="s">
        <v>279</v>
      </c>
      <c r="C137" s="1654"/>
      <c r="D137" s="1655" t="s">
        <v>280</v>
      </c>
      <c r="E137" s="1656"/>
      <c r="F137" s="1656"/>
      <c r="G137" s="1656"/>
      <c r="H137" s="1656"/>
      <c r="I137" s="1656"/>
      <c r="J137" s="1656"/>
      <c r="K137" s="1656"/>
      <c r="L137" s="1656"/>
      <c r="M137" s="1656"/>
      <c r="N137" s="1656"/>
      <c r="O137" s="1656"/>
      <c r="P137" s="1656"/>
      <c r="Q137" s="1683"/>
      <c r="R137" s="1683"/>
      <c r="S137" s="1683"/>
      <c r="T137" s="1684"/>
      <c r="U137" s="1232"/>
      <c r="V137" s="1651" t="s">
        <v>281</v>
      </c>
      <c r="W137" s="1629"/>
      <c r="X137" s="1629"/>
      <c r="Y137" s="1629"/>
      <c r="Z137" s="1629"/>
      <c r="AA137" s="1629"/>
      <c r="AB137" s="1629"/>
      <c r="AC137" s="1630"/>
      <c r="AD137" s="136"/>
      <c r="AE137" s="136"/>
    </row>
    <row r="138" spans="2:31" x14ac:dyDescent="0.35">
      <c r="B138" s="1641"/>
      <c r="C138" s="1642"/>
      <c r="D138" s="149">
        <v>2018</v>
      </c>
      <c r="E138" s="1624">
        <v>2019</v>
      </c>
      <c r="F138" s="1646"/>
      <c r="G138" s="1646"/>
      <c r="H138" s="1661"/>
      <c r="I138" s="1624">
        <v>2020</v>
      </c>
      <c r="J138" s="1646"/>
      <c r="K138" s="1646"/>
      <c r="L138" s="1646"/>
      <c r="M138" s="1624">
        <v>2021</v>
      </c>
      <c r="N138" s="1646"/>
      <c r="O138" s="1646"/>
      <c r="P138" s="1646"/>
      <c r="Q138" s="1624">
        <v>2022</v>
      </c>
      <c r="R138" s="1625"/>
      <c r="S138" s="1625"/>
      <c r="T138" s="1661"/>
      <c r="U138" s="1228"/>
      <c r="V138" s="1229">
        <v>2023</v>
      </c>
      <c r="W138" s="1229"/>
      <c r="X138" s="1230"/>
      <c r="Y138" s="1633">
        <v>2024</v>
      </c>
      <c r="Z138" s="1631"/>
      <c r="AA138" s="1631"/>
      <c r="AB138" s="1632"/>
      <c r="AC138" s="178">
        <v>2025</v>
      </c>
      <c r="AD138" s="159"/>
      <c r="AE138" s="159"/>
    </row>
    <row r="139" spans="2:31" x14ac:dyDescent="0.35">
      <c r="B139" s="1641"/>
      <c r="C139" s="1642"/>
      <c r="D139" s="132" t="s">
        <v>282</v>
      </c>
      <c r="E139" s="118" t="s">
        <v>283</v>
      </c>
      <c r="F139" s="132" t="s">
        <v>284</v>
      </c>
      <c r="G139" s="132" t="s">
        <v>238</v>
      </c>
      <c r="H139" s="115" t="s">
        <v>282</v>
      </c>
      <c r="I139" s="132" t="s">
        <v>283</v>
      </c>
      <c r="J139" s="132" t="s">
        <v>284</v>
      </c>
      <c r="K139" s="132" t="s">
        <v>238</v>
      </c>
      <c r="L139" s="132" t="s">
        <v>282</v>
      </c>
      <c r="M139" s="118" t="s">
        <v>283</v>
      </c>
      <c r="N139" s="132" t="s">
        <v>284</v>
      </c>
      <c r="O139" s="132" t="s">
        <v>238</v>
      </c>
      <c r="P139" s="132" t="s">
        <v>282</v>
      </c>
      <c r="Q139" s="118" t="s">
        <v>283</v>
      </c>
      <c r="R139" s="132" t="s">
        <v>284</v>
      </c>
      <c r="S139" s="132" t="s">
        <v>238</v>
      </c>
      <c r="T139" s="115" t="s">
        <v>282</v>
      </c>
      <c r="U139" s="1127" t="s">
        <v>283</v>
      </c>
      <c r="V139" s="190" t="s">
        <v>284</v>
      </c>
      <c r="W139" s="190" t="s">
        <v>238</v>
      </c>
      <c r="X139" s="191" t="s">
        <v>282</v>
      </c>
      <c r="Y139" s="189" t="s">
        <v>283</v>
      </c>
      <c r="Z139" s="186" t="s">
        <v>284</v>
      </c>
      <c r="AA139" s="190" t="s">
        <v>238</v>
      </c>
      <c r="AB139" s="190" t="s">
        <v>282</v>
      </c>
      <c r="AC139" s="192" t="s">
        <v>283</v>
      </c>
      <c r="AD139" s="159"/>
      <c r="AE139" s="159"/>
    </row>
    <row r="140" spans="2:31" ht="14.9" customHeight="1" x14ac:dyDescent="0.35">
      <c r="B140" s="345" t="s">
        <v>383</v>
      </c>
      <c r="C140" s="256" t="s">
        <v>384</v>
      </c>
      <c r="D140" s="257"/>
      <c r="E140" s="258"/>
      <c r="F140" s="258"/>
      <c r="G140" s="258"/>
      <c r="H140" s="259">
        <f>'Haver Pivoted'!GS41</f>
        <v>72.367000000000004</v>
      </c>
      <c r="I140" s="259">
        <f>'Haver Pivoted'!GT41</f>
        <v>75.578999999999994</v>
      </c>
      <c r="J140" s="259">
        <f>'Haver Pivoted'!GU41</f>
        <v>76.015000000000001</v>
      </c>
      <c r="K140" s="259">
        <f>'Haver Pivoted'!GV41</f>
        <v>78.872</v>
      </c>
      <c r="L140" s="259">
        <f>'Haver Pivoted'!GW41</f>
        <v>75.819000000000003</v>
      </c>
      <c r="M140" s="259">
        <f>'Haver Pivoted'!GX41</f>
        <v>73.662000000000006</v>
      </c>
      <c r="N140" s="259">
        <f>'Haver Pivoted'!GY41</f>
        <v>75.066000000000003</v>
      </c>
      <c r="O140" s="259">
        <f>'Haver Pivoted'!GZ41</f>
        <v>69.344999999999999</v>
      </c>
      <c r="P140" s="259">
        <f>'Haver Pivoted'!HA41</f>
        <v>72.477000000000004</v>
      </c>
      <c r="Q140" s="259">
        <f>'Haver Pivoted'!HB41</f>
        <v>72.528999999999996</v>
      </c>
      <c r="R140" s="259">
        <f t="shared" ref="R140:S140" si="32">AVERAGE($H$140:$N$140)</f>
        <v>75.340000000000018</v>
      </c>
      <c r="S140" s="259">
        <f t="shared" si="32"/>
        <v>75.340000000000018</v>
      </c>
      <c r="T140" s="1284">
        <f t="shared" ref="T140:AC140" si="33">AVERAGE($H$140:$N$140)+T141</f>
        <v>76.15900000000002</v>
      </c>
      <c r="U140" s="1285">
        <f t="shared" si="33"/>
        <v>76.15900000000002</v>
      </c>
      <c r="V140" s="237">
        <f t="shared" si="33"/>
        <v>76.15900000000002</v>
      </c>
      <c r="W140" s="237">
        <f t="shared" si="33"/>
        <v>76.15900000000002</v>
      </c>
      <c r="X140" s="237">
        <f t="shared" si="33"/>
        <v>77.818000000000012</v>
      </c>
      <c r="Y140" s="237">
        <f t="shared" si="33"/>
        <v>77.818000000000012</v>
      </c>
      <c r="Z140" s="237">
        <f t="shared" si="33"/>
        <v>77.818000000000012</v>
      </c>
      <c r="AA140" s="237">
        <f t="shared" si="33"/>
        <v>77.818000000000012</v>
      </c>
      <c r="AB140" s="237">
        <f t="shared" si="33"/>
        <v>79.41200000000002</v>
      </c>
      <c r="AC140" s="238">
        <f t="shared" si="33"/>
        <v>79.41200000000002</v>
      </c>
      <c r="AD140" s="170"/>
      <c r="AE140" s="170"/>
    </row>
    <row r="141" spans="2:31" x14ac:dyDescent="0.35">
      <c r="B141" s="124" t="s">
        <v>1192</v>
      </c>
      <c r="C141" s="36"/>
      <c r="D141" s="124"/>
      <c r="E141" s="36"/>
      <c r="F141" s="36"/>
      <c r="G141" s="36"/>
      <c r="H141" s="36"/>
      <c r="I141" s="36"/>
      <c r="J141" s="36"/>
      <c r="K141" s="36"/>
      <c r="L141" s="36"/>
      <c r="M141" s="36"/>
      <c r="N141" s="36"/>
      <c r="O141" s="36"/>
      <c r="P141" s="36"/>
      <c r="Q141" s="36"/>
      <c r="R141" s="36"/>
      <c r="S141" s="235">
        <f>'IRA and CHIPS'!E185</f>
        <v>0</v>
      </c>
      <c r="T141" s="235">
        <f>'IRA and CHIPS'!F185</f>
        <v>0.81899999999999995</v>
      </c>
      <c r="U141" s="1286">
        <f>'IRA and CHIPS'!G185</f>
        <v>0.81899999999999995</v>
      </c>
      <c r="V141" s="236">
        <f>'IRA and CHIPS'!H185</f>
        <v>0.81899999999999995</v>
      </c>
      <c r="W141" s="236">
        <f>'IRA and CHIPS'!I185</f>
        <v>0.81899999999999995</v>
      </c>
      <c r="X141" s="236">
        <f>'IRA and CHIPS'!J185</f>
        <v>2.4780000000000002</v>
      </c>
      <c r="Y141" s="236">
        <f>'IRA and CHIPS'!K185</f>
        <v>2.4780000000000002</v>
      </c>
      <c r="Z141" s="236">
        <f>'IRA and CHIPS'!L185</f>
        <v>2.4780000000000002</v>
      </c>
      <c r="AA141" s="236">
        <f>'IRA and CHIPS'!M185</f>
        <v>2.4780000000000002</v>
      </c>
      <c r="AB141" s="236">
        <f>'IRA and CHIPS'!N185</f>
        <v>4.0720000000000001</v>
      </c>
      <c r="AC141" s="239">
        <f>'IRA and CHIPS'!O185</f>
        <v>4.0720000000000001</v>
      </c>
    </row>
    <row r="142" spans="2:31" ht="18.75" customHeight="1" x14ac:dyDescent="0.35"/>
    <row r="143" spans="2:31" ht="21.75" customHeight="1" x14ac:dyDescent="0.35"/>
  </sheetData>
  <mergeCells count="40">
    <mergeCell ref="E27:M32"/>
    <mergeCell ref="B137:C139"/>
    <mergeCell ref="I138:L138"/>
    <mergeCell ref="A99:A100"/>
    <mergeCell ref="B135:AC135"/>
    <mergeCell ref="Y106:AB106"/>
    <mergeCell ref="B105:C107"/>
    <mergeCell ref="I106:L106"/>
    <mergeCell ref="B134:Y134"/>
    <mergeCell ref="E106:H106"/>
    <mergeCell ref="M106:P106"/>
    <mergeCell ref="E138:H138"/>
    <mergeCell ref="Y138:AB138"/>
    <mergeCell ref="M138:P138"/>
    <mergeCell ref="D137:T137"/>
    <mergeCell ref="Q138:T138"/>
    <mergeCell ref="AE58:AF58"/>
    <mergeCell ref="AE62:AF63"/>
    <mergeCell ref="AE68:AF68"/>
    <mergeCell ref="V137:AC137"/>
    <mergeCell ref="B57:AC57"/>
    <mergeCell ref="Q106:R106"/>
    <mergeCell ref="Q81:AH81"/>
    <mergeCell ref="Q82:S82"/>
    <mergeCell ref="T82:Y82"/>
    <mergeCell ref="AD82:AG82"/>
    <mergeCell ref="D105:T105"/>
    <mergeCell ref="V105:AC105"/>
    <mergeCell ref="B1:Y1"/>
    <mergeCell ref="B6:C8"/>
    <mergeCell ref="I7:L7"/>
    <mergeCell ref="AD6:AD8"/>
    <mergeCell ref="AE6:AE8"/>
    <mergeCell ref="E7:H7"/>
    <mergeCell ref="Y7:AB7"/>
    <mergeCell ref="B2:AC4"/>
    <mergeCell ref="M7:P7"/>
    <mergeCell ref="Q7:T7"/>
    <mergeCell ref="D6:T6"/>
    <mergeCell ref="V6:AC6"/>
  </mergeCells>
  <pageMargins left="0.7" right="0.7" top="0.75" bottom="0.75" header="0.3" footer="0.3"/>
  <pageSetup orientation="portrait" r:id="rId1"/>
  <drawing r:id="rId2"/>
  <legacyDrawing r:id="rId3"/>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B1:BF84"/>
  <sheetViews>
    <sheetView zoomScale="80" zoomScaleNormal="80" workbookViewId="0">
      <pane xSplit="2" ySplit="8" topLeftCell="S53" activePane="bottomRight" state="frozen"/>
      <selection pane="topRight" activeCell="C1" sqref="C1"/>
      <selection pane="bottomLeft" activeCell="A9" sqref="A9"/>
      <selection pane="bottomRight" activeCell="V65" sqref="V65:AC65"/>
    </sheetView>
  </sheetViews>
  <sheetFormatPr defaultColWidth="11.453125" defaultRowHeight="14.5" x14ac:dyDescent="0.35"/>
  <cols>
    <col min="2" max="2" width="56.81640625" customWidth="1"/>
    <col min="3" max="3" width="18" customWidth="1"/>
    <col min="4" max="7" width="10" customWidth="1"/>
    <col min="8" max="8" width="14.1796875" customWidth="1"/>
    <col min="9" max="9" width="10.1796875" customWidth="1"/>
    <col min="10" max="10" width="11.81640625" customWidth="1"/>
    <col min="11" max="11" width="13.453125" customWidth="1"/>
    <col min="12" max="12" width="11.453125" customWidth="1"/>
    <col min="13" max="13" width="12" customWidth="1"/>
    <col min="14" max="14" width="9" customWidth="1"/>
    <col min="15" max="16" width="10.1796875" customWidth="1"/>
    <col min="17" max="17" width="12.1796875" customWidth="1"/>
    <col min="18" max="18" width="10" customWidth="1"/>
    <col min="19" max="19" width="9" customWidth="1"/>
    <col min="20" max="26" width="8.81640625" customWidth="1"/>
    <col min="39" max="39" width="31.81640625" customWidth="1"/>
    <col min="41" max="41" width="10.1796875" customWidth="1"/>
  </cols>
  <sheetData>
    <row r="1" spans="2:39" ht="20.25" customHeight="1" x14ac:dyDescent="0.35">
      <c r="B1" s="1634" t="s">
        <v>385</v>
      </c>
      <c r="C1" s="1634"/>
      <c r="D1" s="1634"/>
      <c r="E1" s="1634"/>
      <c r="F1" s="1634"/>
      <c r="G1" s="1634"/>
      <c r="H1" s="1634"/>
      <c r="I1" s="1634"/>
      <c r="J1" s="1634"/>
      <c r="K1" s="1634"/>
      <c r="L1" s="1634"/>
      <c r="M1" s="1634"/>
      <c r="N1" s="1634"/>
      <c r="O1" s="1634"/>
      <c r="P1" s="1634"/>
      <c r="Q1" s="1634"/>
      <c r="R1" s="1634"/>
      <c r="S1" s="1634"/>
      <c r="T1" s="1634"/>
      <c r="U1" s="1634"/>
      <c r="V1" s="1634"/>
      <c r="W1" s="1634"/>
      <c r="X1" s="1634"/>
      <c r="Y1" s="1634"/>
      <c r="Z1" s="1634"/>
      <c r="AA1" s="1634"/>
      <c r="AB1" s="1634"/>
      <c r="AC1" s="1634"/>
    </row>
    <row r="2" spans="2:39" ht="14.25" customHeight="1" x14ac:dyDescent="0.35">
      <c r="B2" s="1674" t="s">
        <v>386</v>
      </c>
      <c r="C2" s="1674"/>
      <c r="D2" s="1674"/>
      <c r="E2" s="1674"/>
      <c r="F2" s="1674"/>
      <c r="G2" s="1674"/>
      <c r="H2" s="1674"/>
      <c r="I2" s="1674"/>
      <c r="J2" s="1674"/>
      <c r="K2" s="1674"/>
      <c r="L2" s="1674"/>
      <c r="M2" s="1674"/>
      <c r="N2" s="1674"/>
      <c r="O2" s="1674"/>
      <c r="P2" s="1674"/>
      <c r="Q2" s="1674"/>
      <c r="R2" s="1674"/>
      <c r="S2" s="1674"/>
      <c r="T2" s="1674"/>
      <c r="U2" s="1674"/>
      <c r="V2" s="1674"/>
      <c r="W2" s="1674"/>
      <c r="X2" s="1674"/>
      <c r="Y2" s="1674"/>
      <c r="Z2" s="1674"/>
      <c r="AA2" s="1674"/>
      <c r="AB2" s="1674"/>
      <c r="AC2" s="1674"/>
    </row>
    <row r="3" spans="2:39" ht="9" customHeight="1" x14ac:dyDescent="0.35">
      <c r="B3" s="1674"/>
      <c r="C3" s="1674"/>
      <c r="D3" s="1674"/>
      <c r="E3" s="1674"/>
      <c r="F3" s="1674"/>
      <c r="G3" s="1674"/>
      <c r="H3" s="1674"/>
      <c r="I3" s="1674"/>
      <c r="J3" s="1674"/>
      <c r="K3" s="1674"/>
      <c r="L3" s="1674"/>
      <c r="M3" s="1674"/>
      <c r="N3" s="1674"/>
      <c r="O3" s="1674"/>
      <c r="P3" s="1674"/>
      <c r="Q3" s="1674"/>
      <c r="R3" s="1674"/>
      <c r="S3" s="1674"/>
      <c r="T3" s="1674"/>
      <c r="U3" s="1674"/>
      <c r="V3" s="1674"/>
      <c r="W3" s="1674"/>
      <c r="X3" s="1674"/>
      <c r="Y3" s="1674"/>
      <c r="Z3" s="1674"/>
      <c r="AA3" s="1674"/>
      <c r="AB3" s="1674"/>
      <c r="AC3" s="1674"/>
    </row>
    <row r="4" spans="2:39" ht="27" customHeight="1" x14ac:dyDescent="0.35">
      <c r="B4" s="1674"/>
      <c r="C4" s="1674"/>
      <c r="D4" s="1674"/>
      <c r="E4" s="1674"/>
      <c r="F4" s="1674"/>
      <c r="G4" s="1674"/>
      <c r="H4" s="1674"/>
      <c r="I4" s="1674"/>
      <c r="J4" s="1674"/>
      <c r="K4" s="1674"/>
      <c r="L4" s="1674"/>
      <c r="M4" s="1674"/>
      <c r="N4" s="1674"/>
      <c r="O4" s="1674"/>
      <c r="P4" s="1674"/>
      <c r="Q4" s="1674"/>
      <c r="R4" s="1674"/>
      <c r="S4" s="1674"/>
      <c r="T4" s="1674"/>
      <c r="U4" s="1674"/>
      <c r="V4" s="1674"/>
      <c r="W4" s="1674"/>
      <c r="X4" s="1674"/>
      <c r="Y4" s="1674"/>
      <c r="Z4" s="1674"/>
      <c r="AA4" s="1674"/>
      <c r="AB4" s="1674"/>
      <c r="AC4" s="1674"/>
      <c r="AE4" s="407"/>
      <c r="AF4" s="407"/>
      <c r="AG4" s="407"/>
      <c r="AH4" s="407"/>
      <c r="AI4" s="407"/>
      <c r="AJ4" s="407"/>
      <c r="AK4" s="407"/>
      <c r="AL4" s="407"/>
      <c r="AM4" s="407"/>
    </row>
    <row r="5" spans="2:39" x14ac:dyDescent="0.35">
      <c r="B5" s="225"/>
      <c r="AC5" s="188"/>
      <c r="AD5" s="188"/>
      <c r="AE5" s="188"/>
      <c r="AF5" s="188"/>
    </row>
    <row r="6" spans="2:39" ht="14.9" customHeight="1" x14ac:dyDescent="0.35">
      <c r="B6" s="1687" t="s">
        <v>279</v>
      </c>
      <c r="C6" s="1688"/>
      <c r="D6" s="1692" t="s">
        <v>280</v>
      </c>
      <c r="E6" s="1693"/>
      <c r="F6" s="1693"/>
      <c r="G6" s="1693"/>
      <c r="H6" s="1693"/>
      <c r="I6" s="1693"/>
      <c r="J6" s="1693"/>
      <c r="K6" s="1693"/>
      <c r="L6" s="1693"/>
      <c r="M6" s="1693"/>
      <c r="N6" s="1693"/>
      <c r="O6" s="1693"/>
      <c r="P6" s="1693"/>
      <c r="Q6" s="1693"/>
      <c r="R6" s="1693"/>
      <c r="S6" s="1693"/>
      <c r="T6" s="1694"/>
      <c r="U6" s="1232"/>
      <c r="V6" s="1651" t="s">
        <v>281</v>
      </c>
      <c r="W6" s="1629"/>
      <c r="X6" s="1629"/>
      <c r="Y6" s="1629"/>
      <c r="Z6" s="1629"/>
      <c r="AA6" s="1629"/>
      <c r="AB6" s="1629"/>
      <c r="AC6" s="1630"/>
    </row>
    <row r="7" spans="2:39" ht="14.9" customHeight="1" x14ac:dyDescent="0.35">
      <c r="B7" s="1689"/>
      <c r="C7" s="1690"/>
      <c r="D7" s="354">
        <v>2018</v>
      </c>
      <c r="E7" s="1685">
        <v>2019</v>
      </c>
      <c r="F7" s="1686"/>
      <c r="G7" s="1686"/>
      <c r="H7" s="1691"/>
      <c r="I7" s="1685">
        <v>2020</v>
      </c>
      <c r="J7" s="1686"/>
      <c r="K7" s="1686"/>
      <c r="L7" s="1686"/>
      <c r="M7" s="1685">
        <v>2021</v>
      </c>
      <c r="N7" s="1686"/>
      <c r="O7" s="1686"/>
      <c r="P7" s="1686"/>
      <c r="Q7" s="1685">
        <v>2022</v>
      </c>
      <c r="R7" s="1695"/>
      <c r="S7" s="1695"/>
      <c r="T7" s="1691"/>
      <c r="U7" s="1228"/>
      <c r="V7" s="1229">
        <v>2023</v>
      </c>
      <c r="W7" s="1229"/>
      <c r="X7" s="1230"/>
      <c r="Y7" s="1633">
        <v>2024</v>
      </c>
      <c r="Z7" s="1631"/>
      <c r="AA7" s="1631"/>
      <c r="AB7" s="1632"/>
      <c r="AC7" s="178">
        <v>2025</v>
      </c>
    </row>
    <row r="8" spans="2:39" x14ac:dyDescent="0.35">
      <c r="B8" s="1689"/>
      <c r="C8" s="1690"/>
      <c r="D8" s="383" t="s">
        <v>282</v>
      </c>
      <c r="E8" s="383" t="s">
        <v>283</v>
      </c>
      <c r="F8" s="384" t="s">
        <v>284</v>
      </c>
      <c r="G8" s="384" t="s">
        <v>238</v>
      </c>
      <c r="H8" s="385" t="s">
        <v>282</v>
      </c>
      <c r="I8" s="384" t="s">
        <v>283</v>
      </c>
      <c r="J8" s="384" t="s">
        <v>284</v>
      </c>
      <c r="K8" s="384" t="s">
        <v>238</v>
      </c>
      <c r="L8" s="384" t="s">
        <v>282</v>
      </c>
      <c r="M8" s="383" t="s">
        <v>283</v>
      </c>
      <c r="N8" s="384" t="s">
        <v>284</v>
      </c>
      <c r="O8" s="384" t="s">
        <v>238</v>
      </c>
      <c r="P8" s="384" t="s">
        <v>282</v>
      </c>
      <c r="Q8" s="383" t="s">
        <v>283</v>
      </c>
      <c r="R8" s="384" t="s">
        <v>284</v>
      </c>
      <c r="S8" s="384" t="s">
        <v>238</v>
      </c>
      <c r="T8" s="385" t="s">
        <v>282</v>
      </c>
      <c r="U8" s="1127" t="s">
        <v>283</v>
      </c>
      <c r="V8" s="190" t="s">
        <v>284</v>
      </c>
      <c r="W8" s="190" t="s">
        <v>238</v>
      </c>
      <c r="X8" s="191" t="s">
        <v>282</v>
      </c>
      <c r="Y8" s="189" t="s">
        <v>283</v>
      </c>
      <c r="Z8" s="186" t="s">
        <v>284</v>
      </c>
      <c r="AA8" s="190" t="s">
        <v>238</v>
      </c>
      <c r="AB8" s="190" t="s">
        <v>282</v>
      </c>
      <c r="AC8" s="192" t="s">
        <v>283</v>
      </c>
    </row>
    <row r="9" spans="2:39" ht="18" customHeight="1" x14ac:dyDescent="0.35">
      <c r="B9" s="364" t="s">
        <v>1810</v>
      </c>
      <c r="C9" s="365"/>
      <c r="D9" s="366"/>
      <c r="E9" s="366"/>
      <c r="F9" s="366"/>
      <c r="G9" s="366"/>
      <c r="H9" s="366"/>
      <c r="I9" s="366"/>
      <c r="J9" s="366"/>
      <c r="K9" s="366"/>
      <c r="L9" s="366"/>
      <c r="M9" s="366"/>
      <c r="N9" s="366"/>
      <c r="O9" s="366"/>
      <c r="P9" s="366"/>
      <c r="Q9" s="348">
        <v>1613.1</v>
      </c>
      <c r="R9" s="348">
        <v>1622.7</v>
      </c>
      <c r="S9" s="348">
        <v>1656.9</v>
      </c>
      <c r="T9" s="348">
        <v>1665.8</v>
      </c>
      <c r="U9" s="1294">
        <v>1683.2</v>
      </c>
      <c r="V9" s="367">
        <v>1699</v>
      </c>
      <c r="W9" s="367">
        <v>1721.1</v>
      </c>
      <c r="X9" s="367">
        <v>1740.7</v>
      </c>
      <c r="Y9" s="367">
        <v>1758.2</v>
      </c>
      <c r="Z9" s="367">
        <v>1774.2</v>
      </c>
      <c r="AA9" s="367">
        <v>1790.4</v>
      </c>
      <c r="AB9" s="367">
        <v>1805.5</v>
      </c>
      <c r="AC9" s="368">
        <v>1819</v>
      </c>
    </row>
    <row r="10" spans="2:39" ht="17.25" customHeight="1" x14ac:dyDescent="0.35">
      <c r="B10" s="382" t="s">
        <v>1811</v>
      </c>
      <c r="C10" s="359"/>
      <c r="D10" s="359"/>
      <c r="E10" s="359"/>
      <c r="F10" s="359"/>
      <c r="G10" s="359"/>
      <c r="H10" s="360"/>
      <c r="I10" s="360"/>
      <c r="J10" s="360"/>
      <c r="K10" s="360"/>
      <c r="L10" s="360"/>
      <c r="M10" s="360"/>
      <c r="N10" s="360"/>
      <c r="O10" s="360"/>
      <c r="P10" s="360"/>
      <c r="Q10" s="349">
        <v>8.6999999999999994E-2</v>
      </c>
      <c r="R10" s="349">
        <v>2.3969999999999998</v>
      </c>
      <c r="S10" s="349">
        <v>8.6859999999999999</v>
      </c>
      <c r="T10" s="349">
        <v>2.1680000000000001</v>
      </c>
      <c r="U10" s="1295">
        <v>4.2469999999999999</v>
      </c>
      <c r="V10" s="361">
        <v>3.8140000000000001</v>
      </c>
      <c r="W10" s="361">
        <v>5.2969999999999997</v>
      </c>
      <c r="X10" s="361">
        <v>4.6420000000000003</v>
      </c>
      <c r="Y10" s="361">
        <v>4.077</v>
      </c>
      <c r="Z10" s="361">
        <v>3.6869999999999998</v>
      </c>
      <c r="AA10" s="361">
        <v>3.7109999999999999</v>
      </c>
      <c r="AB10" s="361">
        <v>3.4009999999999998</v>
      </c>
      <c r="AC10" s="369">
        <v>3.0379999999999998</v>
      </c>
    </row>
    <row r="11" spans="2:39" ht="17.25" customHeight="1" x14ac:dyDescent="0.35">
      <c r="B11" s="382" t="s">
        <v>2241</v>
      </c>
      <c r="C11" s="359"/>
      <c r="D11" s="359"/>
      <c r="E11" s="359"/>
      <c r="F11" s="359"/>
      <c r="G11" s="359"/>
      <c r="H11" s="360"/>
      <c r="I11" s="360"/>
      <c r="J11" s="360"/>
      <c r="K11" s="360"/>
      <c r="L11" s="360"/>
      <c r="M11" s="360"/>
      <c r="N11" s="360"/>
      <c r="O11" s="360"/>
      <c r="P11" s="360"/>
      <c r="Q11" s="349"/>
      <c r="R11" s="349"/>
      <c r="S11" s="349"/>
      <c r="T11" s="349"/>
      <c r="U11" s="1295"/>
      <c r="V11" s="361">
        <v>0</v>
      </c>
      <c r="W11" s="361">
        <v>4.3</v>
      </c>
      <c r="X11" s="361">
        <f t="shared" ref="W11:AC11" si="0">X10</f>
        <v>4.6420000000000003</v>
      </c>
      <c r="Y11" s="361">
        <f t="shared" si="0"/>
        <v>4.077</v>
      </c>
      <c r="Z11" s="361">
        <f t="shared" si="0"/>
        <v>3.6869999999999998</v>
      </c>
      <c r="AA11" s="361">
        <f t="shared" si="0"/>
        <v>3.7109999999999999</v>
      </c>
      <c r="AB11" s="361">
        <f t="shared" si="0"/>
        <v>3.4009999999999998</v>
      </c>
      <c r="AC11" s="361">
        <f t="shared" si="0"/>
        <v>3.0379999999999998</v>
      </c>
      <c r="AD11" t="s">
        <v>2242</v>
      </c>
    </row>
    <row r="12" spans="2:39" ht="17.25" customHeight="1" x14ac:dyDescent="0.35">
      <c r="B12" s="391" t="s">
        <v>195</v>
      </c>
      <c r="C12" s="359" t="s">
        <v>916</v>
      </c>
      <c r="D12" s="359"/>
      <c r="E12" s="359"/>
      <c r="F12" s="359"/>
      <c r="G12" s="359"/>
      <c r="H12" s="349">
        <f>'Haver Pivoted'!GS23</f>
        <v>1437.7</v>
      </c>
      <c r="I12" s="349">
        <f>'Haver Pivoted'!GT23</f>
        <v>1455.6</v>
      </c>
      <c r="J12" s="349">
        <f>'Haver Pivoted'!GU23</f>
        <v>1560</v>
      </c>
      <c r="K12" s="349">
        <f>'Haver Pivoted'!GV23</f>
        <v>1525.3</v>
      </c>
      <c r="L12" s="349">
        <f>'Haver Pivoted'!GW23</f>
        <v>1541.3</v>
      </c>
      <c r="M12" s="349">
        <f>'Haver Pivoted'!GX23</f>
        <v>1620.3</v>
      </c>
      <c r="N12" s="349">
        <f>'Haver Pivoted'!GY23</f>
        <v>1608</v>
      </c>
      <c r="O12" s="349">
        <f>'Haver Pivoted'!GZ23</f>
        <v>1595.5</v>
      </c>
      <c r="P12" s="349">
        <f>'Haver Pivoted'!HA23</f>
        <v>1612.8</v>
      </c>
      <c r="Q12" s="349">
        <f>'Haver Pivoted'!HB23</f>
        <v>1613.1</v>
      </c>
      <c r="R12" s="349">
        <f>'Haver Pivoted'!HC23</f>
        <v>1622.7</v>
      </c>
      <c r="S12" s="362">
        <f>'Haver Pivoted'!HD23</f>
        <v>1657.1</v>
      </c>
      <c r="T12" s="362">
        <f>'Haver Pivoted'!HE23</f>
        <v>1693.8</v>
      </c>
      <c r="U12" s="1296">
        <f>'Haver Pivoted'!HF23</f>
        <v>1739.8</v>
      </c>
      <c r="V12" s="363">
        <f>(1+(V11/100))^(1/4)*U12</f>
        <v>1739.8</v>
      </c>
      <c r="W12" s="363">
        <f t="shared" ref="W12:AC12" si="1">(1+(W11/100))^(1/4)*V12</f>
        <v>1758.2086146051113</v>
      </c>
      <c r="X12" s="363">
        <f t="shared" si="1"/>
        <v>1778.2667638844491</v>
      </c>
      <c r="Y12" s="363">
        <f t="shared" si="1"/>
        <v>1796.1210506048053</v>
      </c>
      <c r="Z12" s="363">
        <f t="shared" si="1"/>
        <v>1812.4526942192465</v>
      </c>
      <c r="AA12" s="363">
        <f t="shared" si="1"/>
        <v>1829.0386617483377</v>
      </c>
      <c r="AB12" s="363">
        <f t="shared" si="1"/>
        <v>1844.3955694413226</v>
      </c>
      <c r="AC12" s="363">
        <f t="shared" si="1"/>
        <v>1858.246935965087</v>
      </c>
    </row>
    <row r="13" spans="2:39" x14ac:dyDescent="0.35">
      <c r="B13" s="386" t="s">
        <v>387</v>
      </c>
      <c r="C13" s="387"/>
      <c r="D13" s="387"/>
      <c r="E13" s="387"/>
      <c r="F13" s="387"/>
      <c r="G13" s="387"/>
      <c r="H13" s="390">
        <f t="shared" ref="H13:AC13" si="2">H12+H70</f>
        <v>1715.8720000000001</v>
      </c>
      <c r="I13" s="390">
        <f t="shared" si="2"/>
        <v>1741.471</v>
      </c>
      <c r="J13" s="390">
        <f t="shared" si="2"/>
        <v>1961.299</v>
      </c>
      <c r="K13" s="390">
        <f t="shared" si="2"/>
        <v>1901.492</v>
      </c>
      <c r="L13" s="390">
        <f t="shared" si="2"/>
        <v>1906.6610000000001</v>
      </c>
      <c r="M13" s="390">
        <f t="shared" si="2"/>
        <v>2009.6410000000001</v>
      </c>
      <c r="N13" s="390">
        <f t="shared" si="2"/>
        <v>2044.5930000000001</v>
      </c>
      <c r="O13" s="390">
        <f t="shared" si="2"/>
        <v>2039.836</v>
      </c>
      <c r="P13" s="390">
        <f t="shared" si="2"/>
        <v>2086.861852</v>
      </c>
      <c r="Q13" s="390">
        <f t="shared" si="2"/>
        <v>2124.0872747999997</v>
      </c>
      <c r="R13" s="390">
        <f t="shared" si="2"/>
        <v>2203.0890319999999</v>
      </c>
      <c r="S13" s="389">
        <f t="shared" si="2"/>
        <v>2224.8278679999999</v>
      </c>
      <c r="T13" s="389">
        <f t="shared" si="2"/>
        <v>2224.824928</v>
      </c>
      <c r="U13" s="1297">
        <f>U12+U70</f>
        <v>2264.7055432000002</v>
      </c>
      <c r="V13" s="388">
        <f t="shared" si="2"/>
        <v>2263.5881878747841</v>
      </c>
      <c r="W13" s="388">
        <f t="shared" si="2"/>
        <v>2280.8192385177676</v>
      </c>
      <c r="X13" s="388">
        <f t="shared" si="2"/>
        <v>2302.8926552990201</v>
      </c>
      <c r="Y13" s="388">
        <f t="shared" si="2"/>
        <v>2309.3325626048054</v>
      </c>
      <c r="Z13" s="388">
        <f t="shared" si="2"/>
        <v>2305.7976888490221</v>
      </c>
      <c r="AA13" s="388">
        <f t="shared" si="2"/>
        <v>2326.8391983775005</v>
      </c>
      <c r="AB13" s="388">
        <f t="shared" si="2"/>
        <v>2348.5365028524766</v>
      </c>
      <c r="AC13" s="371">
        <f t="shared" si="2"/>
        <v>2345.552268965087</v>
      </c>
      <c r="AD13" s="163" t="s">
        <v>388</v>
      </c>
    </row>
    <row r="14" spans="2:39" ht="15.75" customHeight="1" x14ac:dyDescent="0.35">
      <c r="B14" s="154"/>
      <c r="C14" s="154"/>
      <c r="D14" s="154"/>
      <c r="E14" s="154"/>
      <c r="F14" s="154"/>
      <c r="G14" s="154"/>
      <c r="H14" s="164"/>
      <c r="I14" s="164"/>
      <c r="J14" s="164"/>
      <c r="K14" s="164"/>
      <c r="L14" s="164"/>
      <c r="M14" s="164"/>
      <c r="N14" s="164"/>
      <c r="O14" s="164"/>
      <c r="AD14" s="163"/>
    </row>
    <row r="15" spans="2:39" ht="15.75" customHeight="1" x14ac:dyDescent="0.35">
      <c r="B15" s="1087"/>
      <c r="C15" s="1087"/>
      <c r="D15" s="1087"/>
      <c r="E15" s="1087"/>
      <c r="F15" s="1087"/>
      <c r="G15" s="1087"/>
      <c r="H15" s="164"/>
      <c r="I15" s="164"/>
      <c r="J15" s="164"/>
      <c r="K15" s="164"/>
      <c r="L15" s="164"/>
      <c r="M15" s="164"/>
      <c r="N15" s="164"/>
      <c r="O15" s="164"/>
      <c r="T15" s="1106">
        <v>1665.8</v>
      </c>
      <c r="U15" s="1107">
        <v>1683.2</v>
      </c>
      <c r="V15" s="1107">
        <v>1699</v>
      </c>
      <c r="W15" s="1107">
        <v>1721.1</v>
      </c>
      <c r="X15" s="1107">
        <v>1740.7</v>
      </c>
      <c r="Y15" s="1107">
        <v>1758.2</v>
      </c>
      <c r="Z15" s="1107">
        <v>1774.2</v>
      </c>
      <c r="AA15" s="1107">
        <v>1790.4</v>
      </c>
      <c r="AB15" s="1107">
        <v>1805.5</v>
      </c>
      <c r="AC15" s="1108">
        <v>1819</v>
      </c>
      <c r="AD15" s="163"/>
    </row>
    <row r="16" spans="2:39" ht="15.75" customHeight="1" x14ac:dyDescent="0.35">
      <c r="B16" s="1087"/>
      <c r="C16" s="1087"/>
      <c r="D16" s="1087"/>
      <c r="E16" s="1087"/>
      <c r="F16" s="1087"/>
      <c r="G16" s="1087"/>
      <c r="H16" s="164"/>
      <c r="I16" s="164"/>
      <c r="J16" s="164"/>
      <c r="K16" s="164"/>
      <c r="L16" s="164"/>
      <c r="M16" s="164"/>
      <c r="N16" s="164"/>
      <c r="O16" s="164"/>
      <c r="T16" s="349">
        <v>2.1680000000000001</v>
      </c>
      <c r="U16" s="361">
        <v>4.2469999999999999</v>
      </c>
      <c r="V16" s="361">
        <v>3.8140000000000001</v>
      </c>
      <c r="W16" s="361">
        <v>5.2969999999999997</v>
      </c>
      <c r="X16" s="361">
        <v>4.6420000000000003</v>
      </c>
      <c r="Y16" s="361">
        <v>4.077</v>
      </c>
      <c r="Z16" s="361">
        <v>3.6869999999999998</v>
      </c>
      <c r="AA16" s="361">
        <v>3.7109999999999999</v>
      </c>
      <c r="AB16" s="361">
        <v>3.4009999999999998</v>
      </c>
      <c r="AC16" s="369">
        <v>3.0379999999999998</v>
      </c>
      <c r="AD16" s="163"/>
    </row>
    <row r="17" spans="2:31" ht="15.75" customHeight="1" x14ac:dyDescent="0.35">
      <c r="B17" s="1087"/>
      <c r="C17" s="1087"/>
      <c r="D17" s="1087"/>
      <c r="E17" s="1087"/>
      <c r="F17" s="1087"/>
      <c r="G17" s="1087"/>
      <c r="H17" s="164"/>
      <c r="I17" s="164"/>
      <c r="J17" s="164"/>
      <c r="K17" s="164"/>
      <c r="L17" s="164"/>
      <c r="M17" s="164"/>
      <c r="N17" s="164"/>
      <c r="O17" s="164"/>
      <c r="T17" s="362">
        <v>1693.8</v>
      </c>
      <c r="U17" s="1109">
        <v>1711.4924720854842</v>
      </c>
      <c r="V17" s="363">
        <v>1727.5580501860964</v>
      </c>
      <c r="W17" s="363">
        <v>1750.0295233521426</v>
      </c>
      <c r="X17" s="363">
        <v>1769.9589746668264</v>
      </c>
      <c r="Y17" s="363">
        <v>1787.7531276263653</v>
      </c>
      <c r="Z17" s="363">
        <v>1804.0220674750865</v>
      </c>
      <c r="AA17" s="363">
        <v>1820.4943690719167</v>
      </c>
      <c r="AB17" s="363">
        <v>1835.8481810541475</v>
      </c>
      <c r="AC17" s="370">
        <v>1849.5750990515062</v>
      </c>
      <c r="AD17" s="163"/>
    </row>
    <row r="18" spans="2:31" ht="15.75" customHeight="1" x14ac:dyDescent="0.35">
      <c r="B18" s="1087"/>
      <c r="C18" s="1087"/>
      <c r="D18" s="1087"/>
      <c r="E18" s="1087"/>
      <c r="F18" s="1087"/>
      <c r="G18" s="1087"/>
      <c r="H18" s="164"/>
      <c r="I18" s="164"/>
      <c r="J18" s="164"/>
      <c r="K18" s="164"/>
      <c r="L18" s="164"/>
      <c r="M18" s="164"/>
      <c r="N18" s="164"/>
      <c r="O18" s="164"/>
      <c r="T18" s="389">
        <v>2224.824928</v>
      </c>
      <c r="U18" s="388">
        <v>2219.7073407580142</v>
      </c>
      <c r="V18" s="388">
        <v>2239.9573026813014</v>
      </c>
      <c r="W18" s="388">
        <v>2261.1389920747647</v>
      </c>
      <c r="X18" s="388">
        <v>2282.9703853334931</v>
      </c>
      <c r="Y18" s="388">
        <v>2289.2357166777965</v>
      </c>
      <c r="Z18" s="388">
        <v>2285.5225693100997</v>
      </c>
      <c r="AA18" s="388">
        <v>2306.3337043034435</v>
      </c>
      <c r="AB18" s="388">
        <v>2327.9100544874809</v>
      </c>
      <c r="AC18" s="371">
        <v>2324.6823521849947</v>
      </c>
      <c r="AD18" s="163"/>
    </row>
    <row r="19" spans="2:31" ht="15.75" customHeight="1" x14ac:dyDescent="0.35">
      <c r="B19" s="1087"/>
      <c r="C19" s="1087"/>
      <c r="D19" s="1087"/>
      <c r="E19" s="1087"/>
      <c r="F19" s="1087"/>
      <c r="G19" s="1087"/>
      <c r="H19" s="164"/>
      <c r="I19" s="164"/>
      <c r="J19" s="164"/>
      <c r="K19" s="164"/>
      <c r="L19" s="164"/>
      <c r="M19" s="164"/>
      <c r="N19" s="164"/>
      <c r="O19" s="164"/>
      <c r="AD19" s="163"/>
    </row>
    <row r="20" spans="2:31" ht="15.75" customHeight="1" x14ac:dyDescent="0.35">
      <c r="B20" s="1087"/>
      <c r="C20" s="1087"/>
      <c r="D20" s="1087"/>
      <c r="E20" s="1087"/>
      <c r="F20" s="1087"/>
      <c r="G20" s="1087"/>
      <c r="H20" s="164"/>
      <c r="I20" s="164"/>
      <c r="J20" s="164"/>
      <c r="K20" s="164"/>
      <c r="L20" s="164"/>
      <c r="M20" s="164"/>
      <c r="N20" s="164"/>
      <c r="O20" s="164"/>
      <c r="U20" s="1628" t="s">
        <v>2211</v>
      </c>
      <c r="V20" s="1628"/>
      <c r="W20" s="1628"/>
      <c r="X20" s="1628"/>
      <c r="Y20" s="1628"/>
      <c r="Z20" s="1628"/>
      <c r="AD20" s="163"/>
    </row>
    <row r="21" spans="2:31" ht="15.75" customHeight="1" x14ac:dyDescent="0.35">
      <c r="B21" s="1087"/>
      <c r="C21" s="1087"/>
      <c r="D21" s="1087"/>
      <c r="E21" s="1087"/>
      <c r="F21" s="1087"/>
      <c r="G21" s="1087"/>
      <c r="H21" s="164"/>
      <c r="I21" s="164"/>
      <c r="J21" s="164"/>
      <c r="K21" s="164"/>
      <c r="L21" s="164"/>
      <c r="M21" s="164"/>
      <c r="N21" s="164"/>
      <c r="O21" s="164"/>
      <c r="U21" s="1628"/>
      <c r="V21" s="1628"/>
      <c r="W21" s="1628"/>
      <c r="X21" s="1628"/>
      <c r="Y21" s="1628"/>
      <c r="Z21" s="1628"/>
      <c r="AD21" s="163"/>
    </row>
    <row r="22" spans="2:31" ht="15.75" customHeight="1" x14ac:dyDescent="0.35">
      <c r="B22" s="1521"/>
      <c r="C22" s="1521"/>
      <c r="D22" s="1521"/>
      <c r="E22" s="1521"/>
      <c r="F22" s="1521"/>
      <c r="G22" s="1521"/>
      <c r="H22" s="164"/>
      <c r="I22" s="164"/>
      <c r="J22" s="164"/>
      <c r="K22" s="164"/>
      <c r="L22" s="164"/>
      <c r="M22" s="164"/>
      <c r="N22" s="164"/>
      <c r="O22" s="164"/>
      <c r="AD22" s="163"/>
    </row>
    <row r="23" spans="2:31" ht="15.75" customHeight="1" x14ac:dyDescent="0.35">
      <c r="B23" s="1521"/>
      <c r="C23" s="1521"/>
      <c r="D23" s="1521"/>
      <c r="E23" s="1521"/>
      <c r="F23" s="1521"/>
      <c r="G23" s="1521"/>
      <c r="H23" s="164"/>
      <c r="I23" s="164"/>
      <c r="J23" s="164"/>
      <c r="K23" s="164"/>
      <c r="L23" s="164"/>
      <c r="M23" s="164"/>
      <c r="N23" s="164"/>
      <c r="O23" s="164"/>
      <c r="AD23" s="163"/>
    </row>
    <row r="24" spans="2:31" ht="15.75" customHeight="1" x14ac:dyDescent="0.35">
      <c r="B24" s="1521"/>
      <c r="C24" s="1521"/>
      <c r="D24" s="1521"/>
      <c r="E24" s="1521"/>
      <c r="F24" s="1521"/>
      <c r="G24" s="1521"/>
      <c r="H24" s="164"/>
      <c r="I24" s="164"/>
      <c r="J24" s="164"/>
      <c r="K24" s="164"/>
      <c r="L24" s="164"/>
      <c r="M24" s="164"/>
      <c r="N24" s="164"/>
      <c r="O24" s="164"/>
      <c r="AD24" s="163"/>
    </row>
    <row r="25" spans="2:31" ht="15.75" customHeight="1" x14ac:dyDescent="0.35">
      <c r="B25" s="1521"/>
      <c r="C25" s="1521"/>
      <c r="D25" s="1521"/>
      <c r="E25" s="1521"/>
      <c r="F25" s="1521"/>
      <c r="G25" s="1521"/>
      <c r="H25" s="164"/>
      <c r="I25" s="164"/>
      <c r="J25" s="164"/>
      <c r="K25" s="164"/>
      <c r="L25" s="164"/>
      <c r="M25" s="164"/>
      <c r="N25" s="164"/>
      <c r="O25" s="164"/>
      <c r="AD25" s="163"/>
    </row>
    <row r="26" spans="2:31" ht="15.75" customHeight="1" x14ac:dyDescent="0.35">
      <c r="B26" s="1087"/>
      <c r="C26" s="1087"/>
      <c r="D26" s="1087"/>
      <c r="E26" s="1087"/>
      <c r="F26" s="1087"/>
      <c r="G26" s="1087"/>
      <c r="H26" s="164"/>
      <c r="I26" s="164"/>
      <c r="J26" s="164"/>
      <c r="K26" s="164"/>
      <c r="L26" s="164"/>
      <c r="M26" s="164"/>
      <c r="N26" s="164"/>
      <c r="O26" s="164"/>
      <c r="AD26" s="163"/>
    </row>
    <row r="27" spans="2:31" x14ac:dyDescent="0.35">
      <c r="B27" s="154"/>
      <c r="C27" s="154"/>
      <c r="D27" s="154"/>
      <c r="E27" s="154"/>
      <c r="F27" s="154"/>
      <c r="G27" s="154"/>
      <c r="H27" s="164"/>
      <c r="I27" s="164"/>
      <c r="J27" s="164"/>
      <c r="K27" s="164"/>
      <c r="L27" s="164"/>
      <c r="M27" s="164"/>
      <c r="N27" s="164"/>
      <c r="O27" s="164"/>
      <c r="P27" s="401"/>
      <c r="Q27" s="401"/>
      <c r="R27" s="401"/>
      <c r="S27" s="401"/>
      <c r="T27" s="401"/>
      <c r="U27" s="401"/>
      <c r="V27" s="401"/>
      <c r="W27" s="401"/>
      <c r="X27" s="401"/>
      <c r="Y27" s="401"/>
      <c r="Z27" s="401"/>
      <c r="AA27" s="401"/>
      <c r="AB27" s="401"/>
      <c r="AC27" s="401"/>
    </row>
    <row r="28" spans="2:31" ht="21.75" customHeight="1" x14ac:dyDescent="0.35">
      <c r="B28" s="1634" t="s">
        <v>165</v>
      </c>
      <c r="C28" s="1634"/>
      <c r="D28" s="1634"/>
      <c r="E28" s="1634"/>
      <c r="F28" s="1634"/>
      <c r="G28" s="1634"/>
      <c r="H28" s="1634"/>
      <c r="I28" s="1634"/>
      <c r="J28" s="1634"/>
      <c r="K28" s="1634"/>
      <c r="L28" s="1634"/>
      <c r="M28" s="1634"/>
      <c r="N28" s="1634"/>
      <c r="O28" s="1634"/>
      <c r="P28" s="1634"/>
      <c r="Q28" s="1634"/>
      <c r="R28" s="1634"/>
      <c r="S28" s="1634"/>
      <c r="T28" s="1634"/>
      <c r="U28" s="1634"/>
      <c r="V28" s="1634"/>
      <c r="W28" s="1634"/>
      <c r="X28" s="1634"/>
      <c r="Y28" s="1634"/>
      <c r="Z28" s="1634"/>
      <c r="AA28" s="1634"/>
      <c r="AB28" s="1634"/>
      <c r="AC28" s="1634"/>
      <c r="AE28" s="120"/>
    </row>
    <row r="29" spans="2:31" ht="14.25" customHeight="1" x14ac:dyDescent="0.35">
      <c r="B29" s="1635" t="s">
        <v>389</v>
      </c>
      <c r="C29" s="1635"/>
      <c r="D29" s="1635"/>
      <c r="E29" s="1635"/>
      <c r="F29" s="1635"/>
      <c r="G29" s="1635"/>
      <c r="H29" s="1635"/>
      <c r="I29" s="1635"/>
      <c r="J29" s="1635"/>
      <c r="K29" s="1635"/>
      <c r="L29" s="1635"/>
      <c r="M29" s="1635"/>
      <c r="N29" s="1635"/>
      <c r="O29" s="1635"/>
      <c r="P29" s="1635"/>
      <c r="Q29" s="1635"/>
      <c r="R29" s="1635"/>
      <c r="S29" s="1635"/>
      <c r="T29" s="1635"/>
      <c r="U29" s="1635"/>
      <c r="V29" s="1635"/>
      <c r="W29" s="1635"/>
      <c r="X29" s="1635"/>
      <c r="Y29" s="1635"/>
      <c r="Z29" s="1635"/>
      <c r="AA29" s="1635"/>
      <c r="AB29" s="1635"/>
      <c r="AC29" s="1635"/>
      <c r="AE29" s="120"/>
    </row>
    <row r="30" spans="2:31" x14ac:dyDescent="0.35">
      <c r="B30" s="1635"/>
      <c r="C30" s="1635"/>
      <c r="D30" s="1635"/>
      <c r="E30" s="1635"/>
      <c r="F30" s="1635"/>
      <c r="G30" s="1635"/>
      <c r="H30" s="1635"/>
      <c r="I30" s="1635"/>
      <c r="J30" s="1635"/>
      <c r="K30" s="1635"/>
      <c r="L30" s="1635"/>
      <c r="M30" s="1635"/>
      <c r="N30" s="1635"/>
      <c r="O30" s="1635"/>
      <c r="P30" s="1635"/>
      <c r="Q30" s="1635"/>
      <c r="R30" s="1635"/>
      <c r="S30" s="1635"/>
      <c r="T30" s="1635"/>
      <c r="U30" s="1635"/>
      <c r="V30" s="1635"/>
      <c r="W30" s="1635"/>
      <c r="X30" s="1635"/>
      <c r="Y30" s="1635"/>
      <c r="Z30" s="1635"/>
      <c r="AA30" s="1635"/>
      <c r="AB30" s="1635"/>
      <c r="AC30" s="1635"/>
    </row>
    <row r="31" spans="2:31" x14ac:dyDescent="0.35">
      <c r="B31" s="1635"/>
      <c r="C31" s="1635"/>
      <c r="D31" s="1635"/>
      <c r="E31" s="1635"/>
      <c r="F31" s="1635"/>
      <c r="G31" s="1635"/>
      <c r="H31" s="1635"/>
      <c r="I31" s="1635"/>
      <c r="J31" s="1635"/>
      <c r="K31" s="1635"/>
      <c r="L31" s="1635"/>
      <c r="M31" s="1635"/>
      <c r="N31" s="1635"/>
      <c r="O31" s="1635"/>
      <c r="P31" s="1635"/>
      <c r="Q31" s="1635"/>
      <c r="R31" s="1635"/>
      <c r="S31" s="1635"/>
      <c r="T31" s="1635"/>
      <c r="U31" s="1635"/>
      <c r="V31" s="1635"/>
      <c r="W31" s="1635"/>
      <c r="X31" s="1635"/>
      <c r="Y31" s="1635"/>
      <c r="Z31" s="1635"/>
      <c r="AA31" s="1635"/>
      <c r="AB31" s="1635"/>
      <c r="AC31" s="1635"/>
    </row>
    <row r="33" spans="2:30" x14ac:dyDescent="0.35">
      <c r="B33" s="1653" t="s">
        <v>279</v>
      </c>
      <c r="C33" s="1654"/>
      <c r="D33" s="1649" t="s">
        <v>280</v>
      </c>
      <c r="E33" s="1650"/>
      <c r="F33" s="1650"/>
      <c r="G33" s="1650"/>
      <c r="H33" s="1650"/>
      <c r="I33" s="1650"/>
      <c r="J33" s="1650"/>
      <c r="K33" s="1650"/>
      <c r="L33" s="1650"/>
      <c r="M33" s="1650"/>
      <c r="N33" s="1650"/>
      <c r="O33" s="1650"/>
      <c r="P33" s="1650"/>
      <c r="Q33" s="1650"/>
      <c r="R33" s="1650"/>
      <c r="S33" s="1650"/>
      <c r="T33" s="1650"/>
      <c r="U33" s="1232"/>
      <c r="V33" s="1651" t="s">
        <v>281</v>
      </c>
      <c r="W33" s="1629"/>
      <c r="X33" s="1629"/>
      <c r="Y33" s="1629"/>
      <c r="Z33" s="1629"/>
      <c r="AA33" s="1629"/>
      <c r="AB33" s="1629"/>
      <c r="AC33" s="1630"/>
    </row>
    <row r="34" spans="2:30" x14ac:dyDescent="0.35">
      <c r="B34" s="1641"/>
      <c r="C34" s="1642"/>
      <c r="D34" s="127">
        <v>2018</v>
      </c>
      <c r="E34" s="1624">
        <v>2019</v>
      </c>
      <c r="F34" s="1625"/>
      <c r="G34" s="1625"/>
      <c r="H34" s="1661"/>
      <c r="I34" s="1624">
        <v>2020</v>
      </c>
      <c r="J34" s="1625"/>
      <c r="K34" s="1625"/>
      <c r="L34" s="1625"/>
      <c r="M34" s="1624">
        <v>2021</v>
      </c>
      <c r="N34" s="1625"/>
      <c r="O34" s="1625"/>
      <c r="P34" s="1625"/>
      <c r="Q34" s="1624">
        <v>2022</v>
      </c>
      <c r="R34" s="1625"/>
      <c r="S34" s="1625"/>
      <c r="T34" s="1661"/>
      <c r="U34" s="1228"/>
      <c r="V34" s="1229">
        <v>2023</v>
      </c>
      <c r="W34" s="1229"/>
      <c r="X34" s="1230"/>
      <c r="Y34" s="1633">
        <v>2024</v>
      </c>
      <c r="Z34" s="1631"/>
      <c r="AA34" s="1631"/>
      <c r="AB34" s="1632"/>
      <c r="AC34" s="178">
        <v>2025</v>
      </c>
    </row>
    <row r="35" spans="2:30" x14ac:dyDescent="0.35">
      <c r="B35" s="1641"/>
      <c r="C35" s="1642"/>
      <c r="D35" s="118" t="s">
        <v>282</v>
      </c>
      <c r="E35" s="118" t="s">
        <v>283</v>
      </c>
      <c r="F35" s="132" t="s">
        <v>284</v>
      </c>
      <c r="G35" s="132" t="s">
        <v>238</v>
      </c>
      <c r="H35" s="115" t="s">
        <v>282</v>
      </c>
      <c r="I35" s="132" t="s">
        <v>283</v>
      </c>
      <c r="J35" s="132" t="s">
        <v>284</v>
      </c>
      <c r="K35" s="132" t="s">
        <v>238</v>
      </c>
      <c r="L35" s="132" t="s">
        <v>282</v>
      </c>
      <c r="M35" s="118" t="s">
        <v>283</v>
      </c>
      <c r="N35" s="132" t="s">
        <v>284</v>
      </c>
      <c r="O35" s="132" t="s">
        <v>238</v>
      </c>
      <c r="P35" s="132" t="s">
        <v>282</v>
      </c>
      <c r="Q35" s="118" t="s">
        <v>283</v>
      </c>
      <c r="R35" s="132" t="s">
        <v>284</v>
      </c>
      <c r="S35" s="132" t="s">
        <v>238</v>
      </c>
      <c r="T35" s="115" t="s">
        <v>282</v>
      </c>
      <c r="U35" s="1127" t="s">
        <v>283</v>
      </c>
      <c r="V35" s="190" t="s">
        <v>284</v>
      </c>
      <c r="W35" s="190" t="s">
        <v>238</v>
      </c>
      <c r="X35" s="191" t="s">
        <v>282</v>
      </c>
      <c r="Y35" s="189" t="s">
        <v>283</v>
      </c>
      <c r="Z35" s="186" t="s">
        <v>284</v>
      </c>
      <c r="AA35" s="190" t="s">
        <v>238</v>
      </c>
      <c r="AB35" s="190" t="s">
        <v>282</v>
      </c>
      <c r="AC35" s="192" t="s">
        <v>283</v>
      </c>
    </row>
    <row r="36" spans="2:30" x14ac:dyDescent="0.35">
      <c r="B36" s="409" t="s">
        <v>111</v>
      </c>
      <c r="C36" s="396" t="s">
        <v>390</v>
      </c>
      <c r="D36" s="396"/>
      <c r="E36" s="396"/>
      <c r="F36" s="396"/>
      <c r="G36" s="396"/>
      <c r="H36" s="395">
        <f>'Haver Pivoted'!GS24</f>
        <v>2384.1999999999998</v>
      </c>
      <c r="I36" s="395">
        <f>'Haver Pivoted'!GT24</f>
        <v>2427.4</v>
      </c>
      <c r="J36" s="395">
        <f>'Haver Pivoted'!GU24</f>
        <v>2391.8000000000002</v>
      </c>
      <c r="K36" s="395">
        <f>'Haver Pivoted'!GV24</f>
        <v>2397.6</v>
      </c>
      <c r="L36" s="395">
        <f>'Haver Pivoted'!GW24</f>
        <v>2416.5</v>
      </c>
      <c r="M36" s="395">
        <f>'Haver Pivoted'!GX24</f>
        <v>2468.4</v>
      </c>
      <c r="N36" s="395">
        <f>'Haver Pivoted'!GY24</f>
        <v>2516.4</v>
      </c>
      <c r="O36" s="395">
        <f>'Haver Pivoted'!GZ24</f>
        <v>2587.6</v>
      </c>
      <c r="P36" s="395">
        <f>'Haver Pivoted'!HA24</f>
        <v>2633.9</v>
      </c>
      <c r="Q36" s="395">
        <f>'Haver Pivoted'!HB24</f>
        <v>2698.2</v>
      </c>
      <c r="R36" s="395">
        <f>'Haver Pivoted'!HC24</f>
        <v>2790</v>
      </c>
      <c r="S36" s="381">
        <f>'Haver Pivoted'!HD24</f>
        <v>2836</v>
      </c>
      <c r="T36" s="381">
        <f>'Haver Pivoted'!HE24</f>
        <v>2881.6</v>
      </c>
      <c r="U36" s="1298">
        <f>'Haver Pivoted'!HF24</f>
        <v>2906.3</v>
      </c>
      <c r="V36" s="357"/>
      <c r="W36" s="357"/>
      <c r="X36" s="357"/>
      <c r="Y36" s="357"/>
      <c r="Z36" s="357"/>
      <c r="AA36" s="357"/>
      <c r="AB36" s="357"/>
      <c r="AC36" s="200"/>
    </row>
    <row r="37" spans="2:30" ht="29.25" customHeight="1" x14ac:dyDescent="0.35">
      <c r="B37" s="416" t="s">
        <v>1812</v>
      </c>
      <c r="C37" s="375"/>
      <c r="D37" s="375"/>
      <c r="E37" s="375"/>
      <c r="F37" s="375"/>
      <c r="G37" s="375"/>
      <c r="H37" s="164"/>
      <c r="I37" s="164"/>
      <c r="J37" s="164"/>
      <c r="K37" s="164"/>
      <c r="L37" s="164"/>
      <c r="M37" s="164"/>
      <c r="N37" s="164"/>
      <c r="O37" s="164"/>
      <c r="P37" s="164"/>
      <c r="Q37" s="376">
        <v>2698.2</v>
      </c>
      <c r="R37" s="376">
        <v>2790</v>
      </c>
      <c r="S37" s="376">
        <v>2829.6</v>
      </c>
      <c r="T37" s="1301">
        <v>2871.1</v>
      </c>
      <c r="U37" s="650">
        <v>2900.1</v>
      </c>
      <c r="V37" s="377">
        <v>2932.7</v>
      </c>
      <c r="W37" s="377">
        <v>2970.6</v>
      </c>
      <c r="X37" s="377">
        <v>3002.9</v>
      </c>
      <c r="Y37" s="377">
        <v>3034.4</v>
      </c>
      <c r="Z37" s="377">
        <v>3062.5</v>
      </c>
      <c r="AA37" s="377">
        <v>3090.1</v>
      </c>
      <c r="AB37" s="377">
        <v>3117.6</v>
      </c>
      <c r="AC37" s="378">
        <v>3146.1</v>
      </c>
    </row>
    <row r="38" spans="2:30" ht="21" customHeight="1" x14ac:dyDescent="0.35">
      <c r="B38" s="392" t="s">
        <v>391</v>
      </c>
      <c r="C38" s="154"/>
      <c r="D38" s="154"/>
      <c r="E38" s="154"/>
      <c r="F38" s="154"/>
      <c r="G38" s="154"/>
      <c r="H38" s="161"/>
      <c r="I38" s="161"/>
      <c r="J38" s="161"/>
      <c r="K38" s="161"/>
      <c r="L38" s="161"/>
      <c r="M38" s="372">
        <f>((M39/L39)^4-1)*100</f>
        <v>8.8716871433844435</v>
      </c>
      <c r="N38" s="372">
        <f t="shared" ref="N38:Q38" si="3">((N39/M39)^4-1)*100</f>
        <v>8.0081568848658691</v>
      </c>
      <c r="O38" s="372">
        <f t="shared" si="3"/>
        <v>11.807223761379305</v>
      </c>
      <c r="P38" s="372">
        <f t="shared" si="3"/>
        <v>7.3516092986590564</v>
      </c>
      <c r="Q38" s="372">
        <f t="shared" si="3"/>
        <v>10.128423587170188</v>
      </c>
      <c r="R38" s="372">
        <f>((R39/Q39)^4-1)*100</f>
        <v>14.319485516488072</v>
      </c>
      <c r="S38" s="373">
        <f>((S39/R39)^4-1)*100</f>
        <v>6.7598839303983915</v>
      </c>
      <c r="T38" s="1302">
        <f>((T39/S39)^4-1)*100</f>
        <v>6.5883835073017982</v>
      </c>
      <c r="U38" s="1299">
        <f>((U39/T39)^4-1)*100</f>
        <v>3.4729868742956471</v>
      </c>
      <c r="V38" s="175">
        <f t="shared" ref="V38:AC38" si="4">((V37/U37)^4-1)*100</f>
        <v>4.5727823733710871</v>
      </c>
      <c r="W38" s="175">
        <f t="shared" si="4"/>
        <v>5.2703701851707363</v>
      </c>
      <c r="X38" s="175">
        <f t="shared" si="4"/>
        <v>4.4207415105887327</v>
      </c>
      <c r="Y38" s="175">
        <f t="shared" si="4"/>
        <v>4.2624291366428535</v>
      </c>
      <c r="Z38" s="175">
        <f t="shared" si="4"/>
        <v>3.7559642184341602</v>
      </c>
      <c r="AA38" s="175">
        <f t="shared" si="4"/>
        <v>3.6539237455461615</v>
      </c>
      <c r="AB38" s="175">
        <f t="shared" si="4"/>
        <v>3.6075573724492882</v>
      </c>
      <c r="AC38" s="175">
        <f t="shared" si="4"/>
        <v>3.7071070833272657</v>
      </c>
      <c r="AD38" s="407" t="s">
        <v>392</v>
      </c>
    </row>
    <row r="39" spans="2:30" ht="17.899999999999999" customHeight="1" x14ac:dyDescent="0.35">
      <c r="B39" s="414" t="s">
        <v>393</v>
      </c>
      <c r="C39" s="193"/>
      <c r="D39" s="193"/>
      <c r="E39" s="193"/>
      <c r="F39" s="193"/>
      <c r="G39" s="193"/>
      <c r="H39" s="167">
        <f t="shared" ref="H39:T39" si="5">H36</f>
        <v>2384.1999999999998</v>
      </c>
      <c r="I39" s="167">
        <f t="shared" si="5"/>
        <v>2427.4</v>
      </c>
      <c r="J39" s="167">
        <f t="shared" si="5"/>
        <v>2391.8000000000002</v>
      </c>
      <c r="K39" s="167">
        <f t="shared" si="5"/>
        <v>2397.6</v>
      </c>
      <c r="L39" s="167">
        <f t="shared" si="5"/>
        <v>2416.5</v>
      </c>
      <c r="M39" s="167">
        <f t="shared" si="5"/>
        <v>2468.4</v>
      </c>
      <c r="N39" s="167">
        <f t="shared" si="5"/>
        <v>2516.4</v>
      </c>
      <c r="O39" s="167">
        <f t="shared" si="5"/>
        <v>2587.6</v>
      </c>
      <c r="P39" s="167">
        <f t="shared" si="5"/>
        <v>2633.9</v>
      </c>
      <c r="Q39" s="167">
        <f t="shared" si="5"/>
        <v>2698.2</v>
      </c>
      <c r="R39" s="167">
        <f t="shared" si="5"/>
        <v>2790</v>
      </c>
      <c r="S39" s="165">
        <f t="shared" si="5"/>
        <v>2836</v>
      </c>
      <c r="T39" s="1218">
        <f t="shared" si="5"/>
        <v>2881.6</v>
      </c>
      <c r="U39" s="173">
        <f t="shared" ref="U39" si="6">U36</f>
        <v>2906.3</v>
      </c>
      <c r="V39" s="358">
        <f t="shared" ref="V39:AC39" si="7">U39*((1+V38/100)^0.25)</f>
        <v>2938.9696941484776</v>
      </c>
      <c r="W39" s="358">
        <f t="shared" si="7"/>
        <v>2976.9507189407263</v>
      </c>
      <c r="X39" s="358">
        <f t="shared" si="7"/>
        <v>3009.3197717320099</v>
      </c>
      <c r="Y39" s="358">
        <f t="shared" si="7"/>
        <v>3040.8871142374405</v>
      </c>
      <c r="Z39" s="358">
        <f t="shared" si="7"/>
        <v>3069.0471880279993</v>
      </c>
      <c r="AA39" s="358">
        <f t="shared" si="7"/>
        <v>3096.7061928899002</v>
      </c>
      <c r="AB39" s="358">
        <f t="shared" si="7"/>
        <v>3124.2649839660703</v>
      </c>
      <c r="AC39" s="358">
        <f t="shared" si="7"/>
        <v>3152.8259128995555</v>
      </c>
    </row>
    <row r="40" spans="2:30" x14ac:dyDescent="0.35">
      <c r="B40" s="393" t="s">
        <v>394</v>
      </c>
      <c r="C40" s="394"/>
      <c r="D40" s="394"/>
      <c r="E40" s="394"/>
      <c r="F40" s="394"/>
      <c r="G40" s="394"/>
      <c r="H40" s="406">
        <f t="shared" ref="H40:P40" si="8">H36-H70</f>
        <v>2106.0279999999998</v>
      </c>
      <c r="I40" s="406">
        <f t="shared" si="8"/>
        <v>2141.529</v>
      </c>
      <c r="J40" s="406">
        <f t="shared" si="8"/>
        <v>1990.5010000000002</v>
      </c>
      <c r="K40" s="406">
        <f t="shared" si="8"/>
        <v>2021.4079999999999</v>
      </c>
      <c r="L40" s="406">
        <f t="shared" si="8"/>
        <v>2051.1390000000001</v>
      </c>
      <c r="M40" s="406">
        <f t="shared" si="8"/>
        <v>2079.0590000000002</v>
      </c>
      <c r="N40" s="406">
        <f t="shared" si="8"/>
        <v>2079.8069999999998</v>
      </c>
      <c r="O40" s="406">
        <f t="shared" si="8"/>
        <v>2143.2640000000001</v>
      </c>
      <c r="P40" s="406">
        <f t="shared" si="8"/>
        <v>2159.8381479999998</v>
      </c>
      <c r="Q40" s="406">
        <f t="shared" ref="Q40:AC40" si="9">Q39-Q70</f>
        <v>2187.2127252</v>
      </c>
      <c r="R40" s="406">
        <f t="shared" si="9"/>
        <v>2209.610968</v>
      </c>
      <c r="S40" s="406">
        <f t="shared" si="9"/>
        <v>2268.2721320000001</v>
      </c>
      <c r="T40" s="406">
        <f t="shared" si="9"/>
        <v>2350.5750720000001</v>
      </c>
      <c r="U40" s="318">
        <f t="shared" si="9"/>
        <v>2381.3944568000002</v>
      </c>
      <c r="V40" s="186">
        <f t="shared" si="9"/>
        <v>2415.1815062736932</v>
      </c>
      <c r="W40" s="186">
        <f t="shared" si="9"/>
        <v>2454.3400950280702</v>
      </c>
      <c r="X40" s="186">
        <f t="shared" si="9"/>
        <v>2484.6938803174389</v>
      </c>
      <c r="Y40" s="186">
        <f t="shared" si="9"/>
        <v>2527.6756022374402</v>
      </c>
      <c r="Z40" s="186">
        <f t="shared" si="9"/>
        <v>2575.7021933982232</v>
      </c>
      <c r="AA40" s="186">
        <f t="shared" si="9"/>
        <v>2598.9056562607375</v>
      </c>
      <c r="AB40" s="186">
        <f t="shared" si="9"/>
        <v>2620.1240505549163</v>
      </c>
      <c r="AC40" s="344">
        <f t="shared" si="9"/>
        <v>2665.5205798995557</v>
      </c>
      <c r="AD40" s="163" t="s">
        <v>395</v>
      </c>
    </row>
    <row r="41" spans="2:30" x14ac:dyDescent="0.35">
      <c r="B41" s="35"/>
      <c r="C41" s="35"/>
      <c r="D41" s="35"/>
      <c r="E41" s="35"/>
      <c r="F41" s="35"/>
      <c r="G41" s="35"/>
      <c r="H41" s="35"/>
      <c r="I41" s="35"/>
      <c r="J41" s="35"/>
      <c r="K41" s="35"/>
      <c r="L41" s="35"/>
      <c r="M41" s="120"/>
      <c r="N41" s="120"/>
      <c r="O41" s="120"/>
      <c r="P41" s="120"/>
      <c r="Q41" s="120"/>
      <c r="R41" s="120"/>
      <c r="S41" s="108"/>
      <c r="T41" s="108"/>
      <c r="U41" s="108"/>
      <c r="V41" s="108"/>
      <c r="W41" s="108"/>
      <c r="X41" s="108"/>
      <c r="Y41" s="108"/>
      <c r="Z41" s="108"/>
      <c r="AA41" s="108"/>
      <c r="AB41" s="108"/>
      <c r="AC41" s="108"/>
    </row>
    <row r="42" spans="2:30" x14ac:dyDescent="0.35">
      <c r="B42" s="1086"/>
      <c r="C42" s="1086"/>
      <c r="D42" s="1086"/>
      <c r="E42" s="1086"/>
      <c r="F42" s="1086"/>
      <c r="G42" s="1086"/>
      <c r="H42" s="1086"/>
      <c r="I42" s="1086"/>
      <c r="J42" s="1086"/>
      <c r="K42" s="1086"/>
      <c r="L42" s="1086"/>
      <c r="M42" s="120"/>
      <c r="N42" s="120"/>
      <c r="O42" s="120"/>
      <c r="P42" s="120"/>
      <c r="Q42" s="120"/>
      <c r="R42" s="120"/>
      <c r="S42" s="108"/>
      <c r="T42" s="1110">
        <v>2881.6</v>
      </c>
      <c r="U42" s="1111"/>
      <c r="V42" s="201"/>
      <c r="W42" s="201"/>
      <c r="X42" s="201"/>
      <c r="Y42" s="201"/>
      <c r="Z42" s="201"/>
      <c r="AA42" s="201"/>
      <c r="AB42" s="201"/>
      <c r="AC42" s="1112"/>
    </row>
    <row r="43" spans="2:30" x14ac:dyDescent="0.35">
      <c r="B43" s="1086"/>
      <c r="C43" s="1086"/>
      <c r="D43" s="1086"/>
      <c r="E43" s="1086"/>
      <c r="F43" s="1086"/>
      <c r="G43" s="1086"/>
      <c r="H43" s="1086"/>
      <c r="I43" s="1086"/>
      <c r="J43" s="1086"/>
      <c r="K43" s="1086"/>
      <c r="L43" s="1086"/>
      <c r="M43" s="120"/>
      <c r="N43" s="120"/>
      <c r="O43" s="120"/>
      <c r="P43" s="120"/>
      <c r="Q43" s="120"/>
      <c r="R43" s="120"/>
      <c r="S43" s="108"/>
      <c r="T43" s="376">
        <v>2871.1</v>
      </c>
      <c r="U43" s="628">
        <v>2900.1</v>
      </c>
      <c r="V43" s="377">
        <v>2932.7</v>
      </c>
      <c r="W43" s="377">
        <v>2970.6</v>
      </c>
      <c r="X43" s="377">
        <v>3002.9</v>
      </c>
      <c r="Y43" s="377">
        <v>3034.4</v>
      </c>
      <c r="Z43" s="377">
        <v>3062.5</v>
      </c>
      <c r="AA43" s="377">
        <v>3090.1</v>
      </c>
      <c r="AB43" s="377">
        <v>3117.6</v>
      </c>
      <c r="AC43" s="378">
        <v>3146.1</v>
      </c>
    </row>
    <row r="44" spans="2:30" x14ac:dyDescent="0.35">
      <c r="B44" s="1086"/>
      <c r="C44" s="1086"/>
      <c r="D44" s="1086"/>
      <c r="E44" s="1086"/>
      <c r="F44" s="1086"/>
      <c r="G44" s="1086"/>
      <c r="H44" s="1086"/>
      <c r="I44" s="1086"/>
      <c r="J44" s="1086"/>
      <c r="K44" s="1086"/>
      <c r="L44" s="1086"/>
      <c r="M44" s="120"/>
      <c r="N44" s="120"/>
      <c r="O44" s="120"/>
      <c r="P44" s="120"/>
      <c r="Q44" s="120"/>
      <c r="R44" s="120"/>
      <c r="S44" s="108"/>
      <c r="T44" s="373">
        <v>6.5883835073017982</v>
      </c>
      <c r="U44" s="1113">
        <v>4.1018905342404821</v>
      </c>
      <c r="V44" s="175">
        <v>4.5727823733710871</v>
      </c>
      <c r="W44" s="175">
        <v>5.2703701851707363</v>
      </c>
      <c r="X44" s="175">
        <v>4.4207415105887327</v>
      </c>
      <c r="Y44" s="175">
        <v>4.2624291366428535</v>
      </c>
      <c r="Z44" s="175">
        <v>3.7559642184341602</v>
      </c>
      <c r="AA44" s="175">
        <v>3.6539237455461615</v>
      </c>
      <c r="AB44" s="175">
        <v>3.6075573724492882</v>
      </c>
      <c r="AC44" s="175">
        <v>3.7071070833272657</v>
      </c>
    </row>
    <row r="45" spans="2:30" x14ac:dyDescent="0.35">
      <c r="B45" s="1086"/>
      <c r="C45" s="1086"/>
      <c r="D45" s="1086"/>
      <c r="E45" s="1086"/>
      <c r="F45" s="1086"/>
      <c r="G45" s="1086"/>
      <c r="H45" s="1086"/>
      <c r="I45" s="1086"/>
      <c r="J45" s="1086"/>
      <c r="K45" s="1086"/>
      <c r="L45" s="1086"/>
      <c r="M45" s="120"/>
      <c r="N45" s="120"/>
      <c r="O45" s="120"/>
      <c r="P45" s="120"/>
      <c r="Q45" s="120"/>
      <c r="R45" s="120"/>
      <c r="S45" s="108"/>
      <c r="T45" s="165">
        <v>2881.6</v>
      </c>
      <c r="U45" s="1114">
        <v>2910.7060569119849</v>
      </c>
      <c r="V45" s="358">
        <v>2943.4252795095954</v>
      </c>
      <c r="W45" s="358">
        <v>2981.4638849221551</v>
      </c>
      <c r="X45" s="358">
        <v>3013.8820103792973</v>
      </c>
      <c r="Y45" s="358">
        <v>3045.4972101285221</v>
      </c>
      <c r="Z45" s="358">
        <v>3073.6999756191003</v>
      </c>
      <c r="AA45" s="358">
        <v>3101.4009125422303</v>
      </c>
      <c r="AB45" s="358">
        <v>3129.0014837518715</v>
      </c>
      <c r="AC45" s="358">
        <v>3157.6057120964088</v>
      </c>
    </row>
    <row r="46" spans="2:30" x14ac:dyDescent="0.35">
      <c r="B46" s="1086"/>
      <c r="C46" s="1086"/>
      <c r="D46" s="1086"/>
      <c r="E46" s="1086"/>
      <c r="F46" s="1086"/>
      <c r="G46" s="1086"/>
      <c r="H46" s="1086"/>
      <c r="I46" s="1086"/>
      <c r="J46" s="1086"/>
      <c r="K46" s="1086"/>
      <c r="L46" s="1086"/>
      <c r="M46" s="120"/>
      <c r="N46" s="120"/>
      <c r="O46" s="120"/>
      <c r="P46" s="120"/>
      <c r="Q46" s="120"/>
      <c r="R46" s="120"/>
      <c r="S46" s="108"/>
      <c r="T46" s="406">
        <v>2350.5750720000001</v>
      </c>
      <c r="U46" s="1115">
        <v>2402.4911882394549</v>
      </c>
      <c r="V46" s="186">
        <v>2431.0260270143904</v>
      </c>
      <c r="W46" s="186">
        <v>2470.3544161995333</v>
      </c>
      <c r="X46" s="186">
        <v>2500.8705997126308</v>
      </c>
      <c r="Y46" s="186">
        <v>2544.0146210770909</v>
      </c>
      <c r="Z46" s="186">
        <v>2592.1994737840869</v>
      </c>
      <c r="AA46" s="186">
        <v>2615.5615773107033</v>
      </c>
      <c r="AB46" s="186">
        <v>2636.9396103185381</v>
      </c>
      <c r="AC46" s="344">
        <v>2682.4984589629203</v>
      </c>
    </row>
    <row r="47" spans="2:30" x14ac:dyDescent="0.35">
      <c r="B47" s="1086"/>
      <c r="C47" s="1086"/>
      <c r="D47" s="1086"/>
      <c r="E47" s="1086"/>
      <c r="F47" s="1086"/>
      <c r="G47" s="1086"/>
      <c r="H47" s="1086"/>
      <c r="I47" s="1086"/>
      <c r="J47" s="1086"/>
      <c r="K47" s="1086"/>
      <c r="L47" s="1086"/>
      <c r="M47" s="120"/>
      <c r="N47" s="120"/>
      <c r="O47" s="120"/>
      <c r="P47" s="120"/>
      <c r="Q47" s="120"/>
      <c r="R47" s="120"/>
      <c r="S47" s="108"/>
      <c r="T47" s="108"/>
      <c r="U47" s="108"/>
      <c r="V47" s="108"/>
      <c r="W47" s="108"/>
      <c r="X47" s="108"/>
      <c r="Y47" s="108"/>
      <c r="Z47" s="108"/>
      <c r="AA47" s="108"/>
      <c r="AB47" s="108"/>
      <c r="AC47" s="108"/>
    </row>
    <row r="48" spans="2:30" x14ac:dyDescent="0.35">
      <c r="B48" s="1086"/>
      <c r="C48" s="1086"/>
      <c r="D48" s="1086"/>
      <c r="E48" s="1086"/>
      <c r="F48" s="1086"/>
      <c r="G48" s="1086"/>
      <c r="H48" s="1086"/>
      <c r="I48" s="1086"/>
      <c r="J48" s="1086"/>
      <c r="K48" s="1086"/>
      <c r="L48" s="1086"/>
      <c r="M48" s="120"/>
      <c r="N48" s="120"/>
      <c r="O48" s="120"/>
      <c r="P48" s="120"/>
      <c r="Q48" s="120"/>
      <c r="R48" s="120"/>
      <c r="S48" s="108"/>
      <c r="T48" s="108"/>
      <c r="U48" s="108"/>
      <c r="V48" s="108"/>
      <c r="W48" s="108"/>
      <c r="X48" s="108"/>
      <c r="Y48" s="108"/>
      <c r="Z48" s="108"/>
      <c r="AA48" s="108"/>
      <c r="AB48" s="108"/>
      <c r="AC48" s="108"/>
    </row>
    <row r="49" spans="2:33" x14ac:dyDescent="0.35">
      <c r="B49" s="1086"/>
      <c r="C49" s="1086"/>
      <c r="D49" s="1086"/>
      <c r="E49" s="1086"/>
      <c r="F49" s="1086"/>
      <c r="G49" s="1086"/>
      <c r="H49" s="1086"/>
      <c r="I49" s="1086"/>
      <c r="J49" s="1086"/>
      <c r="K49" s="1086"/>
      <c r="L49" s="1086"/>
      <c r="M49" s="120"/>
      <c r="N49" s="120"/>
      <c r="O49" s="120"/>
      <c r="P49" s="120"/>
      <c r="Q49" s="120"/>
      <c r="R49" s="120"/>
      <c r="S49" s="108"/>
      <c r="T49" s="108"/>
      <c r="U49" s="108"/>
      <c r="V49" s="108"/>
      <c r="W49" s="108"/>
      <c r="X49" s="108"/>
      <c r="Y49" s="108"/>
      <c r="Z49" s="108"/>
      <c r="AA49" s="108"/>
      <c r="AB49" s="108"/>
      <c r="AC49" s="108"/>
    </row>
    <row r="50" spans="2:33" x14ac:dyDescent="0.35">
      <c r="B50" s="35"/>
      <c r="C50" s="35"/>
      <c r="D50" s="35"/>
      <c r="E50" s="35"/>
      <c r="F50" s="35"/>
      <c r="G50" s="35"/>
      <c r="H50" s="35"/>
      <c r="I50" s="35"/>
      <c r="J50" s="35"/>
      <c r="K50" s="35"/>
      <c r="L50" s="35"/>
      <c r="M50" s="120"/>
      <c r="N50" s="120"/>
      <c r="O50" s="120"/>
      <c r="P50" s="120"/>
      <c r="Q50" s="120"/>
      <c r="R50" s="120"/>
      <c r="S50" s="108"/>
      <c r="T50" s="108"/>
      <c r="U50" s="108"/>
      <c r="V50" s="108"/>
      <c r="W50" s="108"/>
      <c r="X50" s="108"/>
      <c r="Y50" s="108"/>
      <c r="Z50" s="108"/>
      <c r="AA50" s="108"/>
      <c r="AB50" s="108"/>
      <c r="AC50" s="108"/>
    </row>
    <row r="51" spans="2:33" x14ac:dyDescent="0.35">
      <c r="B51" s="35"/>
      <c r="C51" s="35"/>
      <c r="D51" s="35"/>
      <c r="E51" s="35"/>
      <c r="F51" s="35"/>
      <c r="G51" s="35"/>
      <c r="H51" s="35"/>
      <c r="I51" s="35"/>
      <c r="J51" s="35"/>
      <c r="K51" s="35"/>
      <c r="L51" s="35"/>
      <c r="M51" s="120"/>
      <c r="N51" s="120"/>
      <c r="O51" s="120"/>
      <c r="P51" s="120"/>
      <c r="Q51" s="120"/>
      <c r="R51" s="120"/>
      <c r="S51" s="108"/>
      <c r="T51" s="108"/>
      <c r="U51" s="108"/>
      <c r="V51" s="108"/>
      <c r="W51" s="108"/>
      <c r="X51" s="108"/>
      <c r="Y51" s="108"/>
      <c r="Z51" s="108"/>
      <c r="AA51" s="108"/>
      <c r="AB51" s="108"/>
      <c r="AC51" s="108"/>
    </row>
    <row r="52" spans="2:33" x14ac:dyDescent="0.35">
      <c r="B52" s="154"/>
      <c r="C52" s="154"/>
      <c r="D52" s="154"/>
      <c r="E52" s="154"/>
      <c r="F52" s="154"/>
      <c r="G52" s="154"/>
      <c r="H52" s="164"/>
      <c r="I52" s="164"/>
      <c r="J52" s="164"/>
      <c r="K52" s="164"/>
      <c r="L52" s="164"/>
      <c r="M52" s="164"/>
      <c r="N52" s="164"/>
      <c r="O52" s="164"/>
      <c r="P52" s="164"/>
      <c r="Q52" s="402"/>
      <c r="R52" s="164"/>
      <c r="S52" s="164"/>
      <c r="T52" s="164"/>
      <c r="U52" s="164"/>
      <c r="V52" s="164"/>
      <c r="W52" s="164"/>
      <c r="X52" s="164"/>
      <c r="Y52" s="164"/>
      <c r="Z52" s="164"/>
    </row>
    <row r="53" spans="2:33" ht="85.4" customHeight="1" x14ac:dyDescent="0.35">
      <c r="B53" s="408" t="s">
        <v>888</v>
      </c>
      <c r="C53" s="413" t="s">
        <v>887</v>
      </c>
      <c r="D53" s="411">
        <v>44197</v>
      </c>
      <c r="E53" s="412">
        <v>44228</v>
      </c>
      <c r="F53" s="412">
        <v>44256</v>
      </c>
      <c r="G53" s="412">
        <v>44287</v>
      </c>
      <c r="H53" s="412">
        <v>44317</v>
      </c>
      <c r="I53" s="412">
        <v>44348</v>
      </c>
      <c r="J53" s="412">
        <v>44378</v>
      </c>
      <c r="K53" s="412">
        <v>44409</v>
      </c>
      <c r="L53" s="412">
        <v>44440</v>
      </c>
      <c r="M53" s="412">
        <v>44470</v>
      </c>
      <c r="N53" s="412">
        <v>44501</v>
      </c>
      <c r="O53" s="412">
        <v>44531</v>
      </c>
      <c r="P53" s="404">
        <v>44562</v>
      </c>
      <c r="Q53" s="403">
        <v>44593</v>
      </c>
      <c r="R53" s="404">
        <v>44621</v>
      </c>
      <c r="S53" s="404">
        <v>44652</v>
      </c>
      <c r="T53" s="404">
        <v>44682</v>
      </c>
      <c r="U53" s="404">
        <v>44713</v>
      </c>
      <c r="V53" s="404">
        <v>44743</v>
      </c>
      <c r="W53" s="404">
        <v>44774</v>
      </c>
      <c r="X53" s="404">
        <v>44805</v>
      </c>
      <c r="Y53" s="404">
        <v>44835</v>
      </c>
      <c r="Z53" s="404">
        <v>44866</v>
      </c>
      <c r="AA53" s="404">
        <v>44896</v>
      </c>
      <c r="AB53" s="404">
        <v>44927</v>
      </c>
      <c r="AC53" s="404">
        <v>44958</v>
      </c>
      <c r="AD53" s="404">
        <v>44986</v>
      </c>
    </row>
    <row r="54" spans="2:33" ht="19.5" customHeight="1" x14ac:dyDescent="0.35">
      <c r="B54" s="306" t="s">
        <v>396</v>
      </c>
      <c r="C54" s="400" t="s">
        <v>397</v>
      </c>
      <c r="D54" s="35">
        <v>5162</v>
      </c>
      <c r="E54" s="35">
        <v>5167</v>
      </c>
      <c r="F54" s="35">
        <v>5195</v>
      </c>
      <c r="G54" s="35">
        <v>5191</v>
      </c>
      <c r="H54" s="35">
        <v>5179</v>
      </c>
      <c r="I54" s="35">
        <v>5190</v>
      </c>
      <c r="J54" s="35">
        <f>[1]Sheet1!H$2</f>
        <v>5241</v>
      </c>
      <c r="K54" s="35">
        <f>[1]Sheet1!I$2</f>
        <v>5226</v>
      </c>
      <c r="L54" s="35">
        <f>[1]Sheet1!J$2</f>
        <v>5224</v>
      </c>
      <c r="M54" s="35">
        <f>[1]Sheet1!K$2</f>
        <v>5224</v>
      </c>
      <c r="N54" s="35">
        <f>[1]Sheet1!L$2</f>
        <v>5220</v>
      </c>
      <c r="O54" s="35">
        <f>[1]Sheet1!M$2</f>
        <v>5237</v>
      </c>
      <c r="P54" s="35">
        <v>5101</v>
      </c>
      <c r="Q54" s="35">
        <v>5088</v>
      </c>
      <c r="R54" s="35">
        <v>5063</v>
      </c>
      <c r="S54" s="35">
        <v>5077</v>
      </c>
      <c r="T54" s="35">
        <v>5092</v>
      </c>
      <c r="U54" s="35">
        <v>5090</v>
      </c>
      <c r="V54" s="35">
        <v>5103</v>
      </c>
      <c r="W54" s="35">
        <v>5109</v>
      </c>
      <c r="X54" s="35">
        <v>5115</v>
      </c>
      <c r="Y54" s="1539">
        <v>5104</v>
      </c>
      <c r="Z54" s="1540">
        <v>5116</v>
      </c>
      <c r="AA54" s="1541">
        <v>5087</v>
      </c>
      <c r="AB54" s="1541">
        <v>5156</v>
      </c>
      <c r="AC54" s="1541">
        <v>5171</v>
      </c>
      <c r="AD54" s="1544">
        <v>5184</v>
      </c>
    </row>
    <row r="55" spans="2:33" ht="18" customHeight="1" x14ac:dyDescent="0.35">
      <c r="B55" s="153" t="s">
        <v>398</v>
      </c>
      <c r="C55" s="163" t="s">
        <v>399</v>
      </c>
      <c r="D55" s="35">
        <f>[1]Sheet1!B$3</f>
        <v>13748</v>
      </c>
      <c r="E55" s="35">
        <f>[1]Sheet1!C$3</f>
        <v>13760</v>
      </c>
      <c r="F55" s="35">
        <f>[1]Sheet1!D$3</f>
        <v>13801</v>
      </c>
      <c r="G55" s="35">
        <f>[1]Sheet1!E$3</f>
        <v>13842</v>
      </c>
      <c r="H55" s="35">
        <f>[1]Sheet1!F$3</f>
        <v>13856</v>
      </c>
      <c r="I55" s="35">
        <f>[1]Sheet1!G$3</f>
        <v>13889</v>
      </c>
      <c r="J55" s="35">
        <f>[1]Sheet1!H$3</f>
        <v>13948</v>
      </c>
      <c r="K55" s="35">
        <f>[1]Sheet1!I$3</f>
        <v>13984</v>
      </c>
      <c r="L55" s="35">
        <f>[1]Sheet1!J$3</f>
        <v>14002</v>
      </c>
      <c r="M55" s="35">
        <f>[1]Sheet1!K$3</f>
        <v>13990</v>
      </c>
      <c r="N55" s="35">
        <f>[1]Sheet1!L$3</f>
        <v>14010</v>
      </c>
      <c r="O55" s="35">
        <f>[1]Sheet1!M$3</f>
        <v>14028</v>
      </c>
      <c r="P55" s="35">
        <v>14100</v>
      </c>
      <c r="Q55" s="35">
        <v>14120</v>
      </c>
      <c r="R55" s="35">
        <v>14137</v>
      </c>
      <c r="S55" s="35">
        <v>14153</v>
      </c>
      <c r="T55" s="35">
        <v>14162</v>
      </c>
      <c r="U55" s="35">
        <v>14169</v>
      </c>
      <c r="V55" s="35">
        <v>14215</v>
      </c>
      <c r="W55" s="35">
        <v>14257</v>
      </c>
      <c r="X55" s="35">
        <v>14255</v>
      </c>
      <c r="Y55" s="1542">
        <v>14287</v>
      </c>
      <c r="Z55" s="1210">
        <v>14335</v>
      </c>
      <c r="AA55" s="1262">
        <v>14370</v>
      </c>
      <c r="AB55" s="1262">
        <v>14408</v>
      </c>
      <c r="AC55" s="1262">
        <v>14444</v>
      </c>
      <c r="AD55" s="1545">
        <v>14470</v>
      </c>
      <c r="AG55" s="163"/>
    </row>
    <row r="56" spans="2:33" ht="19.5" customHeight="1" x14ac:dyDescent="0.35">
      <c r="B56" s="393" t="s">
        <v>400</v>
      </c>
      <c r="C56" s="230" t="s">
        <v>401</v>
      </c>
      <c r="D56" s="36">
        <f>[1]Sheet1!B$4</f>
        <v>328517</v>
      </c>
      <c r="E56" s="36">
        <f>[1]Sheet1!C$4</f>
        <v>320118</v>
      </c>
      <c r="F56" s="36">
        <f>[1]Sheet1!D$4</f>
        <v>319991</v>
      </c>
      <c r="G56" s="36">
        <f>[1]Sheet1!E$4</f>
        <v>321220</v>
      </c>
      <c r="H56" s="36">
        <f>[1]Sheet1!F$4</f>
        <v>319056</v>
      </c>
      <c r="I56" s="36">
        <f>[1]Sheet1!G$4</f>
        <v>315198</v>
      </c>
      <c r="J56" s="36">
        <f>[1]Sheet1!H$4</f>
        <v>318559</v>
      </c>
      <c r="K56" s="36">
        <f>[1]Sheet1!I$4</f>
        <v>323086</v>
      </c>
      <c r="L56" s="36">
        <f>[1]Sheet1!J$4</f>
        <v>324024</v>
      </c>
      <c r="M56" s="36">
        <f>[1]Sheet1!K$4</f>
        <v>325954</v>
      </c>
      <c r="N56" s="36">
        <f>[1]Sheet1!L$4</f>
        <v>325873</v>
      </c>
      <c r="O56" s="36">
        <f>[1]Sheet1!M$4</f>
        <v>323714</v>
      </c>
      <c r="P56" s="36">
        <v>318072</v>
      </c>
      <c r="Q56" s="36">
        <v>320065</v>
      </c>
      <c r="R56" s="36">
        <v>319759</v>
      </c>
      <c r="S56" s="36">
        <v>323392</v>
      </c>
      <c r="T56" s="36">
        <v>320626</v>
      </c>
      <c r="U56" s="36">
        <v>324999</v>
      </c>
      <c r="V56" s="36">
        <v>336811</v>
      </c>
      <c r="W56" s="36">
        <v>342774</v>
      </c>
      <c r="X56" s="36">
        <v>351047</v>
      </c>
      <c r="Y56" s="36">
        <v>353981</v>
      </c>
      <c r="Z56" s="406">
        <v>355898</v>
      </c>
      <c r="AA56" s="1543">
        <v>359372</v>
      </c>
      <c r="AB56" s="1543">
        <v>360187</v>
      </c>
      <c r="AC56" s="1543">
        <v>359010</v>
      </c>
      <c r="AD56" s="1546" t="s">
        <v>2209</v>
      </c>
      <c r="AG56" s="163"/>
    </row>
    <row r="57" spans="2:33" ht="15.65" customHeight="1" x14ac:dyDescent="0.35">
      <c r="B57" s="193"/>
      <c r="C57" s="154"/>
      <c r="D57" s="154"/>
      <c r="E57" s="154"/>
      <c r="F57" s="154"/>
      <c r="G57" s="154"/>
      <c r="H57" s="164"/>
      <c r="I57" s="164"/>
      <c r="J57" s="164"/>
      <c r="Q57" s="415"/>
      <c r="R57" s="164"/>
      <c r="S57" s="164"/>
      <c r="T57" s="164"/>
      <c r="U57" s="164"/>
      <c r="V57" s="164"/>
      <c r="W57" s="164"/>
      <c r="X57" s="164"/>
      <c r="Y57" s="164"/>
      <c r="Z57" s="164"/>
      <c r="AG57" s="163"/>
    </row>
    <row r="58" spans="2:33" ht="12.75" customHeight="1" x14ac:dyDescent="0.35">
      <c r="AG58" s="163"/>
    </row>
    <row r="59" spans="2:33" x14ac:dyDescent="0.35">
      <c r="B59" s="1634" t="s">
        <v>402</v>
      </c>
      <c r="C59" s="1634"/>
      <c r="D59" s="1634"/>
      <c r="E59" s="1634"/>
      <c r="F59" s="1634"/>
      <c r="G59" s="1634"/>
      <c r="H59" s="1634"/>
      <c r="I59" s="1634"/>
      <c r="J59" s="1634"/>
      <c r="K59" s="1634"/>
      <c r="L59" s="1634"/>
      <c r="M59" s="1634"/>
      <c r="N59" s="1634"/>
      <c r="O59" s="1634"/>
      <c r="P59" s="1634"/>
      <c r="Q59" s="1634"/>
      <c r="R59" s="1634"/>
      <c r="S59" s="1634"/>
      <c r="T59" s="1634"/>
      <c r="U59" s="1634"/>
      <c r="V59" s="1634"/>
      <c r="W59" s="1634"/>
      <c r="X59" s="1634"/>
      <c r="Y59" s="1634"/>
      <c r="Z59" s="1634"/>
      <c r="AA59" s="1634"/>
      <c r="AB59" s="1634"/>
      <c r="AC59" s="1634"/>
      <c r="AG59" s="163"/>
    </row>
    <row r="60" spans="2:33" ht="9" customHeight="1" x14ac:dyDescent="0.35">
      <c r="B60" s="1634"/>
      <c r="C60" s="1634"/>
      <c r="D60" s="1634"/>
      <c r="E60" s="1634"/>
      <c r="F60" s="1634"/>
      <c r="G60" s="1634"/>
      <c r="H60" s="1634"/>
      <c r="I60" s="1634"/>
      <c r="J60" s="1634"/>
      <c r="K60" s="1634"/>
      <c r="L60" s="1634"/>
      <c r="M60" s="1634"/>
      <c r="N60" s="1634"/>
      <c r="O60" s="1634"/>
      <c r="P60" s="1634"/>
      <c r="Q60" s="1634"/>
      <c r="R60" s="1634"/>
      <c r="S60" s="1634"/>
      <c r="T60" s="1634"/>
      <c r="U60" s="1634"/>
      <c r="V60" s="1634"/>
      <c r="W60" s="1634"/>
      <c r="X60" s="1634"/>
      <c r="Y60" s="1634"/>
      <c r="Z60" s="1634"/>
      <c r="AA60" s="1634"/>
      <c r="AB60" s="1634"/>
      <c r="AC60" s="1634"/>
      <c r="AG60" s="163"/>
    </row>
    <row r="61" spans="2:33" ht="14.25" customHeight="1" x14ac:dyDescent="0.35">
      <c r="B61" s="1696" t="s">
        <v>403</v>
      </c>
      <c r="C61" s="1696"/>
      <c r="D61" s="1696"/>
      <c r="E61" s="1696"/>
      <c r="F61" s="1696"/>
      <c r="G61" s="1696"/>
      <c r="H61" s="1696"/>
      <c r="I61" s="1696"/>
      <c r="J61" s="1696"/>
      <c r="K61" s="1696"/>
      <c r="L61" s="1696"/>
      <c r="M61" s="1696"/>
      <c r="N61" s="1696"/>
      <c r="O61" s="1696"/>
      <c r="P61" s="1696"/>
      <c r="Q61" s="1696"/>
      <c r="R61" s="1696"/>
      <c r="S61" s="1696"/>
      <c r="T61" s="1696"/>
      <c r="U61" s="1696"/>
      <c r="V61" s="1696"/>
      <c r="W61" s="1696"/>
      <c r="X61" s="1696"/>
      <c r="Y61" s="1696"/>
      <c r="Z61" s="1696"/>
      <c r="AA61" s="1696"/>
      <c r="AB61" s="1696"/>
      <c r="AC61" s="1696"/>
      <c r="AG61" s="163"/>
    </row>
    <row r="62" spans="2:33" x14ac:dyDescent="0.35">
      <c r="B62" s="1696"/>
      <c r="C62" s="1696"/>
      <c r="D62" s="1696"/>
      <c r="E62" s="1696"/>
      <c r="F62" s="1696"/>
      <c r="G62" s="1696"/>
      <c r="H62" s="1696"/>
      <c r="I62" s="1696"/>
      <c r="J62" s="1696"/>
      <c r="K62" s="1696"/>
      <c r="L62" s="1696"/>
      <c r="M62" s="1696"/>
      <c r="N62" s="1696"/>
      <c r="O62" s="1696"/>
      <c r="P62" s="1696"/>
      <c r="Q62" s="1696"/>
      <c r="R62" s="1696"/>
      <c r="S62" s="1696"/>
      <c r="T62" s="1696"/>
      <c r="U62" s="1696"/>
      <c r="V62" s="1696"/>
      <c r="W62" s="1696"/>
      <c r="X62" s="1696"/>
      <c r="Y62" s="1696"/>
      <c r="Z62" s="1696"/>
      <c r="AA62" s="1696"/>
      <c r="AB62" s="1696"/>
      <c r="AC62" s="1696"/>
      <c r="AG62" s="163"/>
    </row>
    <row r="63" spans="2:33" ht="8.9" customHeight="1" x14ac:dyDescent="0.35">
      <c r="B63" s="1696"/>
      <c r="C63" s="1696"/>
      <c r="D63" s="1696"/>
      <c r="E63" s="1696"/>
      <c r="F63" s="1696"/>
      <c r="G63" s="1696"/>
      <c r="H63" s="1696"/>
      <c r="I63" s="1696"/>
      <c r="J63" s="1696"/>
      <c r="K63" s="1696"/>
      <c r="L63" s="1696"/>
      <c r="M63" s="1696"/>
      <c r="N63" s="1696"/>
      <c r="O63" s="1696"/>
      <c r="P63" s="1696"/>
      <c r="Q63" s="1696"/>
      <c r="R63" s="1696"/>
      <c r="S63" s="1696"/>
      <c r="T63" s="1696"/>
      <c r="U63" s="1696"/>
      <c r="V63" s="1696"/>
      <c r="W63" s="1696"/>
      <c r="X63" s="1696"/>
      <c r="Y63" s="1696"/>
      <c r="Z63" s="1696"/>
      <c r="AA63" s="1696"/>
      <c r="AB63" s="1696"/>
      <c r="AC63" s="1696"/>
      <c r="AG63" s="163"/>
    </row>
    <row r="64" spans="2:33" ht="12.75" customHeight="1" x14ac:dyDescent="0.35">
      <c r="AG64" s="163"/>
    </row>
    <row r="65" spans="2:58" ht="30.75" customHeight="1" x14ac:dyDescent="0.35">
      <c r="B65" s="1653" t="s">
        <v>279</v>
      </c>
      <c r="C65" s="1684"/>
      <c r="D65" s="1649" t="s">
        <v>280</v>
      </c>
      <c r="E65" s="1650"/>
      <c r="F65" s="1650"/>
      <c r="G65" s="1650"/>
      <c r="H65" s="1650"/>
      <c r="I65" s="1650"/>
      <c r="J65" s="1650"/>
      <c r="K65" s="1650"/>
      <c r="L65" s="1650"/>
      <c r="M65" s="1650"/>
      <c r="N65" s="1650"/>
      <c r="O65" s="1650"/>
      <c r="P65" s="1650"/>
      <c r="Q65" s="1650"/>
      <c r="R65" s="1650"/>
      <c r="S65" s="1650"/>
      <c r="T65" s="1650"/>
      <c r="U65" s="1232"/>
      <c r="V65" s="1651" t="s">
        <v>281</v>
      </c>
      <c r="W65" s="1629"/>
      <c r="X65" s="1629"/>
      <c r="Y65" s="1629"/>
      <c r="Z65" s="1629"/>
      <c r="AA65" s="1629"/>
      <c r="AB65" s="1629"/>
      <c r="AC65" s="1630"/>
      <c r="AG65" s="163"/>
    </row>
    <row r="66" spans="2:58" x14ac:dyDescent="0.35">
      <c r="B66" s="1641"/>
      <c r="C66" s="1697"/>
      <c r="D66" s="127">
        <v>2018</v>
      </c>
      <c r="E66" s="1624">
        <v>2019</v>
      </c>
      <c r="F66" s="1646"/>
      <c r="G66" s="1646"/>
      <c r="H66" s="1661"/>
      <c r="I66" s="1624">
        <v>2020</v>
      </c>
      <c r="J66" s="1646"/>
      <c r="K66" s="1646"/>
      <c r="L66" s="1646"/>
      <c r="M66" s="1624">
        <v>2021</v>
      </c>
      <c r="N66" s="1646"/>
      <c r="O66" s="1646"/>
      <c r="P66" s="1646"/>
      <c r="Q66" s="1624">
        <v>2022</v>
      </c>
      <c r="R66" s="1625"/>
      <c r="S66" s="1625"/>
      <c r="T66" s="1661"/>
      <c r="U66" s="1228"/>
      <c r="V66" s="1229">
        <v>2023</v>
      </c>
      <c r="W66" s="1229"/>
      <c r="X66" s="1230"/>
      <c r="Y66" s="1633">
        <v>2024</v>
      </c>
      <c r="Z66" s="1631"/>
      <c r="AA66" s="1631"/>
      <c r="AB66" s="1632"/>
      <c r="AC66" s="178">
        <v>2025</v>
      </c>
      <c r="AG66" s="163"/>
    </row>
    <row r="67" spans="2:58" x14ac:dyDescent="0.35">
      <c r="B67" s="1643"/>
      <c r="C67" s="1698"/>
      <c r="D67" s="118" t="s">
        <v>282</v>
      </c>
      <c r="E67" s="118" t="s">
        <v>283</v>
      </c>
      <c r="F67" s="132" t="s">
        <v>284</v>
      </c>
      <c r="G67" s="132" t="s">
        <v>238</v>
      </c>
      <c r="H67" s="115" t="s">
        <v>282</v>
      </c>
      <c r="I67" s="132" t="s">
        <v>283</v>
      </c>
      <c r="J67" s="132" t="s">
        <v>284</v>
      </c>
      <c r="K67" s="132" t="s">
        <v>238</v>
      </c>
      <c r="L67" s="132" t="s">
        <v>282</v>
      </c>
      <c r="M67" s="118" t="s">
        <v>283</v>
      </c>
      <c r="N67" s="132" t="s">
        <v>284</v>
      </c>
      <c r="O67" s="132" t="s">
        <v>238</v>
      </c>
      <c r="P67" s="132" t="s">
        <v>282</v>
      </c>
      <c r="Q67" s="118" t="s">
        <v>283</v>
      </c>
      <c r="R67" s="132" t="s">
        <v>284</v>
      </c>
      <c r="S67" s="132" t="s">
        <v>238</v>
      </c>
      <c r="T67" s="115" t="s">
        <v>282</v>
      </c>
      <c r="U67" s="1300" t="s">
        <v>283</v>
      </c>
      <c r="V67" s="190" t="s">
        <v>284</v>
      </c>
      <c r="W67" s="190" t="s">
        <v>238</v>
      </c>
      <c r="X67" s="191" t="s">
        <v>282</v>
      </c>
      <c r="Y67" s="189" t="s">
        <v>283</v>
      </c>
      <c r="Z67" s="186" t="s">
        <v>284</v>
      </c>
      <c r="AA67" s="190" t="s">
        <v>238</v>
      </c>
      <c r="AB67" s="190" t="s">
        <v>282</v>
      </c>
      <c r="AC67" s="192" t="s">
        <v>283</v>
      </c>
      <c r="AG67" s="163"/>
    </row>
    <row r="68" spans="2:58" x14ac:dyDescent="0.35">
      <c r="B68" s="409" t="s">
        <v>134</v>
      </c>
      <c r="C68" s="194"/>
      <c r="D68" s="182"/>
      <c r="E68" s="396"/>
      <c r="F68" s="396"/>
      <c r="G68" s="396"/>
      <c r="H68" s="374">
        <f>Grants!H140</f>
        <v>72.367000000000004</v>
      </c>
      <c r="I68" s="374">
        <f>Grants!I140</f>
        <v>75.578999999999994</v>
      </c>
      <c r="J68" s="374">
        <f>Grants!J140</f>
        <v>76.015000000000001</v>
      </c>
      <c r="K68" s="374">
        <f>Grants!K140</f>
        <v>78.872</v>
      </c>
      <c r="L68" s="374">
        <f>Grants!L140</f>
        <v>75.819000000000003</v>
      </c>
      <c r="M68" s="374">
        <f>Grants!M140</f>
        <v>73.662000000000006</v>
      </c>
      <c r="N68" s="374">
        <f>Grants!N140</f>
        <v>75.066000000000003</v>
      </c>
      <c r="O68" s="374">
        <f>Grants!O140</f>
        <v>69.344999999999999</v>
      </c>
      <c r="P68" s="374">
        <f>Grants!P140</f>
        <v>72.477000000000004</v>
      </c>
      <c r="Q68" s="374">
        <f>Grants!Q140</f>
        <v>72.528999999999996</v>
      </c>
      <c r="R68" s="374">
        <f>Grants!R140</f>
        <v>75.340000000000018</v>
      </c>
      <c r="S68" s="397">
        <f>Grants!S140</f>
        <v>75.340000000000018</v>
      </c>
      <c r="T68" s="351">
        <f>Grants!T140</f>
        <v>76.15900000000002</v>
      </c>
      <c r="U68" s="1134">
        <f>Grants!U140</f>
        <v>76.15900000000002</v>
      </c>
      <c r="V68" s="201">
        <f>Grants!V140</f>
        <v>76.15900000000002</v>
      </c>
      <c r="W68" s="201">
        <f>Grants!W140</f>
        <v>76.15900000000002</v>
      </c>
      <c r="X68" s="201">
        <f>Grants!X140</f>
        <v>77.818000000000012</v>
      </c>
      <c r="Y68" s="201">
        <f>Grants!Y140</f>
        <v>77.818000000000012</v>
      </c>
      <c r="Z68" s="201">
        <f>Grants!Z140</f>
        <v>77.818000000000012</v>
      </c>
      <c r="AA68" s="201">
        <f>Grants!AA140</f>
        <v>77.818000000000012</v>
      </c>
      <c r="AB68" s="201">
        <f>Grants!AB140</f>
        <v>79.41200000000002</v>
      </c>
      <c r="AC68" s="200">
        <f>Grants!AC140</f>
        <v>79.41200000000002</v>
      </c>
    </row>
    <row r="69" spans="2:58" x14ac:dyDescent="0.35">
      <c r="B69" s="392" t="s">
        <v>192</v>
      </c>
      <c r="C69" s="375"/>
      <c r="D69" s="405"/>
      <c r="E69" s="375"/>
      <c r="F69" s="375"/>
      <c r="G69" s="375"/>
      <c r="H69" s="161">
        <f>Grants!H108</f>
        <v>205.80500000000001</v>
      </c>
      <c r="I69" s="161">
        <f>Grants!I108</f>
        <v>210.29200000000003</v>
      </c>
      <c r="J69" s="161">
        <f>Grants!J108</f>
        <v>325.28399999999999</v>
      </c>
      <c r="K69" s="161">
        <f>Grants!K108</f>
        <v>297.32000000000005</v>
      </c>
      <c r="L69" s="161">
        <f>Grants!L108</f>
        <v>289.54199999999997</v>
      </c>
      <c r="M69" s="161">
        <f>Grants!M108</f>
        <v>315.67900000000003</v>
      </c>
      <c r="N69" s="161">
        <f>Grants!N108</f>
        <v>361.52700000000004</v>
      </c>
      <c r="O69" s="161">
        <f>Grants!O108</f>
        <v>374.99100000000004</v>
      </c>
      <c r="P69" s="161">
        <f>Grants!P108</f>
        <v>401.58485200000007</v>
      </c>
      <c r="Q69" s="161">
        <f>Grants!Q108</f>
        <v>438.45827479999997</v>
      </c>
      <c r="R69" s="161">
        <f>Grants!R108</f>
        <v>505.04903199999995</v>
      </c>
      <c r="S69" s="161">
        <f>Grants!S108</f>
        <v>492.38786800000003</v>
      </c>
      <c r="T69" s="1209">
        <f>Grants!T108</f>
        <v>454.86592799999988</v>
      </c>
      <c r="U69" s="1117">
        <f>Grants!U108</f>
        <v>448.74654320000008</v>
      </c>
      <c r="V69" s="1116">
        <f>Grants!V108</f>
        <v>447.62918787478441</v>
      </c>
      <c r="W69" s="1116">
        <f>Grants!W108</f>
        <v>446.45162391265626</v>
      </c>
      <c r="X69" s="1116">
        <f>Grants!X108</f>
        <v>446.80789141457103</v>
      </c>
      <c r="Y69" s="1116">
        <f>Grants!Y108</f>
        <v>435.3935120000001</v>
      </c>
      <c r="Z69" s="1116">
        <f>Grants!Z108</f>
        <v>415.52699462977574</v>
      </c>
      <c r="AA69" s="1116">
        <f>Grants!AA108</f>
        <v>419.98253662916255</v>
      </c>
      <c r="AB69" s="1116">
        <f>Grants!AB108</f>
        <v>424.72893341115389</v>
      </c>
      <c r="AC69" s="1117">
        <f>Grants!AC108</f>
        <v>407.89333299999998</v>
      </c>
    </row>
    <row r="70" spans="2:58" x14ac:dyDescent="0.35">
      <c r="B70" s="410" t="s">
        <v>404</v>
      </c>
      <c r="C70" s="394"/>
      <c r="D70" s="393"/>
      <c r="E70" s="394"/>
      <c r="F70" s="394"/>
      <c r="G70" s="394"/>
      <c r="H70" s="352">
        <f>H68+H69</f>
        <v>278.17200000000003</v>
      </c>
      <c r="I70" s="352">
        <f t="shared" ref="I70:AC70" si="10">I68+I69</f>
        <v>285.87100000000004</v>
      </c>
      <c r="J70" s="352">
        <f t="shared" si="10"/>
        <v>401.29899999999998</v>
      </c>
      <c r="K70" s="352">
        <f t="shared" si="10"/>
        <v>376.19200000000006</v>
      </c>
      <c r="L70" s="352">
        <f t="shared" si="10"/>
        <v>365.36099999999999</v>
      </c>
      <c r="M70" s="352">
        <f t="shared" si="10"/>
        <v>389.34100000000001</v>
      </c>
      <c r="N70" s="352">
        <f t="shared" si="10"/>
        <v>436.59300000000007</v>
      </c>
      <c r="O70" s="352">
        <f t="shared" si="10"/>
        <v>444.33600000000001</v>
      </c>
      <c r="P70" s="352">
        <f t="shared" si="10"/>
        <v>474.06185200000004</v>
      </c>
      <c r="Q70" s="352">
        <f t="shared" si="10"/>
        <v>510.98727479999997</v>
      </c>
      <c r="R70" s="352">
        <f t="shared" si="10"/>
        <v>580.38903199999993</v>
      </c>
      <c r="S70" s="352">
        <f t="shared" si="10"/>
        <v>567.72786800000006</v>
      </c>
      <c r="T70" s="352">
        <f t="shared" si="10"/>
        <v>531.02492799999993</v>
      </c>
      <c r="U70" s="399">
        <f t="shared" si="10"/>
        <v>524.90554320000012</v>
      </c>
      <c r="V70" s="379">
        <f t="shared" si="10"/>
        <v>523.7881878747844</v>
      </c>
      <c r="W70" s="379">
        <f t="shared" si="10"/>
        <v>522.61062391265625</v>
      </c>
      <c r="X70" s="379">
        <f t="shared" si="10"/>
        <v>524.62589141457102</v>
      </c>
      <c r="Y70" s="379">
        <f t="shared" si="10"/>
        <v>513.21151200000008</v>
      </c>
      <c r="Z70" s="379">
        <f t="shared" si="10"/>
        <v>493.34499462977578</v>
      </c>
      <c r="AA70" s="379">
        <f t="shared" si="10"/>
        <v>497.80053662916259</v>
      </c>
      <c r="AB70" s="379">
        <f t="shared" si="10"/>
        <v>504.14093341115392</v>
      </c>
      <c r="AC70" s="380">
        <f t="shared" si="10"/>
        <v>487.30533300000002</v>
      </c>
    </row>
    <row r="72" spans="2:58" x14ac:dyDescent="0.35">
      <c r="T72" s="1134">
        <v>76.15900000000002</v>
      </c>
      <c r="U72" s="201">
        <v>76.15900000000002</v>
      </c>
      <c r="V72" s="201">
        <v>76.15900000000002</v>
      </c>
      <c r="W72" s="201">
        <v>76.15900000000002</v>
      </c>
      <c r="X72" s="201">
        <v>77.818000000000012</v>
      </c>
      <c r="Y72" s="201">
        <v>77.818000000000012</v>
      </c>
      <c r="Z72" s="201">
        <v>77.818000000000012</v>
      </c>
      <c r="AA72" s="201">
        <v>77.818000000000012</v>
      </c>
      <c r="AB72" s="201">
        <v>79.41200000000002</v>
      </c>
      <c r="AC72" s="1112">
        <v>79.41200000000002</v>
      </c>
    </row>
    <row r="73" spans="2:58" x14ac:dyDescent="0.35">
      <c r="T73" s="398">
        <v>454.86592799999988</v>
      </c>
      <c r="U73" s="1116">
        <v>432.05586867252998</v>
      </c>
      <c r="V73" s="1116">
        <v>436.24025249520497</v>
      </c>
      <c r="W73" s="1116">
        <v>434.95046872262196</v>
      </c>
      <c r="X73" s="1116">
        <v>435.19341066666652</v>
      </c>
      <c r="Y73" s="1116">
        <v>423.66458905143122</v>
      </c>
      <c r="Z73" s="1116">
        <v>403.68250183501317</v>
      </c>
      <c r="AA73" s="1116">
        <v>408.02133523152685</v>
      </c>
      <c r="AB73" s="1116">
        <v>412.64987343333314</v>
      </c>
      <c r="AC73" s="1117">
        <v>395.69525313348845</v>
      </c>
    </row>
    <row r="74" spans="2:58" ht="27.65" customHeight="1" x14ac:dyDescent="0.35">
      <c r="T74" s="399">
        <v>531.02492799999993</v>
      </c>
      <c r="U74" s="379">
        <v>508.21486867252997</v>
      </c>
      <c r="V74" s="379">
        <v>512.39925249520502</v>
      </c>
      <c r="W74" s="379">
        <v>511.10946872262195</v>
      </c>
      <c r="X74" s="379">
        <v>513.01141066666651</v>
      </c>
      <c r="Y74" s="379">
        <v>501.48258905143121</v>
      </c>
      <c r="Z74" s="379">
        <v>481.50050183501321</v>
      </c>
      <c r="AA74" s="379">
        <v>485.83933523152689</v>
      </c>
      <c r="AB74" s="379">
        <v>492.06187343333318</v>
      </c>
      <c r="AC74" s="380">
        <v>475.10725313348848</v>
      </c>
    </row>
    <row r="75" spans="2:58" ht="27.65" customHeight="1" x14ac:dyDescent="0.35"/>
    <row r="76" spans="2:58" x14ac:dyDescent="0.35">
      <c r="S76" s="80"/>
      <c r="T76" s="80"/>
      <c r="U76" s="80"/>
      <c r="V76" s="80"/>
      <c r="W76" s="80"/>
      <c r="X76" s="80"/>
      <c r="Y76" s="80"/>
      <c r="Z76" s="80"/>
      <c r="AA76" s="80"/>
      <c r="AB76" s="80"/>
      <c r="AC76" s="80"/>
    </row>
    <row r="77" spans="2:58" x14ac:dyDescent="0.35">
      <c r="S77" s="80"/>
      <c r="T77" s="80"/>
      <c r="U77" s="80"/>
      <c r="V77" s="80"/>
      <c r="W77" s="80"/>
      <c r="X77" s="80"/>
      <c r="Y77" s="80"/>
      <c r="Z77" s="80"/>
      <c r="AA77" s="80"/>
      <c r="AB77" s="80"/>
      <c r="AC77" s="80"/>
    </row>
    <row r="78" spans="2:58" ht="27.65" customHeight="1" x14ac:dyDescent="0.35">
      <c r="S78" s="80"/>
      <c r="T78" s="80"/>
      <c r="U78" s="80"/>
      <c r="V78" s="80"/>
      <c r="W78" s="80"/>
      <c r="X78" s="80"/>
      <c r="Y78" s="80"/>
      <c r="Z78" s="80"/>
      <c r="AA78" s="80"/>
      <c r="AB78" s="80"/>
      <c r="AC78" s="80"/>
    </row>
    <row r="79" spans="2:58" ht="27.65" customHeight="1" x14ac:dyDescent="0.35"/>
    <row r="80" spans="2:58" ht="27.65" customHeight="1" x14ac:dyDescent="0.35">
      <c r="BD80" s="376"/>
      <c r="BE80" s="376"/>
      <c r="BF80" s="376"/>
    </row>
    <row r="82" ht="27.65" customHeight="1" x14ac:dyDescent="0.35"/>
    <row r="83" ht="27.65" customHeight="1" x14ac:dyDescent="0.35"/>
    <row r="84" ht="27.65" customHeight="1" x14ac:dyDescent="0.35"/>
  </sheetData>
  <mergeCells count="31">
    <mergeCell ref="M66:P66"/>
    <mergeCell ref="Q34:T34"/>
    <mergeCell ref="D65:T65"/>
    <mergeCell ref="Q66:T66"/>
    <mergeCell ref="Y34:AB34"/>
    <mergeCell ref="Y66:AB66"/>
    <mergeCell ref="B61:AC63"/>
    <mergeCell ref="B59:AC60"/>
    <mergeCell ref="B65:C67"/>
    <mergeCell ref="I66:L66"/>
    <mergeCell ref="E34:H34"/>
    <mergeCell ref="E66:H66"/>
    <mergeCell ref="B33:C35"/>
    <mergeCell ref="V65:AC65"/>
    <mergeCell ref="I34:L34"/>
    <mergeCell ref="B1:AC1"/>
    <mergeCell ref="B6:C8"/>
    <mergeCell ref="E7:H7"/>
    <mergeCell ref="I7:L7"/>
    <mergeCell ref="Y7:AB7"/>
    <mergeCell ref="B2:AC4"/>
    <mergeCell ref="D6:T6"/>
    <mergeCell ref="Q7:T7"/>
    <mergeCell ref="V6:AC6"/>
    <mergeCell ref="B28:AC28"/>
    <mergeCell ref="B29:AC31"/>
    <mergeCell ref="M7:P7"/>
    <mergeCell ref="D33:T33"/>
    <mergeCell ref="M34:P34"/>
    <mergeCell ref="U20:Z21"/>
    <mergeCell ref="V33:AC33"/>
  </mergeCells>
  <pageMargins left="0.7" right="0.7" top="0.75" bottom="0.75" header="0.3" footer="0.3"/>
  <pageSetup orientation="portrait"/>
  <drawing r:id="rId1"/>
  <legacy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BZ84"/>
  <sheetViews>
    <sheetView zoomScale="80" zoomScaleNormal="80" workbookViewId="0">
      <pane xSplit="3" ySplit="10" topLeftCell="D11" activePane="bottomRight" state="frozen"/>
      <selection pane="topRight" activeCell="D1" sqref="D1"/>
      <selection pane="bottomLeft" activeCell="A11" sqref="A11"/>
      <selection pane="bottomRight" activeCell="I63" sqref="I63"/>
    </sheetView>
  </sheetViews>
  <sheetFormatPr defaultColWidth="11.453125" defaultRowHeight="14.5" x14ac:dyDescent="0.35"/>
  <cols>
    <col min="2" max="2" width="49.453125" customWidth="1"/>
    <col min="6" max="25" width="6.453125" customWidth="1"/>
    <col min="27" max="27" width="10.1796875" customWidth="1"/>
  </cols>
  <sheetData>
    <row r="1" spans="2:32" x14ac:dyDescent="0.35">
      <c r="B1" s="1634" t="s">
        <v>52</v>
      </c>
      <c r="C1" s="1634"/>
      <c r="D1" s="1634"/>
      <c r="E1" s="1634"/>
      <c r="F1" s="1634"/>
      <c r="G1" s="1634"/>
      <c r="H1" s="1634"/>
      <c r="I1" s="1634"/>
      <c r="J1" s="1634"/>
      <c r="K1" s="1634"/>
      <c r="L1" s="1634"/>
      <c r="M1" s="1634"/>
      <c r="N1" s="1634"/>
      <c r="O1" s="1634"/>
      <c r="P1" s="1634"/>
      <c r="Q1" s="1634"/>
      <c r="R1" s="1634"/>
      <c r="S1" s="1634"/>
      <c r="T1" s="1634"/>
      <c r="U1" s="1634"/>
      <c r="V1" s="1634"/>
      <c r="W1" s="1634"/>
      <c r="X1" s="1634"/>
      <c r="Y1" s="1634"/>
      <c r="Z1" s="1634"/>
      <c r="AA1" s="1634"/>
      <c r="AB1" s="1634"/>
      <c r="AC1" s="1634"/>
    </row>
    <row r="2" spans="2:32" ht="14.9" customHeight="1" x14ac:dyDescent="0.35">
      <c r="B2" s="1635" t="s">
        <v>864</v>
      </c>
      <c r="C2" s="1635"/>
      <c r="D2" s="1635"/>
      <c r="E2" s="1635"/>
      <c r="F2" s="1635"/>
      <c r="G2" s="1635"/>
      <c r="H2" s="1635"/>
      <c r="I2" s="1635"/>
      <c r="J2" s="1635"/>
      <c r="K2" s="1635"/>
      <c r="L2" s="1635"/>
      <c r="M2" s="1635"/>
      <c r="N2" s="1635"/>
      <c r="O2" s="1635"/>
      <c r="P2" s="1635"/>
      <c r="Q2" s="1635"/>
      <c r="R2" s="1635"/>
      <c r="S2" s="1635"/>
      <c r="T2" s="1635"/>
      <c r="U2" s="1635"/>
      <c r="V2" s="1635"/>
      <c r="W2" s="1635"/>
      <c r="X2" s="1635"/>
      <c r="Y2" s="1635"/>
      <c r="Z2" s="1635"/>
      <c r="AA2" s="1635"/>
      <c r="AB2" s="1635"/>
      <c r="AC2" s="1635"/>
    </row>
    <row r="3" spans="2:32" ht="14.9" customHeight="1" x14ac:dyDescent="0.35">
      <c r="B3" s="1635"/>
      <c r="C3" s="1635"/>
      <c r="D3" s="1635"/>
      <c r="E3" s="1635"/>
      <c r="F3" s="1635"/>
      <c r="G3" s="1635"/>
      <c r="H3" s="1635"/>
      <c r="I3" s="1635"/>
      <c r="J3" s="1635"/>
      <c r="K3" s="1635"/>
      <c r="L3" s="1635"/>
      <c r="M3" s="1635"/>
      <c r="N3" s="1635"/>
      <c r="O3" s="1635"/>
      <c r="P3" s="1635"/>
      <c r="Q3" s="1635"/>
      <c r="R3" s="1635"/>
      <c r="S3" s="1635"/>
      <c r="T3" s="1635"/>
      <c r="U3" s="1635"/>
      <c r="V3" s="1635"/>
      <c r="W3" s="1635"/>
      <c r="X3" s="1635"/>
      <c r="Y3" s="1635"/>
      <c r="Z3" s="1635"/>
      <c r="AA3" s="1635"/>
      <c r="AB3" s="1635"/>
      <c r="AC3" s="1635"/>
    </row>
    <row r="4" spans="2:32" ht="5.9" customHeight="1" x14ac:dyDescent="0.35">
      <c r="B4" s="1635"/>
      <c r="C4" s="1635"/>
      <c r="D4" s="1635"/>
      <c r="E4" s="1635"/>
      <c r="F4" s="1635"/>
      <c r="G4" s="1635"/>
      <c r="H4" s="1635"/>
      <c r="I4" s="1635"/>
      <c r="J4" s="1635"/>
      <c r="K4" s="1635"/>
      <c r="L4" s="1635"/>
      <c r="M4" s="1635"/>
      <c r="N4" s="1635"/>
      <c r="O4" s="1635"/>
      <c r="P4" s="1635"/>
      <c r="Q4" s="1635"/>
      <c r="R4" s="1635"/>
      <c r="S4" s="1635"/>
      <c r="T4" s="1635"/>
      <c r="U4" s="1635"/>
      <c r="V4" s="1635"/>
      <c r="W4" s="1635"/>
      <c r="X4" s="1635"/>
      <c r="Y4" s="1635"/>
      <c r="Z4" s="1635"/>
      <c r="AA4" s="1635"/>
      <c r="AB4" s="1635"/>
      <c r="AC4" s="1635"/>
    </row>
    <row r="5" spans="2:32" ht="1.5" customHeight="1" x14ac:dyDescent="0.35">
      <c r="B5" s="1635"/>
      <c r="C5" s="1635"/>
      <c r="D5" s="1635"/>
      <c r="E5" s="1635"/>
      <c r="F5" s="1635"/>
      <c r="G5" s="1635"/>
      <c r="H5" s="1635"/>
      <c r="I5" s="1635"/>
      <c r="J5" s="1635"/>
      <c r="K5" s="1635"/>
      <c r="L5" s="1635"/>
      <c r="M5" s="1635"/>
      <c r="N5" s="1635"/>
      <c r="O5" s="1635"/>
      <c r="P5" s="1635"/>
      <c r="Q5" s="1635"/>
      <c r="R5" s="1635"/>
      <c r="S5" s="1635"/>
      <c r="T5" s="1635"/>
      <c r="U5" s="1635"/>
      <c r="V5" s="1635"/>
      <c r="W5" s="1635"/>
      <c r="X5" s="1635"/>
      <c r="Y5" s="1635"/>
      <c r="Z5" s="1635"/>
      <c r="AA5" s="1635"/>
      <c r="AB5" s="1635"/>
      <c r="AC5" s="1635"/>
    </row>
    <row r="6" spans="2:32" ht="14.9" customHeight="1" x14ac:dyDescent="0.35">
      <c r="B6" s="1635"/>
      <c r="C6" s="1635"/>
      <c r="D6" s="1635"/>
      <c r="E6" s="1635"/>
      <c r="F6" s="1635"/>
      <c r="G6" s="1635"/>
      <c r="H6" s="1635"/>
      <c r="I6" s="1635"/>
      <c r="J6" s="1635"/>
      <c r="K6" s="1635"/>
      <c r="L6" s="1635"/>
      <c r="M6" s="1635"/>
      <c r="N6" s="1635"/>
      <c r="O6" s="1635"/>
      <c r="P6" s="1635"/>
      <c r="Q6" s="1635"/>
      <c r="R6" s="1635"/>
      <c r="S6" s="1635"/>
      <c r="T6" s="1635"/>
      <c r="U6" s="1635"/>
      <c r="V6" s="1635"/>
      <c r="W6" s="1635"/>
      <c r="X6" s="1635"/>
      <c r="Y6" s="1635"/>
      <c r="Z6" s="1635"/>
      <c r="AA6" s="1635"/>
      <c r="AB6" s="1635"/>
      <c r="AC6" s="1635"/>
    </row>
    <row r="7" spans="2:32" ht="33.75" customHeight="1" x14ac:dyDescent="0.35">
      <c r="B7" s="69"/>
      <c r="C7" s="69"/>
      <c r="D7" s="69"/>
      <c r="E7" s="69"/>
      <c r="F7" s="69"/>
      <c r="G7" s="69"/>
      <c r="H7" s="69"/>
      <c r="I7" s="69"/>
      <c r="J7" s="69"/>
      <c r="K7" s="69"/>
      <c r="L7" s="69"/>
      <c r="M7" s="69"/>
      <c r="N7" s="69"/>
      <c r="O7" s="69"/>
      <c r="P7" s="69"/>
      <c r="Q7" s="69"/>
      <c r="R7" s="69"/>
      <c r="S7" s="69"/>
      <c r="T7" s="69"/>
      <c r="U7" s="69"/>
      <c r="V7" s="69"/>
      <c r="W7" s="69"/>
      <c r="X7" s="69"/>
      <c r="Y7" s="69"/>
    </row>
    <row r="8" spans="2:32" ht="14.9" customHeight="1" x14ac:dyDescent="0.35">
      <c r="B8" s="1653" t="s">
        <v>405</v>
      </c>
      <c r="C8" s="1654"/>
      <c r="D8" s="1655" t="s">
        <v>280</v>
      </c>
      <c r="E8" s="1656"/>
      <c r="F8" s="1656"/>
      <c r="G8" s="1656"/>
      <c r="H8" s="1656"/>
      <c r="I8" s="1656"/>
      <c r="J8" s="1656"/>
      <c r="K8" s="1656"/>
      <c r="L8" s="1656"/>
      <c r="M8" s="1656"/>
      <c r="N8" s="1656"/>
      <c r="O8" s="1656"/>
      <c r="P8" s="1656"/>
      <c r="Q8" s="1656"/>
      <c r="R8" s="1656"/>
      <c r="S8" s="1656"/>
      <c r="T8" s="1650"/>
      <c r="U8" s="1232"/>
      <c r="V8" s="1651" t="s">
        <v>281</v>
      </c>
      <c r="W8" s="1629"/>
      <c r="X8" s="1629"/>
      <c r="Y8" s="1629"/>
      <c r="Z8" s="1629"/>
      <c r="AA8" s="1629"/>
      <c r="AB8" s="1629"/>
      <c r="AC8" s="1630"/>
    </row>
    <row r="9" spans="2:32" x14ac:dyDescent="0.35">
      <c r="B9" s="1641"/>
      <c r="C9" s="1642"/>
      <c r="D9" s="118">
        <v>2018</v>
      </c>
      <c r="E9" s="1636">
        <v>2019</v>
      </c>
      <c r="F9" s="1666"/>
      <c r="G9" s="1666"/>
      <c r="H9" s="1638"/>
      <c r="I9" s="1636">
        <v>2020</v>
      </c>
      <c r="J9" s="1666"/>
      <c r="K9" s="1666"/>
      <c r="L9" s="1666"/>
      <c r="M9" s="1636">
        <v>2021</v>
      </c>
      <c r="N9" s="1666"/>
      <c r="O9" s="1666"/>
      <c r="P9" s="1666"/>
      <c r="Q9" s="1624">
        <v>2022</v>
      </c>
      <c r="R9" s="1625"/>
      <c r="S9" s="1625"/>
      <c r="T9" s="1661"/>
      <c r="U9" s="1228"/>
      <c r="V9" s="1229">
        <v>2023</v>
      </c>
      <c r="W9" s="1229"/>
      <c r="X9" s="1230"/>
      <c r="Y9" s="1633">
        <v>2024</v>
      </c>
      <c r="Z9" s="1631"/>
      <c r="AA9" s="1631"/>
      <c r="AB9" s="1632"/>
      <c r="AC9" s="178">
        <v>2025</v>
      </c>
    </row>
    <row r="10" spans="2:32" x14ac:dyDescent="0.35">
      <c r="B10" s="1643"/>
      <c r="C10" s="1644"/>
      <c r="D10" s="118" t="s">
        <v>282</v>
      </c>
      <c r="E10" s="118" t="s">
        <v>283</v>
      </c>
      <c r="F10" s="132" t="s">
        <v>284</v>
      </c>
      <c r="G10" s="132" t="s">
        <v>238</v>
      </c>
      <c r="H10" s="115" t="s">
        <v>282</v>
      </c>
      <c r="I10" s="132" t="s">
        <v>283</v>
      </c>
      <c r="J10" s="132" t="s">
        <v>284</v>
      </c>
      <c r="K10" s="132" t="s">
        <v>238</v>
      </c>
      <c r="L10" s="132" t="s">
        <v>282</v>
      </c>
      <c r="M10" s="118" t="s">
        <v>283</v>
      </c>
      <c r="N10" s="132" t="s">
        <v>284</v>
      </c>
      <c r="O10" s="132" t="s">
        <v>238</v>
      </c>
      <c r="P10" s="132" t="s">
        <v>282</v>
      </c>
      <c r="Q10" s="118" t="s">
        <v>283</v>
      </c>
      <c r="R10" s="132" t="s">
        <v>284</v>
      </c>
      <c r="S10" s="132" t="s">
        <v>238</v>
      </c>
      <c r="T10" s="115" t="s">
        <v>282</v>
      </c>
      <c r="U10" s="1127" t="s">
        <v>283</v>
      </c>
      <c r="V10" s="190" t="s">
        <v>284</v>
      </c>
      <c r="W10" s="190" t="s">
        <v>238</v>
      </c>
      <c r="X10" s="191" t="s">
        <v>282</v>
      </c>
      <c r="Y10" s="189" t="s">
        <v>283</v>
      </c>
      <c r="Z10" s="186" t="s">
        <v>284</v>
      </c>
      <c r="AA10" s="190" t="s">
        <v>238</v>
      </c>
      <c r="AB10" s="190" t="s">
        <v>282</v>
      </c>
      <c r="AC10" s="192" t="s">
        <v>283</v>
      </c>
    </row>
    <row r="11" spans="2:32" x14ac:dyDescent="0.35">
      <c r="B11" s="433" t="s">
        <v>870</v>
      </c>
      <c r="C11" s="69" t="s">
        <v>524</v>
      </c>
      <c r="D11" s="419"/>
      <c r="E11" s="439"/>
      <c r="F11" s="446">
        <v>60.5</v>
      </c>
      <c r="G11" s="446">
        <v>81.400000000000006</v>
      </c>
      <c r="H11" s="446">
        <f>'Haver Pivoted'!GS42</f>
        <v>82.1</v>
      </c>
      <c r="I11" s="446">
        <f>'Haver Pivoted'!GT42</f>
        <v>80</v>
      </c>
      <c r="J11" s="446">
        <f>'Haver Pivoted'!GU42</f>
        <v>975.7</v>
      </c>
      <c r="K11" s="446">
        <f>'Haver Pivoted'!GV42</f>
        <v>1108.8</v>
      </c>
      <c r="L11" s="446">
        <f>'Haver Pivoted'!GW42</f>
        <v>462.2</v>
      </c>
      <c r="M11" s="446">
        <f>'Haver Pivoted'!GX42</f>
        <v>387.4</v>
      </c>
      <c r="N11" s="446">
        <f>'Haver Pivoted'!GY42</f>
        <v>693.9</v>
      </c>
      <c r="O11" s="446">
        <f>'Haver Pivoted'!GZ42</f>
        <v>545.6</v>
      </c>
      <c r="P11" s="446">
        <f>'Haver Pivoted'!HA42</f>
        <v>288.3</v>
      </c>
      <c r="Q11" s="446">
        <f>'Haver Pivoted'!HB42</f>
        <v>144.5</v>
      </c>
      <c r="R11" s="446">
        <f>'Haver Pivoted'!HC42</f>
        <v>122.9</v>
      </c>
      <c r="S11" s="447">
        <f>'Haver Pivoted'!HD42</f>
        <v>113.8</v>
      </c>
      <c r="T11" s="1303">
        <f>'Haver Pivoted'!HE42</f>
        <v>110.8</v>
      </c>
      <c r="U11" s="1155">
        <f>'Haver Pivoted'!HF42</f>
        <v>104.8</v>
      </c>
      <c r="V11" s="464">
        <f t="shared" ref="V11:AC11" si="0">V12+V13</f>
        <v>88.50800000000001</v>
      </c>
      <c r="W11" s="464">
        <f t="shared" si="0"/>
        <v>88.50800000000001</v>
      </c>
      <c r="X11" s="464">
        <f t="shared" si="0"/>
        <v>85.631</v>
      </c>
      <c r="Y11" s="464">
        <f t="shared" si="0"/>
        <v>85.631</v>
      </c>
      <c r="Z11" s="464">
        <f t="shared" si="0"/>
        <v>85.631</v>
      </c>
      <c r="AA11" s="464">
        <f t="shared" si="0"/>
        <v>85.631</v>
      </c>
      <c r="AB11" s="464">
        <f t="shared" si="0"/>
        <v>90.463999999999999</v>
      </c>
      <c r="AC11" s="459">
        <f t="shared" si="0"/>
        <v>90.463999999999999</v>
      </c>
      <c r="AE11" s="135"/>
      <c r="AF11" s="135"/>
    </row>
    <row r="12" spans="2:32" ht="16.5" customHeight="1" x14ac:dyDescent="0.35">
      <c r="B12" s="338" t="s">
        <v>406</v>
      </c>
      <c r="C12" s="69"/>
      <c r="D12" s="433"/>
      <c r="E12" s="69"/>
      <c r="F12" s="68">
        <f>F11</f>
        <v>60.5</v>
      </c>
      <c r="G12" s="68">
        <f>G11</f>
        <v>81.400000000000006</v>
      </c>
      <c r="H12" s="68">
        <f t="shared" ref="H12:M12" si="1">H11-H13</f>
        <v>82.1</v>
      </c>
      <c r="I12" s="68">
        <f t="shared" si="1"/>
        <v>80</v>
      </c>
      <c r="J12" s="68">
        <f>J11-J13</f>
        <v>-13.799999999999955</v>
      </c>
      <c r="K12" s="68">
        <f t="shared" si="1"/>
        <v>-17.799999999999955</v>
      </c>
      <c r="L12" s="68">
        <f>L11-L13</f>
        <v>-76.200000000000102</v>
      </c>
      <c r="M12" s="68">
        <f t="shared" si="1"/>
        <v>79.599999999999966</v>
      </c>
      <c r="N12" s="68">
        <f t="shared" ref="N12:T12" si="2">N11-N13</f>
        <v>90.299999999999955</v>
      </c>
      <c r="O12" s="68">
        <f t="shared" si="2"/>
        <v>89.583520000000021</v>
      </c>
      <c r="P12" s="68">
        <f t="shared" si="2"/>
        <v>83.4</v>
      </c>
      <c r="Q12" s="68">
        <f t="shared" si="2"/>
        <v>83.8</v>
      </c>
      <c r="R12" s="68">
        <f t="shared" si="2"/>
        <v>69.400000000000006</v>
      </c>
      <c r="S12" s="244">
        <f t="shared" si="2"/>
        <v>71.099999999999994</v>
      </c>
      <c r="T12" s="1278">
        <f t="shared" si="2"/>
        <v>78.977999999999994</v>
      </c>
      <c r="U12" s="262">
        <f t="shared" ref="U12" si="3">U11-U13</f>
        <v>92.777999999999992</v>
      </c>
      <c r="V12" s="267">
        <f t="shared" ref="V12:AC12" si="4">AVERAGE($F$11:$I$11)</f>
        <v>76</v>
      </c>
      <c r="W12" s="267">
        <f t="shared" si="4"/>
        <v>76</v>
      </c>
      <c r="X12" s="267">
        <f t="shared" si="4"/>
        <v>76</v>
      </c>
      <c r="Y12" s="267">
        <f t="shared" si="4"/>
        <v>76</v>
      </c>
      <c r="Z12" s="267">
        <f t="shared" si="4"/>
        <v>76</v>
      </c>
      <c r="AA12" s="267">
        <f t="shared" si="4"/>
        <v>76</v>
      </c>
      <c r="AB12" s="267">
        <f t="shared" si="4"/>
        <v>76</v>
      </c>
      <c r="AC12" s="327">
        <f t="shared" si="4"/>
        <v>76</v>
      </c>
      <c r="AE12" s="135"/>
      <c r="AF12" s="135"/>
    </row>
    <row r="13" spans="2:32" x14ac:dyDescent="0.35">
      <c r="B13" s="337" t="s">
        <v>407</v>
      </c>
      <c r="C13" s="69"/>
      <c r="D13" s="433"/>
      <c r="E13" s="69"/>
      <c r="F13" s="444"/>
      <c r="G13" s="444"/>
      <c r="H13" s="68">
        <f>SUM(H16:H25)</f>
        <v>0</v>
      </c>
      <c r="I13" s="68">
        <f>SUM(I16:I25)</f>
        <v>0</v>
      </c>
      <c r="J13" s="68">
        <f t="shared" ref="J13:S13" si="5">SUM(J16:J25)+J14</f>
        <v>989.5</v>
      </c>
      <c r="K13" s="68">
        <f t="shared" si="5"/>
        <v>1126.5999999999999</v>
      </c>
      <c r="L13" s="68">
        <f t="shared" si="5"/>
        <v>538.40000000000009</v>
      </c>
      <c r="M13" s="68">
        <f t="shared" si="5"/>
        <v>307.8</v>
      </c>
      <c r="N13" s="50">
        <f t="shared" si="5"/>
        <v>603.6</v>
      </c>
      <c r="O13" s="50">
        <f>SUM(O16:O25)+O14</f>
        <v>456.01648</v>
      </c>
      <c r="P13" s="50">
        <f>SUM(P16:P25)+P14</f>
        <v>204.9</v>
      </c>
      <c r="Q13" s="50">
        <f t="shared" si="5"/>
        <v>60.7</v>
      </c>
      <c r="R13" s="50">
        <f t="shared" si="5"/>
        <v>53.5</v>
      </c>
      <c r="S13" s="50">
        <f t="shared" si="5"/>
        <v>42.7</v>
      </c>
      <c r="T13" s="1279">
        <f t="shared" ref="T13:AC13" si="6">SUM(T16:T27)+T14</f>
        <v>31.822000000000003</v>
      </c>
      <c r="U13" s="246">
        <f t="shared" si="6"/>
        <v>12.022000000000002</v>
      </c>
      <c r="V13" s="267">
        <f t="shared" si="6"/>
        <v>12.508000000000003</v>
      </c>
      <c r="W13" s="267">
        <f t="shared" si="6"/>
        <v>12.508000000000003</v>
      </c>
      <c r="X13" s="267">
        <f t="shared" si="6"/>
        <v>9.6310000000000002</v>
      </c>
      <c r="Y13" s="267">
        <f t="shared" si="6"/>
        <v>9.6310000000000002</v>
      </c>
      <c r="Z13" s="267">
        <f t="shared" si="6"/>
        <v>9.6310000000000002</v>
      </c>
      <c r="AA13" s="267">
        <f t="shared" si="6"/>
        <v>9.6310000000000002</v>
      </c>
      <c r="AB13" s="267">
        <f t="shared" si="6"/>
        <v>14.464</v>
      </c>
      <c r="AC13" s="327">
        <f t="shared" si="6"/>
        <v>14.464</v>
      </c>
      <c r="AE13" s="135"/>
      <c r="AF13" s="135"/>
    </row>
    <row r="14" spans="2:32" x14ac:dyDescent="0.35">
      <c r="B14" s="240" t="s">
        <v>50</v>
      </c>
      <c r="C14" s="49" t="s">
        <v>329</v>
      </c>
      <c r="D14" s="231"/>
      <c r="E14" s="49"/>
      <c r="F14" s="68"/>
      <c r="G14" s="68"/>
      <c r="H14" s="68">
        <f>'Haver Pivoted'!GS49</f>
        <v>0</v>
      </c>
      <c r="I14" s="68">
        <f>'Haver Pivoted'!GT49</f>
        <v>0</v>
      </c>
      <c r="J14" s="68">
        <f>'Haver Pivoted'!GU49</f>
        <v>576.9</v>
      </c>
      <c r="K14" s="68">
        <f>'Haver Pivoted'!GV49</f>
        <v>819.5</v>
      </c>
      <c r="L14" s="68">
        <f>'Haver Pivoted'!GW49</f>
        <v>246.3</v>
      </c>
      <c r="M14" s="68">
        <f>'Haver Pivoted'!GX49</f>
        <v>197</v>
      </c>
      <c r="N14" s="68">
        <f>'Haver Pivoted'!GY49</f>
        <v>441.2</v>
      </c>
      <c r="O14" s="68">
        <f>'Haver Pivoted'!GZ49</f>
        <v>276.7</v>
      </c>
      <c r="P14" s="68">
        <f>'Haver Pivoted'!HA49</f>
        <v>28.2</v>
      </c>
      <c r="Q14" s="68">
        <f>'Haver Pivoted'!HB49</f>
        <v>0</v>
      </c>
      <c r="R14" s="68">
        <f>'Haver Pivoted'!HC49</f>
        <v>0</v>
      </c>
      <c r="S14" s="244">
        <f>'Haver Pivoted'!HD49</f>
        <v>0</v>
      </c>
      <c r="T14" s="1278">
        <f>'Haver Pivoted'!HE49</f>
        <v>0</v>
      </c>
      <c r="U14" s="262">
        <f>'Haver Pivoted'!HF49</f>
        <v>0</v>
      </c>
      <c r="V14" s="267"/>
      <c r="W14" s="267"/>
      <c r="X14" s="267"/>
      <c r="Y14" s="267"/>
      <c r="Z14" s="452"/>
      <c r="AA14" s="452"/>
      <c r="AB14" s="452"/>
      <c r="AC14" s="460"/>
      <c r="AE14" s="135"/>
      <c r="AF14" s="135"/>
    </row>
    <row r="15" spans="2:32" x14ac:dyDescent="0.35">
      <c r="B15" s="337" t="s">
        <v>408</v>
      </c>
      <c r="C15" s="69"/>
      <c r="D15" s="433"/>
      <c r="E15" s="69"/>
      <c r="F15" s="444"/>
      <c r="G15" s="444"/>
      <c r="H15" s="68">
        <f t="shared" ref="H15:AC15" si="7">SUM(H16:H25)</f>
        <v>0</v>
      </c>
      <c r="I15" s="68">
        <f t="shared" si="7"/>
        <v>0</v>
      </c>
      <c r="J15" s="68">
        <f t="shared" si="7"/>
        <v>412.6</v>
      </c>
      <c r="K15" s="68">
        <f t="shared" si="7"/>
        <v>307.10000000000002</v>
      </c>
      <c r="L15" s="68">
        <f t="shared" si="7"/>
        <v>292.10000000000002</v>
      </c>
      <c r="M15" s="68">
        <f t="shared" si="7"/>
        <v>110.8</v>
      </c>
      <c r="N15" s="68">
        <f t="shared" si="7"/>
        <v>162.4</v>
      </c>
      <c r="O15" s="68">
        <f t="shared" si="7"/>
        <v>179.31648000000001</v>
      </c>
      <c r="P15" s="68">
        <f>SUM(P16:P25)</f>
        <v>176.70000000000002</v>
      </c>
      <c r="Q15" s="68">
        <f t="shared" si="7"/>
        <v>60.7</v>
      </c>
      <c r="R15" s="68">
        <f t="shared" si="7"/>
        <v>53.5</v>
      </c>
      <c r="S15" s="68">
        <f t="shared" si="7"/>
        <v>42.7</v>
      </c>
      <c r="T15" s="1304">
        <f t="shared" si="7"/>
        <v>28.200000000000003</v>
      </c>
      <c r="U15" s="448">
        <f t="shared" si="7"/>
        <v>8.4</v>
      </c>
      <c r="V15" s="453">
        <f t="shared" si="7"/>
        <v>8.886000000000001</v>
      </c>
      <c r="W15" s="453">
        <f t="shared" si="7"/>
        <v>8.886000000000001</v>
      </c>
      <c r="X15" s="453">
        <f t="shared" si="7"/>
        <v>0.2</v>
      </c>
      <c r="Y15" s="453">
        <f t="shared" si="7"/>
        <v>0.2</v>
      </c>
      <c r="Z15" s="453">
        <f t="shared" si="7"/>
        <v>0.2</v>
      </c>
      <c r="AA15" s="453">
        <f t="shared" si="7"/>
        <v>0.2</v>
      </c>
      <c r="AB15" s="453">
        <f t="shared" si="7"/>
        <v>0</v>
      </c>
      <c r="AC15" s="466">
        <f t="shared" si="7"/>
        <v>0</v>
      </c>
      <c r="AE15" s="135"/>
      <c r="AF15" s="135"/>
    </row>
    <row r="16" spans="2:32" x14ac:dyDescent="0.35">
      <c r="B16" s="421" t="s">
        <v>145</v>
      </c>
      <c r="C16" s="52" t="s">
        <v>409</v>
      </c>
      <c r="D16" s="346"/>
      <c r="E16" s="52"/>
      <c r="F16" s="68"/>
      <c r="G16" s="68"/>
      <c r="H16" s="68">
        <f>'Haver Pivoted'!GS53</f>
        <v>0</v>
      </c>
      <c r="I16" s="68">
        <f>'Haver Pivoted'!GT53</f>
        <v>0</v>
      </c>
      <c r="J16" s="68">
        <f>'Haver Pivoted'!GU53</f>
        <v>16.899999999999999</v>
      </c>
      <c r="K16" s="68">
        <f>'Haver Pivoted'!GV53</f>
        <v>18.399999999999999</v>
      </c>
      <c r="L16" s="68">
        <f>'Haver Pivoted'!GW53</f>
        <v>46.2</v>
      </c>
      <c r="M16" s="68">
        <f>'Haver Pivoted'!GX53</f>
        <v>0.9</v>
      </c>
      <c r="N16" s="68">
        <f>'Haver Pivoted'!GY53</f>
        <v>14.1</v>
      </c>
      <c r="O16" s="68">
        <f>'Haver Pivoted'!GZ53</f>
        <v>8.6</v>
      </c>
      <c r="P16" s="68">
        <f>'Haver Pivoted'!HA53</f>
        <v>1.2</v>
      </c>
      <c r="Q16" s="68">
        <f>'Haver Pivoted'!HB53</f>
        <v>0.6</v>
      </c>
      <c r="R16" s="68">
        <f>'Haver Pivoted'!HC53</f>
        <v>0</v>
      </c>
      <c r="S16" s="244">
        <f>'Haver Pivoted'!HD53</f>
        <v>0</v>
      </c>
      <c r="T16" s="1278">
        <f>'Haver Pivoted'!HE53</f>
        <v>0</v>
      </c>
      <c r="U16" s="262">
        <f>'Haver Pivoted'!HF53</f>
        <v>0</v>
      </c>
      <c r="V16" s="454"/>
      <c r="W16" s="454"/>
      <c r="X16" s="454"/>
      <c r="Y16" s="454"/>
      <c r="Z16" s="452"/>
      <c r="AA16" s="452"/>
      <c r="AB16" s="452"/>
      <c r="AC16" s="460"/>
      <c r="AE16" s="135"/>
      <c r="AF16" s="135"/>
    </row>
    <row r="17" spans="2:34" x14ac:dyDescent="0.35">
      <c r="B17" s="421" t="s">
        <v>143</v>
      </c>
      <c r="C17" s="52" t="s">
        <v>410</v>
      </c>
      <c r="D17" s="346"/>
      <c r="E17" s="52"/>
      <c r="F17" s="68"/>
      <c r="G17" s="68"/>
      <c r="H17" s="68">
        <f>'Haver Pivoted'!GS51</f>
        <v>0</v>
      </c>
      <c r="I17" s="68">
        <f>'Haver Pivoted'!GT51</f>
        <v>0</v>
      </c>
      <c r="J17" s="68">
        <f>'Haver Pivoted'!GU51</f>
        <v>73.3</v>
      </c>
      <c r="K17" s="68">
        <f>'Haver Pivoted'!GV51</f>
        <v>73.3</v>
      </c>
      <c r="L17" s="68">
        <f>'Haver Pivoted'!GW51</f>
        <v>73.3</v>
      </c>
      <c r="M17" s="68">
        <f>'Haver Pivoted'!GX51</f>
        <v>39.799999999999997</v>
      </c>
      <c r="N17" s="68">
        <f>'Haver Pivoted'!GY51</f>
        <v>43</v>
      </c>
      <c r="O17" s="68">
        <f>'Haver Pivoted'!GZ51</f>
        <v>45.7</v>
      </c>
      <c r="P17" s="68">
        <f>'Haver Pivoted'!HA51</f>
        <v>51.5</v>
      </c>
      <c r="Q17" s="68">
        <f>'Haver Pivoted'!HB51</f>
        <v>0</v>
      </c>
      <c r="R17" s="68">
        <f>'Haver Pivoted'!HC51</f>
        <v>0</v>
      </c>
      <c r="S17" s="244">
        <f>'Haver Pivoted'!HD51</f>
        <v>0</v>
      </c>
      <c r="T17" s="1278">
        <f>'Haver Pivoted'!HE51</f>
        <v>0</v>
      </c>
      <c r="U17" s="262">
        <f>'Haver Pivoted'!HF51</f>
        <v>0</v>
      </c>
      <c r="V17" s="267">
        <f t="shared" ref="V17:AC17" si="8">U17</f>
        <v>0</v>
      </c>
      <c r="W17" s="267">
        <f t="shared" si="8"/>
        <v>0</v>
      </c>
      <c r="X17" s="267">
        <f t="shared" si="8"/>
        <v>0</v>
      </c>
      <c r="Y17" s="267">
        <f t="shared" si="8"/>
        <v>0</v>
      </c>
      <c r="Z17" s="267">
        <f t="shared" si="8"/>
        <v>0</v>
      </c>
      <c r="AA17" s="267">
        <f t="shared" si="8"/>
        <v>0</v>
      </c>
      <c r="AB17" s="267">
        <f t="shared" si="8"/>
        <v>0</v>
      </c>
      <c r="AC17" s="327">
        <f t="shared" si="8"/>
        <v>0</v>
      </c>
      <c r="AE17" s="135"/>
      <c r="AF17" s="135"/>
    </row>
    <row r="18" spans="2:34" x14ac:dyDescent="0.35">
      <c r="B18" s="421" t="s">
        <v>142</v>
      </c>
      <c r="C18" s="49" t="s">
        <v>411</v>
      </c>
      <c r="D18" s="231"/>
      <c r="E18" s="49"/>
      <c r="F18" s="68"/>
      <c r="G18" s="68"/>
      <c r="H18" s="68">
        <f>'Haver Pivoted'!GS50</f>
        <v>0</v>
      </c>
      <c r="I18" s="68">
        <f>'Haver Pivoted'!GT50</f>
        <v>0</v>
      </c>
      <c r="J18" s="68">
        <f>'Haver Pivoted'!GU50</f>
        <v>63.8</v>
      </c>
      <c r="K18" s="68">
        <f>'Haver Pivoted'!GV50</f>
        <v>15</v>
      </c>
      <c r="L18" s="68">
        <f>'Haver Pivoted'!GW50</f>
        <v>0.1</v>
      </c>
      <c r="M18" s="68">
        <f>'Haver Pivoted'!GX50</f>
        <v>38</v>
      </c>
      <c r="N18" s="68">
        <f>'Haver Pivoted'!GY50</f>
        <v>47.3</v>
      </c>
      <c r="O18" s="68">
        <f>'Haver Pivoted'!GZ50</f>
        <v>0.7</v>
      </c>
      <c r="P18" s="68">
        <f>'Haver Pivoted'!HA50</f>
        <v>0</v>
      </c>
      <c r="Q18" s="68">
        <f>'Haver Pivoted'!HB50</f>
        <v>0.3</v>
      </c>
      <c r="R18" s="68">
        <f>'Haver Pivoted'!HC50</f>
        <v>0.2</v>
      </c>
      <c r="S18" s="244">
        <f>'Haver Pivoted'!HD50</f>
        <v>0.3</v>
      </c>
      <c r="T18" s="1278">
        <f>'Haver Pivoted'!HE50</f>
        <v>0.4</v>
      </c>
      <c r="U18" s="262">
        <f>'Haver Pivoted'!HF50</f>
        <v>0</v>
      </c>
      <c r="V18" s="267">
        <f t="shared" ref="V18:AC18" si="9">V30</f>
        <v>0</v>
      </c>
      <c r="W18" s="267">
        <f t="shared" si="9"/>
        <v>0</v>
      </c>
      <c r="X18" s="267">
        <f t="shared" si="9"/>
        <v>0</v>
      </c>
      <c r="Y18" s="267">
        <f t="shared" si="9"/>
        <v>0</v>
      </c>
      <c r="Z18" s="267">
        <f t="shared" si="9"/>
        <v>0</v>
      </c>
      <c r="AA18" s="267">
        <f t="shared" si="9"/>
        <v>0</v>
      </c>
      <c r="AB18" s="267">
        <f t="shared" si="9"/>
        <v>0</v>
      </c>
      <c r="AC18" s="327">
        <f t="shared" si="9"/>
        <v>0</v>
      </c>
      <c r="AE18" s="135"/>
      <c r="AF18" s="135"/>
    </row>
    <row r="19" spans="2:34" x14ac:dyDescent="0.35">
      <c r="B19" s="421" t="s">
        <v>412</v>
      </c>
      <c r="C19" s="49" t="s">
        <v>309</v>
      </c>
      <c r="D19" s="231"/>
      <c r="E19" s="49"/>
      <c r="F19" s="68"/>
      <c r="G19" s="68"/>
      <c r="H19" s="68">
        <f>'Haver Pivoted'!GS54</f>
        <v>0</v>
      </c>
      <c r="I19" s="68">
        <f>'Haver Pivoted'!GT54</f>
        <v>0</v>
      </c>
      <c r="J19" s="68">
        <f>'Haver Pivoted'!GU54</f>
        <v>96.6</v>
      </c>
      <c r="K19" s="68">
        <f>'Haver Pivoted'!GV54</f>
        <v>35.1</v>
      </c>
      <c r="L19" s="68">
        <f>'Haver Pivoted'!GW54</f>
        <v>20.7</v>
      </c>
      <c r="M19" s="68">
        <f>'Haver Pivoted'!GX54</f>
        <v>15.4</v>
      </c>
      <c r="N19" s="68">
        <f>'Haver Pivoted'!GY54</f>
        <v>9.6</v>
      </c>
      <c r="O19" s="68">
        <f>'Haver Pivoted'!GZ54</f>
        <v>13.5</v>
      </c>
      <c r="P19" s="68">
        <f>'Haver Pivoted'!HA54</f>
        <v>23.2</v>
      </c>
      <c r="Q19" s="68">
        <f>'Haver Pivoted'!HB54</f>
        <v>19.3</v>
      </c>
      <c r="R19" s="68">
        <f>'Haver Pivoted'!HC54</f>
        <v>14.4</v>
      </c>
      <c r="S19" s="244">
        <f>'Haver Pivoted'!HD54</f>
        <v>5.9</v>
      </c>
      <c r="T19" s="1278">
        <f>'Haver Pivoted'!HE54</f>
        <v>3.6</v>
      </c>
      <c r="U19" s="262">
        <f>'Haver Pivoted'!HF54</f>
        <v>0</v>
      </c>
      <c r="V19" s="267"/>
      <c r="W19" s="267"/>
      <c r="X19" s="267"/>
      <c r="Y19" s="267"/>
      <c r="Z19" s="452"/>
      <c r="AA19" s="452"/>
      <c r="AB19" s="452"/>
      <c r="AC19" s="460"/>
      <c r="AE19" s="135"/>
      <c r="AF19" s="135"/>
    </row>
    <row r="20" spans="2:34" x14ac:dyDescent="0.35">
      <c r="B20" s="421" t="s">
        <v>144</v>
      </c>
      <c r="C20" s="49" t="s">
        <v>413</v>
      </c>
      <c r="D20" s="231"/>
      <c r="E20" s="49"/>
      <c r="F20" s="68"/>
      <c r="G20" s="68"/>
      <c r="H20" s="68">
        <f>'Haver Pivoted'!GS52</f>
        <v>0</v>
      </c>
      <c r="I20" s="68">
        <f>'Haver Pivoted'!GT52</f>
        <v>0</v>
      </c>
      <c r="J20" s="68">
        <f>'Haver Pivoted'!GU52</f>
        <v>22</v>
      </c>
      <c r="K20" s="68">
        <f>'Haver Pivoted'!GV52</f>
        <v>25.3</v>
      </c>
      <c r="L20" s="68">
        <f>'Haver Pivoted'!GW52</f>
        <v>11.8</v>
      </c>
      <c r="M20" s="68">
        <f>'Haver Pivoted'!GX52</f>
        <v>11.9</v>
      </c>
      <c r="N20" s="68">
        <f>'Haver Pivoted'!GY52</f>
        <v>11.3</v>
      </c>
      <c r="O20" s="68">
        <f>'Haver Pivoted'!GZ52</f>
        <v>13.6</v>
      </c>
      <c r="P20" s="68">
        <f>'Haver Pivoted'!HA52</f>
        <v>19</v>
      </c>
      <c r="Q20" s="68">
        <f>'Haver Pivoted'!HB52</f>
        <v>21.8</v>
      </c>
      <c r="R20" s="68">
        <f>'Haver Pivoted'!HC52</f>
        <v>22.3</v>
      </c>
      <c r="S20" s="244">
        <f>'Haver Pivoted'!HD52</f>
        <v>20.2</v>
      </c>
      <c r="T20" s="1278">
        <f>'Haver Pivoted'!HE52</f>
        <v>15.8</v>
      </c>
      <c r="U20" s="1092">
        <f>'Haver Pivoted'!HF52</f>
        <v>0</v>
      </c>
      <c r="V20" s="267">
        <f t="shared" ref="V20:AC20" si="10">V37</f>
        <v>0.48599999999999993</v>
      </c>
      <c r="W20" s="267">
        <f t="shared" si="10"/>
        <v>0.48599999999999993</v>
      </c>
      <c r="X20" s="267">
        <f t="shared" si="10"/>
        <v>0</v>
      </c>
      <c r="Y20" s="267">
        <f t="shared" si="10"/>
        <v>0</v>
      </c>
      <c r="Z20" s="267">
        <f t="shared" si="10"/>
        <v>0</v>
      </c>
      <c r="AA20" s="267">
        <f t="shared" si="10"/>
        <v>0</v>
      </c>
      <c r="AB20" s="267">
        <f t="shared" si="10"/>
        <v>0</v>
      </c>
      <c r="AC20" s="327">
        <f t="shared" si="10"/>
        <v>0</v>
      </c>
      <c r="AE20" s="135"/>
      <c r="AF20" s="135"/>
      <c r="AH20" s="135"/>
    </row>
    <row r="21" spans="2:34" x14ac:dyDescent="0.35">
      <c r="B21" s="421" t="s">
        <v>148</v>
      </c>
      <c r="C21" s="49" t="s">
        <v>414</v>
      </c>
      <c r="D21" s="231"/>
      <c r="E21" s="49"/>
      <c r="F21" s="68"/>
      <c r="G21" s="68"/>
      <c r="H21" s="68">
        <f>'Haver Pivoted'!GS55</f>
        <v>0</v>
      </c>
      <c r="I21" s="68">
        <f>'Haver Pivoted'!GT55</f>
        <v>0</v>
      </c>
      <c r="J21" s="68">
        <f>'Haver Pivoted'!GU55</f>
        <v>140</v>
      </c>
      <c r="K21" s="68">
        <f>'Haver Pivoted'!GV55</f>
        <v>140</v>
      </c>
      <c r="L21" s="68">
        <f>'Haver Pivoted'!GW55</f>
        <v>140</v>
      </c>
      <c r="M21" s="68">
        <f>'Haver Pivoted'!GX55</f>
        <v>4.8</v>
      </c>
      <c r="N21" s="68">
        <f>'Haver Pivoted'!GY55</f>
        <v>4.4000000000000004</v>
      </c>
      <c r="O21" s="68">
        <f>'Haver Pivoted'!GZ55</f>
        <v>5.3</v>
      </c>
      <c r="P21" s="68">
        <f>'Haver Pivoted'!HA55</f>
        <v>4.7</v>
      </c>
      <c r="Q21" s="68">
        <f>'Haver Pivoted'!HB55</f>
        <v>0</v>
      </c>
      <c r="R21" s="68">
        <f>'Haver Pivoted'!HC55</f>
        <v>0</v>
      </c>
      <c r="S21" s="244">
        <f>'Haver Pivoted'!HD55</f>
        <v>0</v>
      </c>
      <c r="T21" s="1278">
        <f>'Haver Pivoted'!HE55</f>
        <v>0</v>
      </c>
      <c r="U21" s="262">
        <f>'Haver Pivoted'!HF55</f>
        <v>0</v>
      </c>
      <c r="V21" s="267">
        <f t="shared" ref="V21:AC21" si="11">U21</f>
        <v>0</v>
      </c>
      <c r="W21" s="267">
        <f t="shared" si="11"/>
        <v>0</v>
      </c>
      <c r="X21" s="267">
        <f t="shared" si="11"/>
        <v>0</v>
      </c>
      <c r="Y21" s="267">
        <f t="shared" si="11"/>
        <v>0</v>
      </c>
      <c r="Z21" s="267">
        <f t="shared" si="11"/>
        <v>0</v>
      </c>
      <c r="AA21" s="267">
        <f t="shared" si="11"/>
        <v>0</v>
      </c>
      <c r="AB21" s="267">
        <f t="shared" si="11"/>
        <v>0</v>
      </c>
      <c r="AC21" s="327">
        <f t="shared" si="11"/>
        <v>0</v>
      </c>
      <c r="AE21" s="135"/>
      <c r="AF21" s="135"/>
    </row>
    <row r="22" spans="2:34" x14ac:dyDescent="0.35">
      <c r="B22" s="421" t="s">
        <v>415</v>
      </c>
      <c r="C22" s="49" t="s">
        <v>792</v>
      </c>
      <c r="D22" s="264"/>
      <c r="E22" s="68"/>
      <c r="F22" s="68"/>
      <c r="G22" s="68"/>
      <c r="H22" s="68"/>
      <c r="I22" s="68"/>
      <c r="J22" s="68"/>
      <c r="K22" s="68"/>
      <c r="L22" s="68"/>
      <c r="M22" s="68"/>
      <c r="N22" s="68">
        <f>'Haver Pivoted'!GY87</f>
        <v>11.3</v>
      </c>
      <c r="O22" s="68">
        <f>'Haver Pivoted'!GZ87</f>
        <v>10.4</v>
      </c>
      <c r="P22" s="68">
        <f>'Haver Pivoted'!HA87</f>
        <v>5.3</v>
      </c>
      <c r="Q22" s="68">
        <f>'Haver Pivoted'!HB87</f>
        <v>2.4</v>
      </c>
      <c r="R22" s="68">
        <f>'Haver Pivoted'!HC87</f>
        <v>0.3</v>
      </c>
      <c r="S22" s="244">
        <f>'Haver Pivoted'!HD87</f>
        <v>0</v>
      </c>
      <c r="T22" s="1278">
        <f>'Haver Pivoted'!HE87</f>
        <v>0</v>
      </c>
      <c r="U22" s="262">
        <f>'Haver Pivoted'!HF87</f>
        <v>0</v>
      </c>
      <c r="V22" s="267">
        <v>0</v>
      </c>
      <c r="W22" s="267">
        <v>0</v>
      </c>
      <c r="X22" s="267">
        <v>0</v>
      </c>
      <c r="Y22" s="267">
        <v>0</v>
      </c>
      <c r="Z22" s="267">
        <v>0</v>
      </c>
      <c r="AA22" s="267">
        <v>0</v>
      </c>
      <c r="AB22" s="267">
        <v>0</v>
      </c>
      <c r="AC22" s="327">
        <v>0</v>
      </c>
      <c r="AE22" s="135"/>
      <c r="AF22" s="135"/>
    </row>
    <row r="23" spans="2:34" x14ac:dyDescent="0.35">
      <c r="B23" s="421" t="s">
        <v>416</v>
      </c>
      <c r="C23" s="49" t="s">
        <v>791</v>
      </c>
      <c r="D23" s="231"/>
      <c r="E23" s="49"/>
      <c r="F23" s="68"/>
      <c r="G23" s="445"/>
      <c r="H23" s="68"/>
      <c r="I23" s="68"/>
      <c r="J23" s="68"/>
      <c r="K23" s="68"/>
      <c r="L23" s="68"/>
      <c r="M23" s="68"/>
      <c r="N23" s="68">
        <f>'Haver Pivoted'!GY86</f>
        <v>21.4</v>
      </c>
      <c r="O23" s="68">
        <f>'Haver Pivoted'!GZ86</f>
        <v>57</v>
      </c>
      <c r="P23" s="68">
        <f>'Haver Pivoted'!HA86</f>
        <v>35.5</v>
      </c>
      <c r="Q23" s="68">
        <f>'Haver Pivoted'!HB86</f>
        <v>0</v>
      </c>
      <c r="R23" s="68">
        <f>'Haver Pivoted'!HC86</f>
        <v>0</v>
      </c>
      <c r="S23" s="244">
        <f>'Haver Pivoted'!HD86</f>
        <v>0</v>
      </c>
      <c r="T23" s="1278">
        <f>'Haver Pivoted'!HE86</f>
        <v>0</v>
      </c>
      <c r="U23" s="262">
        <f>'Haver Pivoted'!HF86</f>
        <v>0</v>
      </c>
      <c r="V23" s="267">
        <f t="shared" ref="V23:AC23" si="12">U23</f>
        <v>0</v>
      </c>
      <c r="W23" s="267">
        <f t="shared" si="12"/>
        <v>0</v>
      </c>
      <c r="X23" s="267">
        <f t="shared" si="12"/>
        <v>0</v>
      </c>
      <c r="Y23" s="267">
        <f t="shared" si="12"/>
        <v>0</v>
      </c>
      <c r="Z23" s="267">
        <f t="shared" si="12"/>
        <v>0</v>
      </c>
      <c r="AA23" s="267">
        <f t="shared" si="12"/>
        <v>0</v>
      </c>
      <c r="AB23" s="267">
        <f t="shared" si="12"/>
        <v>0</v>
      </c>
      <c r="AC23" s="327">
        <f t="shared" si="12"/>
        <v>0</v>
      </c>
      <c r="AE23" s="135"/>
      <c r="AF23" s="135"/>
    </row>
    <row r="24" spans="2:34" x14ac:dyDescent="0.35">
      <c r="B24" s="421" t="s">
        <v>417</v>
      </c>
      <c r="C24" s="49"/>
      <c r="D24" s="231"/>
      <c r="E24" s="49"/>
      <c r="F24" s="68"/>
      <c r="G24" s="68"/>
      <c r="H24" s="68"/>
      <c r="I24" s="68"/>
      <c r="J24" s="68"/>
      <c r="K24" s="68"/>
      <c r="L24" s="68"/>
      <c r="M24" s="68"/>
      <c r="N24" s="68"/>
      <c r="O24" s="50">
        <f>O41+O42</f>
        <v>12.51648</v>
      </c>
      <c r="P24" s="50">
        <f>P41+P42</f>
        <v>11.3</v>
      </c>
      <c r="Q24" s="50">
        <f t="shared" ref="Q24:AC24" si="13">Q41+Q42</f>
        <v>11.3</v>
      </c>
      <c r="R24" s="50">
        <f t="shared" si="13"/>
        <v>11.3</v>
      </c>
      <c r="S24" s="50">
        <f t="shared" si="13"/>
        <v>11.3</v>
      </c>
      <c r="T24" s="1279">
        <f t="shared" si="13"/>
        <v>8.4</v>
      </c>
      <c r="U24" s="246">
        <f t="shared" si="13"/>
        <v>8.4</v>
      </c>
      <c r="V24" s="267">
        <f t="shared" si="13"/>
        <v>8.4</v>
      </c>
      <c r="W24" s="267">
        <f t="shared" si="13"/>
        <v>8.4</v>
      </c>
      <c r="X24" s="267">
        <f t="shared" si="13"/>
        <v>0.2</v>
      </c>
      <c r="Y24" s="267">
        <f t="shared" si="13"/>
        <v>0.2</v>
      </c>
      <c r="Z24" s="267">
        <f t="shared" si="13"/>
        <v>0.2</v>
      </c>
      <c r="AA24" s="267">
        <f t="shared" si="13"/>
        <v>0.2</v>
      </c>
      <c r="AB24" s="267">
        <f t="shared" si="13"/>
        <v>0</v>
      </c>
      <c r="AC24" s="327">
        <f t="shared" si="13"/>
        <v>0</v>
      </c>
      <c r="AE24" s="135"/>
      <c r="AF24" s="135"/>
    </row>
    <row r="25" spans="2:34" x14ac:dyDescent="0.35">
      <c r="B25" s="421" t="s">
        <v>418</v>
      </c>
      <c r="C25" s="49"/>
      <c r="D25" s="231"/>
      <c r="E25" s="49"/>
      <c r="F25" s="50"/>
      <c r="G25" s="50"/>
      <c r="H25" s="162"/>
      <c r="I25" s="162"/>
      <c r="J25" s="162"/>
      <c r="K25" s="162"/>
      <c r="L25" s="162"/>
      <c r="M25" s="162"/>
      <c r="N25" s="50"/>
      <c r="O25" s="50">
        <f>O34</f>
        <v>12</v>
      </c>
      <c r="P25" s="50">
        <v>25</v>
      </c>
      <c r="Q25" s="50">
        <v>5</v>
      </c>
      <c r="R25" s="50">
        <v>5</v>
      </c>
      <c r="S25" s="50">
        <v>5</v>
      </c>
      <c r="T25" s="1279">
        <f t="shared" ref="T25:AC25" si="14">T34</f>
        <v>0</v>
      </c>
      <c r="U25" s="246">
        <f t="shared" si="14"/>
        <v>0</v>
      </c>
      <c r="V25" s="267">
        <f t="shared" si="14"/>
        <v>0</v>
      </c>
      <c r="W25" s="267">
        <f t="shared" si="14"/>
        <v>0</v>
      </c>
      <c r="X25" s="267">
        <f t="shared" si="14"/>
        <v>0</v>
      </c>
      <c r="Y25" s="267">
        <f t="shared" si="14"/>
        <v>0</v>
      </c>
      <c r="Z25" s="267">
        <f t="shared" si="14"/>
        <v>0</v>
      </c>
      <c r="AA25" s="267">
        <f t="shared" si="14"/>
        <v>0</v>
      </c>
      <c r="AB25" s="267">
        <f t="shared" si="14"/>
        <v>0</v>
      </c>
      <c r="AC25" s="327">
        <f t="shared" si="14"/>
        <v>0</v>
      </c>
      <c r="AE25" s="135"/>
      <c r="AF25" s="135"/>
    </row>
    <row r="26" spans="2:34" x14ac:dyDescent="0.35">
      <c r="B26" s="421" t="s">
        <v>1385</v>
      </c>
      <c r="C26" s="49"/>
      <c r="D26" s="231"/>
      <c r="E26" s="49"/>
      <c r="F26" s="50"/>
      <c r="G26" s="50"/>
      <c r="H26" s="162"/>
      <c r="I26" s="162"/>
      <c r="J26" s="162"/>
      <c r="K26" s="162"/>
      <c r="L26" s="162"/>
      <c r="M26" s="162"/>
      <c r="N26" s="50"/>
      <c r="O26" s="50"/>
      <c r="P26" s="50"/>
      <c r="Q26" s="50"/>
      <c r="R26" s="50"/>
      <c r="S26" s="422">
        <f>'IRA and CHIPS'!E198</f>
        <v>0</v>
      </c>
      <c r="T26" s="1305">
        <f>'IRA and CHIPS'!F198</f>
        <v>2.3250000000000002</v>
      </c>
      <c r="U26" s="423">
        <f>'IRA and CHIPS'!G198</f>
        <v>2.3250000000000002</v>
      </c>
      <c r="V26" s="427">
        <f>'IRA and CHIPS'!H198</f>
        <v>2.3250000000000002</v>
      </c>
      <c r="W26" s="427">
        <f>'IRA and CHIPS'!I198</f>
        <v>2.3250000000000002</v>
      </c>
      <c r="X26" s="427">
        <f>'IRA and CHIPS'!J198</f>
        <v>5.5830000000000002</v>
      </c>
      <c r="Y26" s="427">
        <f>'IRA and CHIPS'!K198</f>
        <v>5.5830000000000002</v>
      </c>
      <c r="Z26" s="427">
        <f>'IRA and CHIPS'!L198</f>
        <v>5.5830000000000002</v>
      </c>
      <c r="AA26" s="427">
        <f>'IRA and CHIPS'!M198</f>
        <v>5.5830000000000002</v>
      </c>
      <c r="AB26" s="427">
        <f>'IRA and CHIPS'!N198</f>
        <v>8.0220000000000002</v>
      </c>
      <c r="AC26" s="428">
        <f>'IRA and CHIPS'!O198</f>
        <v>8.0220000000000002</v>
      </c>
      <c r="AE26" s="135"/>
      <c r="AF26" s="135"/>
    </row>
    <row r="27" spans="2:34" x14ac:dyDescent="0.35">
      <c r="B27" s="421" t="s">
        <v>1193</v>
      </c>
      <c r="C27" s="288"/>
      <c r="D27" s="286"/>
      <c r="E27" s="288"/>
      <c r="F27" s="293"/>
      <c r="G27" s="293"/>
      <c r="H27" s="424"/>
      <c r="I27" s="424"/>
      <c r="J27" s="424"/>
      <c r="K27" s="424"/>
      <c r="L27" s="424"/>
      <c r="M27" s="424"/>
      <c r="N27" s="293"/>
      <c r="O27" s="293"/>
      <c r="P27" s="293"/>
      <c r="Q27" s="293"/>
      <c r="R27" s="293"/>
      <c r="S27" s="425">
        <f>'IRA and CHIPS'!E187</f>
        <v>0</v>
      </c>
      <c r="T27" s="425">
        <f>'IRA and CHIPS'!F187</f>
        <v>1.2969999999999999</v>
      </c>
      <c r="U27" s="426">
        <f>'IRA and CHIPS'!G187</f>
        <v>1.2969999999999999</v>
      </c>
      <c r="V27" s="429">
        <f>'IRA and CHIPS'!H187</f>
        <v>1.2969999999999999</v>
      </c>
      <c r="W27" s="429">
        <f>'IRA and CHIPS'!I187</f>
        <v>1.2969999999999999</v>
      </c>
      <c r="X27" s="429">
        <f>'IRA and CHIPS'!J187</f>
        <v>3.8479999999999999</v>
      </c>
      <c r="Y27" s="429">
        <f>'IRA and CHIPS'!K187</f>
        <v>3.8479999999999999</v>
      </c>
      <c r="Z27" s="429">
        <f>'IRA and CHIPS'!L187</f>
        <v>3.8479999999999999</v>
      </c>
      <c r="AA27" s="429">
        <f>'IRA and CHIPS'!M187</f>
        <v>3.8479999999999999</v>
      </c>
      <c r="AB27" s="429">
        <f>'IRA and CHIPS'!N187</f>
        <v>6.4420000000000002</v>
      </c>
      <c r="AC27" s="430">
        <f>'IRA and CHIPS'!O187</f>
        <v>6.4420000000000002</v>
      </c>
      <c r="AE27" s="135"/>
      <c r="AF27" s="135"/>
    </row>
    <row r="28" spans="2:34" ht="15" customHeight="1" x14ac:dyDescent="0.35">
      <c r="B28" s="1701" t="s">
        <v>419</v>
      </c>
      <c r="C28" s="1702"/>
      <c r="D28" s="432"/>
      <c r="E28" s="420"/>
      <c r="F28" s="420"/>
      <c r="G28" s="420"/>
      <c r="H28" s="50"/>
      <c r="I28" s="50"/>
      <c r="J28" s="50"/>
      <c r="K28" s="50"/>
      <c r="L28" s="50"/>
      <c r="M28" s="50"/>
      <c r="N28" s="50"/>
      <c r="O28" s="50"/>
      <c r="P28" s="443"/>
      <c r="Q28" s="50"/>
      <c r="R28" s="50"/>
      <c r="S28" s="50"/>
      <c r="T28" s="1279"/>
      <c r="U28" s="1309"/>
      <c r="V28" s="452"/>
      <c r="W28" s="452"/>
      <c r="X28" s="452"/>
      <c r="Y28" s="452"/>
      <c r="Z28" s="452"/>
      <c r="AA28" s="452"/>
      <c r="AB28" s="452"/>
      <c r="AC28" s="460"/>
      <c r="AE28" s="135"/>
      <c r="AF28" s="135"/>
    </row>
    <row r="29" spans="2:34" x14ac:dyDescent="0.35">
      <c r="B29" s="337" t="s">
        <v>420</v>
      </c>
      <c r="C29" s="225"/>
      <c r="D29" s="392"/>
      <c r="E29" s="225"/>
      <c r="F29" s="162"/>
      <c r="G29" s="162"/>
      <c r="H29" s="50"/>
      <c r="I29" s="50"/>
      <c r="J29" s="50"/>
      <c r="K29" s="50"/>
      <c r="L29" s="50"/>
      <c r="M29" s="50"/>
      <c r="N29" s="50">
        <f>SUM(N30:N34)</f>
        <v>23</v>
      </c>
      <c r="O29" s="50">
        <f>SUM(O30:O34)</f>
        <v>162</v>
      </c>
      <c r="P29" s="50"/>
      <c r="Q29" s="50"/>
      <c r="R29" s="50"/>
      <c r="S29" s="50"/>
      <c r="T29" s="1279"/>
      <c r="U29" s="1290"/>
      <c r="V29" s="452"/>
      <c r="W29" s="452"/>
      <c r="X29" s="452"/>
      <c r="Y29" s="452"/>
      <c r="Z29" s="452"/>
      <c r="AA29" s="452"/>
      <c r="AB29" s="452"/>
      <c r="AC29" s="460"/>
      <c r="AE29" s="135"/>
      <c r="AF29" s="135"/>
    </row>
    <row r="30" spans="2:34" x14ac:dyDescent="0.35">
      <c r="B30" s="240" t="s">
        <v>421</v>
      </c>
      <c r="C30" s="225"/>
      <c r="D30" s="392"/>
      <c r="E30" s="225"/>
      <c r="F30" s="162"/>
      <c r="G30" s="162"/>
      <c r="H30" s="50"/>
      <c r="I30" s="50"/>
      <c r="J30" s="50"/>
      <c r="K30" s="50"/>
      <c r="L30" s="436"/>
      <c r="M30" s="50"/>
      <c r="N30" s="50">
        <f>(4*'Response and Relief Act Score'!$F$15-$M$18)/2</f>
        <v>11</v>
      </c>
      <c r="O30" s="50">
        <f>(4*'Response and Relief Act Score'!$F$15-$M$18)/2</f>
        <v>11</v>
      </c>
      <c r="P30" s="50"/>
      <c r="Q30" s="50"/>
      <c r="R30" s="50"/>
      <c r="S30" s="50"/>
      <c r="T30" s="1279"/>
      <c r="U30" s="1290"/>
      <c r="V30" s="452"/>
      <c r="W30" s="452"/>
      <c r="X30" s="452"/>
      <c r="Y30" s="452"/>
      <c r="Z30" s="452"/>
      <c r="AA30" s="452"/>
      <c r="AB30" s="452"/>
      <c r="AC30" s="460"/>
      <c r="AE30" s="135"/>
      <c r="AF30" s="135"/>
    </row>
    <row r="31" spans="2:34" x14ac:dyDescent="0.35">
      <c r="B31" s="240" t="s">
        <v>418</v>
      </c>
      <c r="C31" s="225"/>
      <c r="D31" s="392"/>
      <c r="E31" s="225"/>
      <c r="F31" s="162"/>
      <c r="G31" s="162"/>
      <c r="H31" s="50"/>
      <c r="I31" s="50"/>
      <c r="J31" s="50"/>
      <c r="K31" s="50"/>
      <c r="L31" s="436"/>
      <c r="M31" s="50"/>
      <c r="N31" s="50"/>
      <c r="O31" s="50"/>
      <c r="P31" s="50"/>
      <c r="Q31" s="50"/>
      <c r="R31" s="50"/>
      <c r="S31" s="50"/>
      <c r="T31" s="1279"/>
      <c r="U31" s="1290"/>
      <c r="V31" s="452"/>
      <c r="W31" s="452"/>
      <c r="X31" s="452"/>
      <c r="Y31" s="452"/>
      <c r="Z31" s="452"/>
      <c r="AA31" s="452"/>
      <c r="AB31" s="452"/>
      <c r="AC31" s="460"/>
      <c r="AE31" s="135"/>
      <c r="AF31" s="135"/>
    </row>
    <row r="32" spans="2:34" x14ac:dyDescent="0.35">
      <c r="B32" s="461" t="s">
        <v>415</v>
      </c>
      <c r="C32" s="225"/>
      <c r="D32" s="392"/>
      <c r="E32" s="225"/>
      <c r="F32" s="162"/>
      <c r="G32" s="162"/>
      <c r="H32" s="50"/>
      <c r="I32" s="50"/>
      <c r="J32" s="50"/>
      <c r="K32" s="50"/>
      <c r="L32" s="50"/>
      <c r="M32" s="50"/>
      <c r="N32" s="50"/>
      <c r="O32" s="50">
        <v>79</v>
      </c>
      <c r="P32" s="50"/>
      <c r="Q32" s="303"/>
      <c r="R32" s="303"/>
      <c r="S32" s="303"/>
      <c r="T32" s="1306"/>
      <c r="U32" s="1310"/>
      <c r="V32" s="452"/>
      <c r="W32" s="452"/>
      <c r="X32" s="452"/>
      <c r="Y32" s="452"/>
      <c r="Z32" s="452"/>
      <c r="AA32" s="452"/>
      <c r="AB32" s="452"/>
      <c r="AC32" s="460"/>
      <c r="AE32" s="135"/>
      <c r="AF32" s="135"/>
    </row>
    <row r="33" spans="1:78" x14ac:dyDescent="0.35">
      <c r="B33" s="462" t="s">
        <v>422</v>
      </c>
      <c r="C33" s="225"/>
      <c r="D33" s="392"/>
      <c r="E33" s="225"/>
      <c r="F33" s="162"/>
      <c r="G33" s="162"/>
      <c r="H33" s="50"/>
      <c r="I33" s="50"/>
      <c r="J33" s="50"/>
      <c r="K33" s="50"/>
      <c r="L33" s="50"/>
      <c r="M33" s="50"/>
      <c r="N33" s="50"/>
      <c r="O33" s="50">
        <f>'Response and Relief Act Score'!F13*4</f>
        <v>60</v>
      </c>
      <c r="P33" s="50"/>
      <c r="Q33" s="303"/>
      <c r="R33" s="303"/>
      <c r="S33" s="303"/>
      <c r="T33" s="1306"/>
      <c r="U33" s="1310"/>
      <c r="V33" s="452"/>
      <c r="W33" s="452"/>
      <c r="X33" s="452"/>
      <c r="Y33" s="452"/>
      <c r="Z33" s="452"/>
      <c r="AA33" s="452"/>
      <c r="AB33" s="452"/>
      <c r="AC33" s="460"/>
      <c r="AE33" s="135"/>
      <c r="AF33" s="135"/>
    </row>
    <row r="34" spans="1:78" ht="27.65" customHeight="1" x14ac:dyDescent="0.35">
      <c r="B34" s="462" t="s">
        <v>423</v>
      </c>
      <c r="C34" s="225"/>
      <c r="D34" s="434"/>
      <c r="E34" s="435"/>
      <c r="F34" s="424"/>
      <c r="G34" s="424"/>
      <c r="H34" s="293"/>
      <c r="I34" s="293"/>
      <c r="J34" s="293"/>
      <c r="K34" s="293"/>
      <c r="L34" s="442"/>
      <c r="M34" s="293"/>
      <c r="N34" s="293">
        <f>'Response and Relief Act Score'!F14*4/2</f>
        <v>12</v>
      </c>
      <c r="O34" s="293">
        <f>'Response and Relief Act Score'!F14*4/2</f>
        <v>12</v>
      </c>
      <c r="P34" s="293"/>
      <c r="Q34" s="293"/>
      <c r="R34" s="293"/>
      <c r="S34" s="293"/>
      <c r="T34" s="293"/>
      <c r="U34" s="1290"/>
      <c r="V34" s="452"/>
      <c r="W34" s="452"/>
      <c r="X34" s="452"/>
      <c r="Y34" s="452"/>
      <c r="Z34" s="452"/>
      <c r="AA34" s="452"/>
      <c r="AB34" s="452"/>
      <c r="AC34" s="460"/>
      <c r="AE34" s="135"/>
      <c r="AF34" s="135"/>
    </row>
    <row r="35" spans="1:78" ht="15" customHeight="1" x14ac:dyDescent="0.35">
      <c r="B35" s="1699" t="s">
        <v>424</v>
      </c>
      <c r="C35" s="1700"/>
      <c r="D35" s="392"/>
      <c r="E35" s="225"/>
      <c r="F35" s="162"/>
      <c r="G35" s="162"/>
      <c r="H35" s="50"/>
      <c r="I35" s="50"/>
      <c r="J35" s="50"/>
      <c r="K35" s="50"/>
      <c r="L35" s="436"/>
      <c r="M35" s="50"/>
      <c r="N35" s="50"/>
      <c r="O35" s="50"/>
      <c r="P35" s="50"/>
      <c r="Q35" s="50"/>
      <c r="R35" s="50"/>
      <c r="S35" s="50"/>
      <c r="T35" s="321"/>
      <c r="U35" s="1309"/>
      <c r="V35" s="465"/>
      <c r="W35" s="465"/>
      <c r="X35" s="465"/>
      <c r="Y35" s="465"/>
      <c r="Z35" s="465"/>
      <c r="AA35" s="465"/>
      <c r="AB35" s="465"/>
      <c r="AC35" s="449"/>
      <c r="AE35" s="135"/>
      <c r="AF35" s="135"/>
    </row>
    <row r="36" spans="1:78" ht="13.5" customHeight="1" x14ac:dyDescent="0.35">
      <c r="B36" s="462" t="s">
        <v>143</v>
      </c>
      <c r="C36" s="225"/>
      <c r="D36" s="392"/>
      <c r="E36" s="225"/>
      <c r="F36" s="162"/>
      <c r="G36" s="162"/>
      <c r="H36" s="50"/>
      <c r="I36" s="50"/>
      <c r="J36" s="50"/>
      <c r="K36" s="50"/>
      <c r="L36" s="436"/>
      <c r="M36" s="50">
        <f>'ARP Quarterly'!C18</f>
        <v>0</v>
      </c>
      <c r="N36" s="50">
        <f>'ARP Quarterly'!D18</f>
        <v>2.2132800000000001</v>
      </c>
      <c r="O36" s="50">
        <f>'ARP Quarterly'!E18</f>
        <v>10.082720000000002</v>
      </c>
      <c r="P36" s="50">
        <f>'ARP Quarterly'!F18</f>
        <v>7.1439999999999992</v>
      </c>
      <c r="Q36" s="50">
        <f>'ARP Quarterly'!G18</f>
        <v>7.1439999999999992</v>
      </c>
      <c r="R36" s="50">
        <f>'ARP Quarterly'!H18</f>
        <v>7.1439999999999992</v>
      </c>
      <c r="S36" s="50">
        <f>'ARP Quarterly'!I18</f>
        <v>7.1439999999999992</v>
      </c>
      <c r="T36" s="1279">
        <f>'ARP Quarterly'!J18</f>
        <v>0</v>
      </c>
      <c r="U36" s="246">
        <f>'ARP Quarterly'!K18</f>
        <v>0</v>
      </c>
      <c r="V36" s="267">
        <f>'ARP Quarterly'!L18</f>
        <v>0</v>
      </c>
      <c r="W36" s="267">
        <f>'ARP Quarterly'!M18</f>
        <v>0</v>
      </c>
      <c r="X36" s="267">
        <f>'ARP Quarterly'!N18</f>
        <v>0</v>
      </c>
      <c r="Y36" s="267">
        <f>'ARP Quarterly'!O18</f>
        <v>0</v>
      </c>
      <c r="Z36" s="267">
        <f>'ARP Quarterly'!P18</f>
        <v>0</v>
      </c>
      <c r="AA36" s="267">
        <f>'ARP Quarterly'!Q18</f>
        <v>0</v>
      </c>
      <c r="AB36" s="267">
        <f>'ARP Quarterly'!R18</f>
        <v>0</v>
      </c>
      <c r="AC36" s="327">
        <f>'ARP Quarterly'!S18</f>
        <v>0</v>
      </c>
      <c r="AE36" s="135"/>
      <c r="AF36" s="135"/>
    </row>
    <row r="37" spans="1:78" x14ac:dyDescent="0.35">
      <c r="B37" s="462" t="s">
        <v>425</v>
      </c>
      <c r="C37" s="225"/>
      <c r="D37" s="392"/>
      <c r="E37" s="225"/>
      <c r="F37" s="162"/>
      <c r="G37" s="162"/>
      <c r="H37" s="50"/>
      <c r="I37" s="50"/>
      <c r="J37" s="50"/>
      <c r="K37" s="50"/>
      <c r="L37" s="436"/>
      <c r="M37" s="50">
        <f>'ARP Quarterly'!C19</f>
        <v>0</v>
      </c>
      <c r="N37" s="50">
        <f>'ARP Quarterly'!D19</f>
        <v>15.128640000000001</v>
      </c>
      <c r="O37" s="50">
        <f>'ARP Quarterly'!E19</f>
        <v>68.919360000000012</v>
      </c>
      <c r="P37" s="50">
        <f>'ARP Quarterly'!F19</f>
        <v>5.6120000000000001</v>
      </c>
      <c r="Q37" s="50">
        <f>'ARP Quarterly'!G19</f>
        <v>5.6120000000000001</v>
      </c>
      <c r="R37" s="50">
        <f>'ARP Quarterly'!H19</f>
        <v>5.6120000000000001</v>
      </c>
      <c r="S37" s="50">
        <f>'ARP Quarterly'!I19</f>
        <v>5.6120000000000001</v>
      </c>
      <c r="T37" s="1279">
        <f>'ARP Quarterly'!J19</f>
        <v>0.48599999999999993</v>
      </c>
      <c r="U37" s="246">
        <f>'ARP Quarterly'!K19</f>
        <v>0.48599999999999993</v>
      </c>
      <c r="V37" s="267">
        <f>'ARP Quarterly'!L19</f>
        <v>0.48599999999999993</v>
      </c>
      <c r="W37" s="267">
        <f>'ARP Quarterly'!M19</f>
        <v>0.48599999999999993</v>
      </c>
      <c r="X37" s="267">
        <f>'ARP Quarterly'!N19</f>
        <v>0</v>
      </c>
      <c r="Y37" s="267">
        <f>'ARP Quarterly'!O19</f>
        <v>0</v>
      </c>
      <c r="Z37" s="267">
        <f>'ARP Quarterly'!P19</f>
        <v>0</v>
      </c>
      <c r="AA37" s="267">
        <f>'ARP Quarterly'!Q19</f>
        <v>0</v>
      </c>
      <c r="AB37" s="267">
        <f>'ARP Quarterly'!R19</f>
        <v>0</v>
      </c>
      <c r="AC37" s="327">
        <f>'ARP Quarterly'!S19</f>
        <v>0</v>
      </c>
      <c r="AE37" s="135"/>
      <c r="AF37" s="135"/>
    </row>
    <row r="38" spans="1:78" x14ac:dyDescent="0.35">
      <c r="B38" s="462" t="s">
        <v>148</v>
      </c>
      <c r="C38" s="225"/>
      <c r="D38" s="392"/>
      <c r="E38" s="225"/>
      <c r="F38" s="162"/>
      <c r="G38" s="162"/>
      <c r="H38" s="50"/>
      <c r="I38" s="50"/>
      <c r="J38" s="50"/>
      <c r="K38" s="50"/>
      <c r="L38" s="436"/>
      <c r="M38" s="50">
        <f>'ARP Quarterly'!C20</f>
        <v>0</v>
      </c>
      <c r="N38" s="50">
        <f>'ARP Quarterly'!D20</f>
        <v>3.2479199999999997</v>
      </c>
      <c r="O38" s="50">
        <f>'ARP Quarterly'!E20</f>
        <v>14.796080000000002</v>
      </c>
      <c r="P38" s="50">
        <f>'ARP Quarterly'!F20</f>
        <v>1.7329999999999999</v>
      </c>
      <c r="Q38" s="50">
        <f>'ARP Quarterly'!G20</f>
        <v>1.7329999999999999</v>
      </c>
      <c r="R38" s="50">
        <f>'ARP Quarterly'!H20</f>
        <v>1.7329999999999999</v>
      </c>
      <c r="S38" s="50">
        <f>'ARP Quarterly'!I20</f>
        <v>1.7329999999999999</v>
      </c>
      <c r="T38" s="1279">
        <f>'ARP Quarterly'!J20</f>
        <v>0</v>
      </c>
      <c r="U38" s="246">
        <f>'ARP Quarterly'!K20</f>
        <v>0</v>
      </c>
      <c r="V38" s="267">
        <f>'ARP Quarterly'!L20</f>
        <v>0</v>
      </c>
      <c r="W38" s="267">
        <f>'ARP Quarterly'!M20</f>
        <v>0</v>
      </c>
      <c r="X38" s="267">
        <f>'ARP Quarterly'!N20</f>
        <v>0</v>
      </c>
      <c r="Y38" s="267">
        <f>'ARP Quarterly'!O20</f>
        <v>0</v>
      </c>
      <c r="Z38" s="267">
        <f>'ARP Quarterly'!P20</f>
        <v>0</v>
      </c>
      <c r="AA38" s="267">
        <f>'ARP Quarterly'!Q20</f>
        <v>0</v>
      </c>
      <c r="AB38" s="267">
        <f>'ARP Quarterly'!R20</f>
        <v>0</v>
      </c>
      <c r="AC38" s="327">
        <f>'ARP Quarterly'!S20</f>
        <v>0</v>
      </c>
      <c r="AE38" s="135"/>
      <c r="AF38" s="135"/>
    </row>
    <row r="39" spans="1:78" x14ac:dyDescent="0.35">
      <c r="B39" s="462" t="s">
        <v>415</v>
      </c>
      <c r="C39" s="225"/>
      <c r="D39" s="392"/>
      <c r="E39" s="225"/>
      <c r="F39" s="162"/>
      <c r="G39" s="162"/>
      <c r="H39" s="50"/>
      <c r="I39" s="50"/>
      <c r="J39" s="50"/>
      <c r="K39" s="50"/>
      <c r="L39" s="436"/>
      <c r="M39" s="50">
        <f>'ARP Quarterly'!C21</f>
        <v>0</v>
      </c>
      <c r="N39" s="50">
        <f>'ARP Quarterly'!D21</f>
        <v>13.2921</v>
      </c>
      <c r="O39" s="50">
        <f>'ARP Quarterly'!E21</f>
        <v>60.552900000000008</v>
      </c>
      <c r="P39" s="50">
        <f>'ARP Quarterly'!F21</f>
        <v>1.0687500000000001</v>
      </c>
      <c r="Q39" s="50">
        <f>'ARP Quarterly'!G21</f>
        <v>1.0687500000000001</v>
      </c>
      <c r="R39" s="50">
        <f>'ARP Quarterly'!H21</f>
        <v>1.0687500000000001</v>
      </c>
      <c r="S39" s="50">
        <f>'ARP Quarterly'!I21</f>
        <v>1.0687500000000001</v>
      </c>
      <c r="T39" s="1279">
        <f>'ARP Quarterly'!J21</f>
        <v>0.78750000000000009</v>
      </c>
      <c r="U39" s="246">
        <f>'ARP Quarterly'!K21</f>
        <v>0.78750000000000009</v>
      </c>
      <c r="V39" s="267">
        <f>'ARP Quarterly'!L21</f>
        <v>0.78750000000000009</v>
      </c>
      <c r="W39" s="267">
        <f>'ARP Quarterly'!M21</f>
        <v>0.78750000000000009</v>
      </c>
      <c r="X39" s="267">
        <f>'ARP Quarterly'!N21</f>
        <v>0</v>
      </c>
      <c r="Y39" s="267">
        <f>'ARP Quarterly'!O21</f>
        <v>0</v>
      </c>
      <c r="Z39" s="267">
        <f>'ARP Quarterly'!P21</f>
        <v>0</v>
      </c>
      <c r="AA39" s="267">
        <f>'ARP Quarterly'!Q21</f>
        <v>0</v>
      </c>
      <c r="AB39" s="267">
        <f>'ARP Quarterly'!R21</f>
        <v>0</v>
      </c>
      <c r="AC39" s="327">
        <f>'ARP Quarterly'!S21</f>
        <v>0</v>
      </c>
      <c r="AE39" s="135"/>
      <c r="AF39" s="135"/>
    </row>
    <row r="40" spans="1:78" ht="30" customHeight="1" x14ac:dyDescent="0.35">
      <c r="B40" s="462" t="s">
        <v>426</v>
      </c>
      <c r="C40" s="225"/>
      <c r="D40" s="392"/>
      <c r="E40" s="225"/>
      <c r="F40" s="162"/>
      <c r="G40" s="162"/>
      <c r="H40" s="50"/>
      <c r="I40" s="50"/>
      <c r="J40" s="50"/>
      <c r="K40" s="50"/>
      <c r="L40" s="436"/>
      <c r="M40" s="50">
        <f>'ARP Quarterly'!C22</f>
        <v>0</v>
      </c>
      <c r="N40" s="50">
        <f>'ARP Quarterly'!D22</f>
        <v>22.153499999999998</v>
      </c>
      <c r="O40" s="50">
        <f>'ARP Quarterly'!E22</f>
        <v>100.92150000000002</v>
      </c>
      <c r="P40" s="50">
        <f>'ARP Quarterly'!F22</f>
        <v>1.7812500000000002</v>
      </c>
      <c r="Q40" s="50">
        <f>'ARP Quarterly'!G22</f>
        <v>1.7812500000000002</v>
      </c>
      <c r="R40" s="50">
        <f>'ARP Quarterly'!H22</f>
        <v>1.7812500000000002</v>
      </c>
      <c r="S40" s="50">
        <f>'ARP Quarterly'!I22</f>
        <v>1.7812500000000002</v>
      </c>
      <c r="T40" s="1279">
        <f>'ARP Quarterly'!J22</f>
        <v>1.3125000000000002</v>
      </c>
      <c r="U40" s="246">
        <f>'ARP Quarterly'!K22</f>
        <v>1.3125000000000002</v>
      </c>
      <c r="V40" s="267">
        <f>'ARP Quarterly'!L22</f>
        <v>1.3125000000000002</v>
      </c>
      <c r="W40" s="267">
        <f>'ARP Quarterly'!M22</f>
        <v>1.3125000000000002</v>
      </c>
      <c r="X40" s="267">
        <f>'ARP Quarterly'!N22</f>
        <v>0</v>
      </c>
      <c r="Y40" s="267">
        <f>'ARP Quarterly'!O22</f>
        <v>0</v>
      </c>
      <c r="Z40" s="267">
        <f>'ARP Quarterly'!P22</f>
        <v>0</v>
      </c>
      <c r="AA40" s="267">
        <f>'ARP Quarterly'!Q22</f>
        <v>0</v>
      </c>
      <c r="AB40" s="267">
        <f>'ARP Quarterly'!R22</f>
        <v>0</v>
      </c>
      <c r="AC40" s="327">
        <f>'ARP Quarterly'!S22</f>
        <v>0</v>
      </c>
      <c r="AE40" s="135"/>
      <c r="AF40" s="135"/>
    </row>
    <row r="41" spans="1:78" x14ac:dyDescent="0.35">
      <c r="B41" s="462" t="s">
        <v>427</v>
      </c>
      <c r="C41" s="225"/>
      <c r="D41" s="392"/>
      <c r="E41" s="225"/>
      <c r="F41" s="162"/>
      <c r="G41" s="162"/>
      <c r="H41" s="50"/>
      <c r="I41" s="50"/>
      <c r="J41" s="50"/>
      <c r="K41" s="50"/>
      <c r="L41" s="436"/>
      <c r="M41" s="50">
        <f>'ARP Quarterly'!C23</f>
        <v>0</v>
      </c>
      <c r="N41" s="50">
        <f>'ARP Quarterly'!D23</f>
        <v>2.9519999999999995</v>
      </c>
      <c r="O41" s="50">
        <f>'ARP Quarterly'!E23</f>
        <v>13.448</v>
      </c>
      <c r="P41" s="50">
        <f>'ARP Quarterly'!F23</f>
        <v>11.3</v>
      </c>
      <c r="Q41" s="50">
        <f>'ARP Quarterly'!G23</f>
        <v>11.3</v>
      </c>
      <c r="R41" s="50">
        <f>'ARP Quarterly'!H23</f>
        <v>11.3</v>
      </c>
      <c r="S41" s="50">
        <f>'ARP Quarterly'!I23</f>
        <v>11.3</v>
      </c>
      <c r="T41" s="1279">
        <f>'ARP Quarterly'!J23</f>
        <v>8.4</v>
      </c>
      <c r="U41" s="246">
        <f>'ARP Quarterly'!K23</f>
        <v>8.4</v>
      </c>
      <c r="V41" s="267">
        <f>'ARP Quarterly'!L23</f>
        <v>8.4</v>
      </c>
      <c r="W41" s="267">
        <f>'ARP Quarterly'!M23</f>
        <v>8.4</v>
      </c>
      <c r="X41" s="267">
        <f>'ARP Quarterly'!N23</f>
        <v>0.2</v>
      </c>
      <c r="Y41" s="267">
        <f>'ARP Quarterly'!O23</f>
        <v>0.2</v>
      </c>
      <c r="Z41" s="267">
        <f>'ARP Quarterly'!P23</f>
        <v>0.2</v>
      </c>
      <c r="AA41" s="267">
        <f>'ARP Quarterly'!Q23</f>
        <v>0.2</v>
      </c>
      <c r="AB41" s="267">
        <f>'ARP Quarterly'!R23</f>
        <v>0</v>
      </c>
      <c r="AC41" s="327">
        <f>'ARP Quarterly'!S23</f>
        <v>0</v>
      </c>
      <c r="AE41" s="135"/>
      <c r="AF41" s="135"/>
    </row>
    <row r="42" spans="1:78" x14ac:dyDescent="0.35">
      <c r="B42" s="462" t="s">
        <v>428</v>
      </c>
      <c r="C42" s="225"/>
      <c r="D42" s="392"/>
      <c r="E42" s="225"/>
      <c r="F42" s="162"/>
      <c r="G42" s="162"/>
      <c r="H42" s="50"/>
      <c r="I42" s="50"/>
      <c r="J42" s="50"/>
      <c r="K42" s="50"/>
      <c r="L42" s="436"/>
      <c r="M42" s="50">
        <f>'ARP Quarterly'!C24</f>
        <v>0</v>
      </c>
      <c r="N42" s="50">
        <f>'ARP Quarterly'!D24</f>
        <v>-0.20447999999999997</v>
      </c>
      <c r="O42" s="50">
        <f>'ARP Quarterly'!E24</f>
        <v>-0.93152000000000001</v>
      </c>
      <c r="P42" s="50">
        <v>0</v>
      </c>
      <c r="Q42" s="50">
        <v>0</v>
      </c>
      <c r="R42" s="50">
        <v>0</v>
      </c>
      <c r="S42" s="50">
        <v>0</v>
      </c>
      <c r="T42" s="1279">
        <v>0</v>
      </c>
      <c r="U42" s="246">
        <v>0</v>
      </c>
      <c r="V42" s="267">
        <v>0</v>
      </c>
      <c r="W42" s="267">
        <v>0</v>
      </c>
      <c r="X42" s="267">
        <v>0</v>
      </c>
      <c r="Y42" s="267">
        <v>0</v>
      </c>
      <c r="Z42" s="267">
        <v>0</v>
      </c>
      <c r="AA42" s="267">
        <v>0</v>
      </c>
      <c r="AB42" s="267">
        <v>0</v>
      </c>
      <c r="AC42" s="327">
        <v>0</v>
      </c>
      <c r="AE42" s="135"/>
      <c r="AF42" s="135"/>
    </row>
    <row r="43" spans="1:78" x14ac:dyDescent="0.35">
      <c r="B43" s="462" t="s">
        <v>312</v>
      </c>
      <c r="C43" s="225"/>
      <c r="D43" s="434"/>
      <c r="E43" s="435"/>
      <c r="F43" s="424"/>
      <c r="G43" s="424"/>
      <c r="H43" s="293"/>
      <c r="I43" s="293"/>
      <c r="J43" s="293"/>
      <c r="K43" s="293"/>
      <c r="L43" s="442"/>
      <c r="M43" s="293">
        <f>'ARP Quarterly'!C25</f>
        <v>0</v>
      </c>
      <c r="N43" s="293">
        <f>'ARP Quarterly'!D25</f>
        <v>58.782959999999996</v>
      </c>
      <c r="O43" s="293">
        <f>'ARP Quarterly'!E25</f>
        <v>267.78904000000006</v>
      </c>
      <c r="P43" s="293">
        <f>'ARP Quarterly'!F25</f>
        <v>110.24799999999999</v>
      </c>
      <c r="Q43" s="293">
        <f>'ARP Quarterly'!G25</f>
        <v>110.24799999999999</v>
      </c>
      <c r="R43" s="293">
        <f>'ARP Quarterly'!H25</f>
        <v>110.24799999999999</v>
      </c>
      <c r="S43" s="293">
        <f>'ARP Quarterly'!I25</f>
        <v>110.24799999999999</v>
      </c>
      <c r="T43" s="293">
        <f>'ARP Quarterly'!J25</f>
        <v>12.362</v>
      </c>
      <c r="U43" s="246">
        <f>'ARP Quarterly'!K25</f>
        <v>12.362</v>
      </c>
      <c r="V43" s="267">
        <f>'ARP Quarterly'!L25</f>
        <v>12.362</v>
      </c>
      <c r="W43" s="267">
        <f>'ARP Quarterly'!M25</f>
        <v>12.362</v>
      </c>
      <c r="X43" s="267">
        <f>'ARP Quarterly'!N25</f>
        <v>-0.67500000000000004</v>
      </c>
      <c r="Y43" s="267">
        <f>'ARP Quarterly'!O25</f>
        <v>-0.67500000000000004</v>
      </c>
      <c r="Z43" s="267">
        <f>'ARP Quarterly'!P25</f>
        <v>-0.67500000000000004</v>
      </c>
      <c r="AA43" s="267">
        <f>'ARP Quarterly'!Q25</f>
        <v>-0.67500000000000004</v>
      </c>
      <c r="AB43" s="267">
        <f>'ARP Quarterly'!R25</f>
        <v>0</v>
      </c>
      <c r="AC43" s="327">
        <f>'ARP Quarterly'!S25</f>
        <v>0</v>
      </c>
      <c r="AE43" s="135"/>
      <c r="AF43" s="135"/>
    </row>
    <row r="44" spans="1:78" ht="15" customHeight="1" x14ac:dyDescent="0.35">
      <c r="B44" s="1699" t="s">
        <v>429</v>
      </c>
      <c r="C44" s="1700"/>
      <c r="D44" s="433"/>
      <c r="E44" s="69"/>
      <c r="F44" s="162"/>
      <c r="G44" s="162"/>
      <c r="H44" s="50"/>
      <c r="I44" s="50"/>
      <c r="J44" s="50"/>
      <c r="K44" s="50"/>
      <c r="L44" s="436"/>
      <c r="M44" s="50"/>
      <c r="N44" s="50"/>
      <c r="O44" s="50"/>
      <c r="P44" s="50"/>
      <c r="Q44" s="50"/>
      <c r="R44" s="50"/>
      <c r="S44" s="50"/>
      <c r="T44" s="1279"/>
      <c r="U44" s="1308"/>
      <c r="V44" s="465"/>
      <c r="W44" s="465"/>
      <c r="X44" s="465"/>
      <c r="Y44" s="465"/>
      <c r="Z44" s="465"/>
      <c r="AA44" s="465"/>
      <c r="AB44" s="465"/>
      <c r="AC44" s="449"/>
      <c r="AE44" s="135"/>
      <c r="AF44" s="135"/>
    </row>
    <row r="45" spans="1:78" ht="21" customHeight="1" x14ac:dyDescent="0.35">
      <c r="B45" s="345" t="s">
        <v>430</v>
      </c>
      <c r="C45" s="437"/>
      <c r="D45" s="345"/>
      <c r="E45" s="437"/>
      <c r="F45" s="260"/>
      <c r="G45" s="260"/>
      <c r="H45" s="417"/>
      <c r="I45" s="417"/>
      <c r="J45" s="417"/>
      <c r="K45" s="417"/>
      <c r="L45" s="438"/>
      <c r="M45" s="417">
        <f>'ARP Quarterly'!C6</f>
        <v>0</v>
      </c>
      <c r="N45" s="417">
        <f>'ARP Quarterly'!D6</f>
        <v>58.782959999999989</v>
      </c>
      <c r="O45" s="417">
        <f>'ARP Quarterly'!E6</f>
        <v>267.78904</v>
      </c>
      <c r="P45" s="417">
        <f>'ARP Quarterly'!F6</f>
        <v>110.24799999999999</v>
      </c>
      <c r="Q45" s="417">
        <f>'ARP Quarterly'!G6</f>
        <v>110.24799999999999</v>
      </c>
      <c r="R45" s="417">
        <f>'ARP Quarterly'!H6</f>
        <v>110.24799999999999</v>
      </c>
      <c r="S45" s="417">
        <f>'ARP Quarterly'!I6</f>
        <v>110.24799999999999</v>
      </c>
      <c r="T45" s="1307">
        <f>'ARP Quarterly'!J6</f>
        <v>12.726000000000001</v>
      </c>
      <c r="U45" s="440">
        <f>'ARP Quarterly'!K6</f>
        <v>12.726000000000001</v>
      </c>
      <c r="V45" s="456">
        <f>'ARP Quarterly'!L6</f>
        <v>12.726000000000001</v>
      </c>
      <c r="W45" s="456">
        <f>'ARP Quarterly'!M6</f>
        <v>12.726000000000001</v>
      </c>
      <c r="X45" s="456">
        <f>'ARP Quarterly'!N6</f>
        <v>1.365</v>
      </c>
      <c r="Y45" s="456">
        <f>'ARP Quarterly'!O6</f>
        <v>1.365</v>
      </c>
      <c r="Z45" s="456">
        <f>'ARP Quarterly'!P6</f>
        <v>1.365</v>
      </c>
      <c r="AA45" s="456">
        <f>'ARP Quarterly'!Q6</f>
        <v>1.365</v>
      </c>
      <c r="AB45" s="456">
        <f>'ARP Quarterly'!R6</f>
        <v>-0.90100000000000025</v>
      </c>
      <c r="AC45" s="467">
        <f>'ARP Quarterly'!S6</f>
        <v>-0.90100000000000025</v>
      </c>
      <c r="AE45" s="135"/>
      <c r="AF45" s="135"/>
    </row>
    <row r="46" spans="1:78" ht="19.5" customHeight="1" x14ac:dyDescent="0.35">
      <c r="A46" s="463"/>
      <c r="B46" s="450" t="s">
        <v>199</v>
      </c>
      <c r="C46" s="451"/>
      <c r="D46" s="450"/>
      <c r="E46" s="451"/>
      <c r="F46" s="418">
        <f>F11-F45</f>
        <v>60.5</v>
      </c>
      <c r="G46" s="418">
        <f>G11-G45</f>
        <v>81.400000000000006</v>
      </c>
      <c r="H46" s="418">
        <f t="shared" ref="H46:AC46" si="15">H11-H45</f>
        <v>82.1</v>
      </c>
      <c r="I46" s="418">
        <f>I11-I45</f>
        <v>80</v>
      </c>
      <c r="J46" s="418">
        <f t="shared" si="15"/>
        <v>975.7</v>
      </c>
      <c r="K46" s="418">
        <f t="shared" si="15"/>
        <v>1108.8</v>
      </c>
      <c r="L46" s="418">
        <f>L11-L45</f>
        <v>462.2</v>
      </c>
      <c r="M46" s="418">
        <f>M11-M45</f>
        <v>387.4</v>
      </c>
      <c r="N46" s="418">
        <f t="shared" si="15"/>
        <v>635.11703999999997</v>
      </c>
      <c r="O46" s="418">
        <f>O11-O45</f>
        <v>277.81096000000002</v>
      </c>
      <c r="P46" s="418">
        <f>P11-P45</f>
        <v>178.05200000000002</v>
      </c>
      <c r="Q46" s="418">
        <f t="shared" si="15"/>
        <v>34.25200000000001</v>
      </c>
      <c r="R46" s="418">
        <f t="shared" si="15"/>
        <v>12.652000000000015</v>
      </c>
      <c r="S46" s="418">
        <f t="shared" si="15"/>
        <v>3.5520000000000067</v>
      </c>
      <c r="T46" s="418">
        <f t="shared" si="15"/>
        <v>98.073999999999998</v>
      </c>
      <c r="U46" s="441">
        <f t="shared" si="15"/>
        <v>92.073999999999998</v>
      </c>
      <c r="V46" s="457">
        <f t="shared" si="15"/>
        <v>75.782000000000011</v>
      </c>
      <c r="W46" s="457">
        <f t="shared" si="15"/>
        <v>75.782000000000011</v>
      </c>
      <c r="X46" s="457">
        <f t="shared" si="15"/>
        <v>84.266000000000005</v>
      </c>
      <c r="Y46" s="457">
        <f t="shared" si="15"/>
        <v>84.266000000000005</v>
      </c>
      <c r="Z46" s="457">
        <f t="shared" si="15"/>
        <v>84.266000000000005</v>
      </c>
      <c r="AA46" s="457">
        <f t="shared" si="15"/>
        <v>84.266000000000005</v>
      </c>
      <c r="AB46" s="457">
        <f t="shared" si="15"/>
        <v>91.364999999999995</v>
      </c>
      <c r="AC46" s="458">
        <f t="shared" si="15"/>
        <v>91.364999999999995</v>
      </c>
      <c r="AE46" s="135"/>
      <c r="AF46" s="135"/>
      <c r="AG46" s="463"/>
      <c r="AH46" s="463"/>
      <c r="AI46" s="463"/>
      <c r="AJ46" s="463"/>
      <c r="AK46" s="463"/>
      <c r="AL46" s="463"/>
      <c r="AM46" s="463"/>
      <c r="AN46" s="463"/>
      <c r="AO46" s="463"/>
      <c r="AP46" s="463"/>
      <c r="AQ46" s="463"/>
      <c r="AR46" s="463"/>
      <c r="AS46" s="463"/>
      <c r="AT46" s="463"/>
      <c r="AU46" s="463"/>
      <c r="AV46" s="463"/>
      <c r="AW46" s="463"/>
      <c r="AX46" s="463"/>
      <c r="AY46" s="463"/>
      <c r="AZ46" s="463"/>
      <c r="BA46" s="463"/>
      <c r="BB46" s="463"/>
      <c r="BC46" s="463"/>
      <c r="BD46" s="463"/>
      <c r="BE46" s="463"/>
      <c r="BF46" s="463"/>
      <c r="BG46" s="463"/>
      <c r="BH46" s="463"/>
      <c r="BI46" s="463"/>
      <c r="BJ46" s="463"/>
      <c r="BK46" s="463"/>
      <c r="BL46" s="463"/>
      <c r="BM46" s="463"/>
      <c r="BN46" s="463"/>
      <c r="BO46" s="463"/>
      <c r="BP46" s="463"/>
      <c r="BQ46" s="463"/>
      <c r="BR46" s="463"/>
      <c r="BS46" s="463"/>
      <c r="BT46" s="463"/>
      <c r="BU46" s="463"/>
      <c r="BV46" s="463"/>
      <c r="BW46" s="463"/>
      <c r="BX46" s="463"/>
      <c r="BY46" s="463"/>
      <c r="BZ46" s="463"/>
    </row>
    <row r="47" spans="1:78" ht="19.5" customHeight="1" x14ac:dyDescent="0.35">
      <c r="A47" s="463"/>
      <c r="B47" s="177"/>
      <c r="C47" s="177"/>
      <c r="D47" s="177"/>
      <c r="E47" s="177"/>
      <c r="F47" s="455"/>
      <c r="G47" s="455"/>
      <c r="H47" s="455"/>
      <c r="I47" s="455"/>
      <c r="J47" s="455"/>
      <c r="K47" s="455"/>
      <c r="L47" s="455"/>
      <c r="M47" s="455"/>
      <c r="N47" s="455"/>
      <c r="O47" s="455"/>
      <c r="P47" s="455"/>
      <c r="Q47" s="455"/>
      <c r="R47" s="455"/>
      <c r="S47" s="455"/>
      <c r="T47" s="455"/>
      <c r="U47" s="455"/>
      <c r="V47" s="455"/>
      <c r="W47" s="455"/>
      <c r="X47" s="455"/>
      <c r="Y47" s="455"/>
      <c r="Z47" s="455"/>
      <c r="AA47" s="455"/>
      <c r="AB47" s="455"/>
      <c r="AC47" s="455"/>
      <c r="AG47" s="463"/>
      <c r="AH47" s="463"/>
      <c r="AI47" s="463"/>
      <c r="AJ47" s="463"/>
      <c r="AK47" s="463"/>
      <c r="AL47" s="463"/>
      <c r="AM47" s="463"/>
      <c r="AN47" s="463"/>
      <c r="AO47" s="463"/>
      <c r="AP47" s="463"/>
      <c r="AQ47" s="463"/>
      <c r="AR47" s="463"/>
      <c r="AS47" s="463"/>
      <c r="AT47" s="463"/>
      <c r="AU47" s="463"/>
      <c r="AV47" s="463"/>
      <c r="AW47" s="463"/>
      <c r="AX47" s="463"/>
      <c r="AY47" s="463"/>
      <c r="AZ47" s="463"/>
      <c r="BA47" s="463"/>
      <c r="BB47" s="463"/>
      <c r="BC47" s="463"/>
      <c r="BD47" s="463"/>
      <c r="BE47" s="463"/>
      <c r="BF47" s="463"/>
      <c r="BG47" s="463"/>
      <c r="BH47" s="463"/>
      <c r="BI47" s="463"/>
      <c r="BJ47" s="463"/>
      <c r="BK47" s="463"/>
      <c r="BL47" s="463"/>
      <c r="BM47" s="463"/>
      <c r="BN47" s="463"/>
      <c r="BO47" s="463"/>
      <c r="BP47" s="463"/>
      <c r="BQ47" s="463"/>
      <c r="BR47" s="463"/>
      <c r="BS47" s="463"/>
      <c r="BT47" s="463"/>
      <c r="BU47" s="463"/>
      <c r="BV47" s="463"/>
      <c r="BW47" s="463"/>
      <c r="BX47" s="463"/>
      <c r="BY47" s="463"/>
      <c r="BZ47" s="463"/>
    </row>
    <row r="48" spans="1:78" ht="19.5" customHeight="1" x14ac:dyDescent="0.35">
      <c r="A48" s="463"/>
      <c r="B48" s="177" t="s">
        <v>870</v>
      </c>
      <c r="C48" s="177"/>
      <c r="D48" s="177"/>
      <c r="E48" s="177"/>
      <c r="F48" s="455"/>
      <c r="G48" s="455"/>
      <c r="H48" s="455"/>
      <c r="I48" s="455"/>
      <c r="J48" s="455"/>
      <c r="K48" s="455"/>
      <c r="L48" s="455"/>
      <c r="M48" s="455"/>
      <c r="N48" s="455"/>
      <c r="O48" s="455"/>
      <c r="P48" s="455"/>
      <c r="Q48" s="455"/>
      <c r="R48" s="455"/>
      <c r="S48" s="455"/>
      <c r="T48" s="455">
        <v>110.8</v>
      </c>
      <c r="U48" s="1156">
        <v>96.021999999999991</v>
      </c>
      <c r="V48" s="167">
        <v>88.50800000000001</v>
      </c>
      <c r="W48" s="167">
        <v>88.50800000000001</v>
      </c>
      <c r="X48" s="167">
        <v>85.631</v>
      </c>
      <c r="Y48" s="167">
        <v>85.631</v>
      </c>
      <c r="Z48" s="167">
        <v>85.631</v>
      </c>
      <c r="AA48" s="167">
        <v>85.631</v>
      </c>
      <c r="AB48" s="167">
        <v>90.463999999999999</v>
      </c>
      <c r="AC48" s="167">
        <v>90.463999999999999</v>
      </c>
      <c r="AD48" s="1154">
        <f>U11-U48</f>
        <v>8.7780000000000058</v>
      </c>
      <c r="AG48" s="463"/>
      <c r="AH48" s="463"/>
      <c r="AI48" s="463"/>
      <c r="AJ48" s="463"/>
      <c r="AK48" s="463"/>
      <c r="AL48" s="463"/>
      <c r="AM48" s="463"/>
      <c r="AN48" s="463"/>
      <c r="AO48" s="463"/>
      <c r="AP48" s="463"/>
      <c r="AQ48" s="463"/>
      <c r="AR48" s="463"/>
      <c r="AS48" s="463"/>
      <c r="AT48" s="463"/>
      <c r="AU48" s="463"/>
      <c r="AV48" s="463"/>
      <c r="AW48" s="463"/>
      <c r="AX48" s="463"/>
      <c r="AY48" s="463"/>
      <c r="AZ48" s="463"/>
      <c r="BA48" s="463"/>
      <c r="BB48" s="463"/>
      <c r="BC48" s="463"/>
      <c r="BD48" s="463"/>
      <c r="BE48" s="463"/>
      <c r="BF48" s="463"/>
      <c r="BG48" s="463"/>
      <c r="BH48" s="463"/>
      <c r="BI48" s="463"/>
      <c r="BJ48" s="463"/>
      <c r="BK48" s="463"/>
      <c r="BL48" s="463"/>
      <c r="BM48" s="463"/>
      <c r="BN48" s="463"/>
      <c r="BO48" s="463"/>
      <c r="BP48" s="463"/>
      <c r="BQ48" s="463"/>
      <c r="BR48" s="463"/>
      <c r="BS48" s="463"/>
      <c r="BT48" s="463"/>
      <c r="BU48" s="463"/>
      <c r="BV48" s="463"/>
      <c r="BW48" s="463"/>
      <c r="BX48" s="463"/>
      <c r="BY48" s="463"/>
      <c r="BZ48" s="463"/>
    </row>
    <row r="49" spans="2:30" x14ac:dyDescent="0.35">
      <c r="B49" s="431" t="s">
        <v>406</v>
      </c>
      <c r="C49" s="163"/>
      <c r="D49" s="163"/>
      <c r="E49" s="163"/>
      <c r="F49" s="163"/>
      <c r="G49" s="163"/>
      <c r="H49" s="163"/>
      <c r="I49" s="163"/>
      <c r="J49" s="163"/>
      <c r="K49" s="163"/>
      <c r="L49" s="163"/>
      <c r="M49" s="163"/>
      <c r="N49" s="163"/>
      <c r="O49" s="163"/>
      <c r="P49" s="401"/>
      <c r="Q49" s="401"/>
      <c r="R49" s="401"/>
      <c r="S49" s="401"/>
      <c r="T49" s="1149">
        <v>78.977999999999994</v>
      </c>
      <c r="U49" s="1150">
        <v>76</v>
      </c>
      <c r="V49" s="1150">
        <v>76</v>
      </c>
      <c r="W49" s="1150">
        <v>76</v>
      </c>
      <c r="X49" s="1150">
        <v>76</v>
      </c>
      <c r="Y49" s="1150">
        <v>76</v>
      </c>
      <c r="Z49" s="1150">
        <v>76</v>
      </c>
      <c r="AA49" s="1150">
        <v>76</v>
      </c>
      <c r="AB49" s="1150">
        <v>76</v>
      </c>
      <c r="AC49" s="1150">
        <v>76</v>
      </c>
      <c r="AD49" s="1154">
        <f t="shared" ref="AD49:AD83" si="16">U12-U49</f>
        <v>16.777999999999992</v>
      </c>
    </row>
    <row r="50" spans="2:30" x14ac:dyDescent="0.35">
      <c r="B50" t="s">
        <v>407</v>
      </c>
      <c r="T50" s="1151">
        <v>31.822000000000003</v>
      </c>
      <c r="U50" s="1151">
        <v>20.021999999999998</v>
      </c>
      <c r="V50" s="1151">
        <v>12.508000000000003</v>
      </c>
      <c r="W50" s="1151">
        <v>12.508000000000003</v>
      </c>
      <c r="X50" s="1151">
        <v>9.6310000000000002</v>
      </c>
      <c r="Y50" s="1151">
        <v>9.6310000000000002</v>
      </c>
      <c r="Z50" s="1151">
        <v>9.6310000000000002</v>
      </c>
      <c r="AA50" s="1151">
        <v>9.6310000000000002</v>
      </c>
      <c r="AB50" s="1151">
        <v>14.464</v>
      </c>
      <c r="AC50" s="1151">
        <v>14.464</v>
      </c>
      <c r="AD50" s="1154">
        <f t="shared" si="16"/>
        <v>-7.9999999999999964</v>
      </c>
    </row>
    <row r="51" spans="2:30" x14ac:dyDescent="0.35">
      <c r="B51" t="s">
        <v>50</v>
      </c>
      <c r="S51" s="35"/>
      <c r="T51" s="1152">
        <v>0</v>
      </c>
      <c r="U51" s="1151"/>
      <c r="V51" s="1151"/>
      <c r="W51" s="1151"/>
      <c r="X51" s="1151"/>
      <c r="Y51" s="1151"/>
      <c r="AD51" s="1154">
        <f t="shared" si="16"/>
        <v>0</v>
      </c>
    </row>
    <row r="52" spans="2:30" x14ac:dyDescent="0.35">
      <c r="B52" t="s">
        <v>408</v>
      </c>
      <c r="T52" s="1152">
        <v>28.200000000000003</v>
      </c>
      <c r="U52" s="1152">
        <v>16.399999999999999</v>
      </c>
      <c r="V52" s="1152">
        <v>8.886000000000001</v>
      </c>
      <c r="W52" s="1152">
        <v>8.886000000000001</v>
      </c>
      <c r="X52" s="1152">
        <v>0.2</v>
      </c>
      <c r="Y52" s="1152">
        <v>0.2</v>
      </c>
      <c r="Z52" s="1152">
        <v>0.2</v>
      </c>
      <c r="AA52" s="1152">
        <v>0.2</v>
      </c>
      <c r="AB52" s="1152">
        <v>0</v>
      </c>
      <c r="AC52" s="1152">
        <v>0</v>
      </c>
      <c r="AD52" s="1154">
        <f t="shared" si="16"/>
        <v>-7.9999999999999982</v>
      </c>
    </row>
    <row r="53" spans="2:30" x14ac:dyDescent="0.35">
      <c r="B53" t="s">
        <v>145</v>
      </c>
      <c r="T53" s="1152">
        <v>0</v>
      </c>
      <c r="U53" s="1151"/>
      <c r="V53" s="1151"/>
      <c r="W53" s="1151"/>
      <c r="X53" s="1151"/>
      <c r="Y53" s="1151"/>
      <c r="AD53" s="1154">
        <f t="shared" si="16"/>
        <v>0</v>
      </c>
    </row>
    <row r="54" spans="2:30" x14ac:dyDescent="0.35">
      <c r="B54" t="s">
        <v>143</v>
      </c>
      <c r="T54" s="1152">
        <v>0</v>
      </c>
      <c r="U54" s="1151">
        <v>0</v>
      </c>
      <c r="V54" s="1151">
        <v>0</v>
      </c>
      <c r="W54" s="1151">
        <v>0</v>
      </c>
      <c r="X54" s="1151">
        <v>0</v>
      </c>
      <c r="Y54" s="1151">
        <v>0</v>
      </c>
      <c r="Z54" s="1151">
        <v>0</v>
      </c>
      <c r="AA54" s="1151">
        <v>0</v>
      </c>
      <c r="AB54" s="1151">
        <v>0</v>
      </c>
      <c r="AC54" s="1151">
        <v>0</v>
      </c>
      <c r="AD54" s="1154">
        <f t="shared" si="16"/>
        <v>0</v>
      </c>
    </row>
    <row r="55" spans="2:30" x14ac:dyDescent="0.35">
      <c r="B55" t="s">
        <v>142</v>
      </c>
      <c r="T55" s="1152">
        <v>0.4</v>
      </c>
      <c r="U55" s="1151">
        <v>0</v>
      </c>
      <c r="V55" s="1151">
        <v>0</v>
      </c>
      <c r="W55" s="1151">
        <v>0</v>
      </c>
      <c r="X55" s="1151">
        <v>0</v>
      </c>
      <c r="Y55" s="1151">
        <v>0</v>
      </c>
      <c r="Z55" s="1151">
        <v>0</v>
      </c>
      <c r="AA55" s="1151">
        <v>0</v>
      </c>
      <c r="AB55" s="1151">
        <v>0</v>
      </c>
      <c r="AC55" s="1151">
        <v>0</v>
      </c>
      <c r="AD55" s="1154">
        <f t="shared" si="16"/>
        <v>0</v>
      </c>
    </row>
    <row r="56" spans="2:30" x14ac:dyDescent="0.35">
      <c r="B56" t="s">
        <v>412</v>
      </c>
      <c r="T56" s="1152">
        <v>3.6</v>
      </c>
      <c r="U56" s="1151"/>
      <c r="V56" s="1151"/>
      <c r="W56" s="1151"/>
      <c r="X56" s="1151"/>
      <c r="Y56" s="1151"/>
      <c r="AD56" s="1154">
        <f t="shared" si="16"/>
        <v>0</v>
      </c>
    </row>
    <row r="57" spans="2:30" x14ac:dyDescent="0.35">
      <c r="B57" t="s">
        <v>144</v>
      </c>
      <c r="T57" s="1152">
        <v>15.8</v>
      </c>
      <c r="U57" s="1547">
        <v>8</v>
      </c>
      <c r="V57" s="1151">
        <v>0.48599999999999993</v>
      </c>
      <c r="W57" s="1151">
        <v>0.48599999999999993</v>
      </c>
      <c r="X57" s="1151">
        <v>0</v>
      </c>
      <c r="Y57" s="1151">
        <v>0</v>
      </c>
      <c r="Z57" s="1151">
        <v>0</v>
      </c>
      <c r="AA57" s="1151">
        <v>0</v>
      </c>
      <c r="AB57" s="1151">
        <v>0</v>
      </c>
      <c r="AC57" s="1151">
        <v>0</v>
      </c>
      <c r="AD57" s="1154">
        <f t="shared" si="16"/>
        <v>-8</v>
      </c>
    </row>
    <row r="58" spans="2:30" x14ac:dyDescent="0.35">
      <c r="B58" t="s">
        <v>148</v>
      </c>
      <c r="T58" s="1152">
        <v>0</v>
      </c>
      <c r="U58" s="1151">
        <v>0</v>
      </c>
      <c r="V58" s="1151">
        <v>0</v>
      </c>
      <c r="W58" s="1151">
        <v>0</v>
      </c>
      <c r="X58" s="1151">
        <v>0</v>
      </c>
      <c r="Y58" s="1151">
        <v>0</v>
      </c>
      <c r="Z58" s="1151">
        <v>0</v>
      </c>
      <c r="AA58" s="1151">
        <v>0</v>
      </c>
      <c r="AB58" s="1151">
        <v>0</v>
      </c>
      <c r="AC58" s="1151">
        <v>0</v>
      </c>
      <c r="AD58" s="1154">
        <f t="shared" si="16"/>
        <v>0</v>
      </c>
    </row>
    <row r="59" spans="2:30" x14ac:dyDescent="0.35">
      <c r="B59" t="s">
        <v>415</v>
      </c>
      <c r="T59" s="1152">
        <v>0</v>
      </c>
      <c r="U59" s="1151">
        <v>0</v>
      </c>
      <c r="V59" s="1151">
        <v>0</v>
      </c>
      <c r="W59" s="1151">
        <v>0</v>
      </c>
      <c r="X59" s="1151">
        <v>0</v>
      </c>
      <c r="Y59" s="1151">
        <v>0</v>
      </c>
      <c r="Z59" s="1151">
        <v>0</v>
      </c>
      <c r="AA59" s="1151">
        <v>0</v>
      </c>
      <c r="AB59" s="1151">
        <v>0</v>
      </c>
      <c r="AC59" s="1151">
        <v>0</v>
      </c>
      <c r="AD59" s="1154">
        <f t="shared" si="16"/>
        <v>0</v>
      </c>
    </row>
    <row r="60" spans="2:30" x14ac:dyDescent="0.35">
      <c r="B60" t="s">
        <v>416</v>
      </c>
      <c r="T60" s="1152">
        <v>0</v>
      </c>
      <c r="U60" s="1151">
        <v>0</v>
      </c>
      <c r="V60" s="1151">
        <v>0</v>
      </c>
      <c r="W60" s="1151">
        <v>0</v>
      </c>
      <c r="X60" s="1151">
        <v>0</v>
      </c>
      <c r="Y60" s="1151">
        <v>0</v>
      </c>
      <c r="Z60" s="1151">
        <v>0</v>
      </c>
      <c r="AA60" s="1151">
        <v>0</v>
      </c>
      <c r="AB60" s="1151">
        <v>0</v>
      </c>
      <c r="AC60" s="1151">
        <v>0</v>
      </c>
      <c r="AD60" s="1154">
        <f t="shared" si="16"/>
        <v>0</v>
      </c>
    </row>
    <row r="61" spans="2:30" x14ac:dyDescent="0.35">
      <c r="B61" t="s">
        <v>417</v>
      </c>
      <c r="T61" s="1151">
        <v>8.4</v>
      </c>
      <c r="U61" s="1151">
        <v>8.4</v>
      </c>
      <c r="V61" s="1151">
        <v>8.4</v>
      </c>
      <c r="W61" s="1151">
        <v>8.4</v>
      </c>
      <c r="X61" s="1151">
        <v>0.2</v>
      </c>
      <c r="Y61" s="1151">
        <v>0.2</v>
      </c>
      <c r="Z61" s="1151">
        <v>0.2</v>
      </c>
      <c r="AA61" s="1151">
        <v>0.2</v>
      </c>
      <c r="AB61" s="1151">
        <v>0</v>
      </c>
      <c r="AC61" s="1151">
        <v>0</v>
      </c>
      <c r="AD61" s="1154">
        <f t="shared" si="16"/>
        <v>0</v>
      </c>
    </row>
    <row r="62" spans="2:30" x14ac:dyDescent="0.35">
      <c r="B62" t="s">
        <v>418</v>
      </c>
      <c r="T62" s="1151">
        <v>0</v>
      </c>
      <c r="U62" s="1151">
        <v>0</v>
      </c>
      <c r="V62" s="1151">
        <v>0</v>
      </c>
      <c r="W62" s="1151">
        <v>0</v>
      </c>
      <c r="X62" s="1151">
        <v>0</v>
      </c>
      <c r="Y62" s="1151">
        <v>0</v>
      </c>
      <c r="Z62" s="1151">
        <v>0</v>
      </c>
      <c r="AA62" s="1151">
        <v>0</v>
      </c>
      <c r="AB62" s="1151">
        <v>0</v>
      </c>
      <c r="AC62" s="1151">
        <v>0</v>
      </c>
      <c r="AD62" s="1154">
        <f t="shared" si="16"/>
        <v>0</v>
      </c>
    </row>
    <row r="63" spans="2:30" x14ac:dyDescent="0.35">
      <c r="B63" t="s">
        <v>1385</v>
      </c>
      <c r="T63" s="1151">
        <v>2.3250000000000002</v>
      </c>
      <c r="U63" s="1151">
        <v>2.3250000000000002</v>
      </c>
      <c r="V63" s="1151">
        <v>2.3250000000000002</v>
      </c>
      <c r="W63" s="1151">
        <v>2.3250000000000002</v>
      </c>
      <c r="X63" s="1151">
        <v>5.5830000000000002</v>
      </c>
      <c r="Y63" s="1151">
        <v>5.5830000000000002</v>
      </c>
      <c r="Z63" s="1151">
        <v>5.5830000000000002</v>
      </c>
      <c r="AA63" s="1151">
        <v>5.5830000000000002</v>
      </c>
      <c r="AB63" s="1151">
        <v>8.0220000000000002</v>
      </c>
      <c r="AC63" s="1151">
        <v>8.0220000000000002</v>
      </c>
      <c r="AD63" s="1154">
        <f t="shared" si="16"/>
        <v>0</v>
      </c>
    </row>
    <row r="64" spans="2:30" x14ac:dyDescent="0.35">
      <c r="B64" t="s">
        <v>1193</v>
      </c>
      <c r="T64" s="1151">
        <v>1.2969999999999999</v>
      </c>
      <c r="U64" s="1151">
        <v>1.2969999999999999</v>
      </c>
      <c r="V64" s="1151">
        <v>1.2969999999999999</v>
      </c>
      <c r="W64" s="1151">
        <v>1.2969999999999999</v>
      </c>
      <c r="X64" s="1151">
        <v>3.8479999999999999</v>
      </c>
      <c r="Y64" s="1151">
        <v>3.8479999999999999</v>
      </c>
      <c r="Z64" s="1151">
        <v>3.8479999999999999</v>
      </c>
      <c r="AA64" s="1151">
        <v>3.8479999999999999</v>
      </c>
      <c r="AB64" s="1151">
        <v>6.4420000000000002</v>
      </c>
      <c r="AC64" s="1151">
        <v>6.4420000000000002</v>
      </c>
      <c r="AD64" s="1154">
        <f t="shared" si="16"/>
        <v>0</v>
      </c>
    </row>
    <row r="65" spans="2:30" x14ac:dyDescent="0.35">
      <c r="B65" t="s">
        <v>419</v>
      </c>
      <c r="T65" s="1151"/>
      <c r="U65" s="1151"/>
      <c r="AD65" s="1154">
        <f t="shared" si="16"/>
        <v>0</v>
      </c>
    </row>
    <row r="66" spans="2:30" x14ac:dyDescent="0.35">
      <c r="B66" t="s">
        <v>420</v>
      </c>
      <c r="T66" s="1151"/>
      <c r="U66" s="1151"/>
      <c r="AD66" s="1154">
        <f t="shared" si="16"/>
        <v>0</v>
      </c>
    </row>
    <row r="67" spans="2:30" x14ac:dyDescent="0.35">
      <c r="B67" t="s">
        <v>421</v>
      </c>
      <c r="T67" s="1151"/>
      <c r="U67" s="1151"/>
      <c r="AD67" s="1154">
        <f t="shared" si="16"/>
        <v>0</v>
      </c>
    </row>
    <row r="68" spans="2:30" x14ac:dyDescent="0.35">
      <c r="B68" t="s">
        <v>418</v>
      </c>
      <c r="T68" s="1151"/>
      <c r="U68" s="1151"/>
      <c r="AD68" s="1154">
        <f t="shared" si="16"/>
        <v>0</v>
      </c>
    </row>
    <row r="69" spans="2:30" x14ac:dyDescent="0.35">
      <c r="B69" t="s">
        <v>415</v>
      </c>
      <c r="T69" s="1153"/>
      <c r="U69" s="1153"/>
      <c r="AD69" s="1154">
        <f t="shared" si="16"/>
        <v>0</v>
      </c>
    </row>
    <row r="70" spans="2:30" x14ac:dyDescent="0.35">
      <c r="B70" t="s">
        <v>422</v>
      </c>
      <c r="T70" s="1153"/>
      <c r="U70" s="1153"/>
      <c r="AD70" s="1154">
        <f t="shared" si="16"/>
        <v>0</v>
      </c>
    </row>
    <row r="71" spans="2:30" x14ac:dyDescent="0.35">
      <c r="B71" t="s">
        <v>423</v>
      </c>
      <c r="T71" s="1151"/>
      <c r="U71" s="1151"/>
      <c r="AD71" s="1154">
        <f t="shared" si="16"/>
        <v>0</v>
      </c>
    </row>
    <row r="72" spans="2:30" x14ac:dyDescent="0.35">
      <c r="B72" t="s">
        <v>424</v>
      </c>
      <c r="T72" s="1151"/>
      <c r="U72" s="1151"/>
      <c r="AD72" s="1154">
        <f t="shared" si="16"/>
        <v>0</v>
      </c>
    </row>
    <row r="73" spans="2:30" x14ac:dyDescent="0.35">
      <c r="B73" t="s">
        <v>143</v>
      </c>
      <c r="T73" s="1151">
        <v>0</v>
      </c>
      <c r="U73" s="1151">
        <v>0</v>
      </c>
      <c r="V73" s="1151">
        <v>0</v>
      </c>
      <c r="W73" s="1151">
        <v>0</v>
      </c>
      <c r="X73" s="1151">
        <v>0</v>
      </c>
      <c r="Y73" s="1151">
        <v>0</v>
      </c>
      <c r="Z73" s="1151">
        <v>0</v>
      </c>
      <c r="AA73" s="1151">
        <v>0</v>
      </c>
      <c r="AB73" s="1151">
        <v>0</v>
      </c>
      <c r="AC73" s="1151">
        <v>0</v>
      </c>
      <c r="AD73" s="1154">
        <f t="shared" si="16"/>
        <v>0</v>
      </c>
    </row>
    <row r="74" spans="2:30" x14ac:dyDescent="0.35">
      <c r="B74" t="s">
        <v>425</v>
      </c>
      <c r="T74" s="1151">
        <v>0.48599999999999993</v>
      </c>
      <c r="U74" s="1151">
        <v>0.48599999999999993</v>
      </c>
      <c r="V74" s="1151">
        <v>0.48599999999999993</v>
      </c>
      <c r="W74" s="1151">
        <v>0.48599999999999993</v>
      </c>
      <c r="X74" s="1151">
        <v>0</v>
      </c>
      <c r="Y74" s="1151">
        <v>0</v>
      </c>
      <c r="Z74" s="1151">
        <v>0</v>
      </c>
      <c r="AA74" s="1151">
        <v>0</v>
      </c>
      <c r="AB74" s="1151">
        <v>0</v>
      </c>
      <c r="AC74" s="1151">
        <v>0</v>
      </c>
      <c r="AD74" s="1154">
        <f t="shared" si="16"/>
        <v>0</v>
      </c>
    </row>
    <row r="75" spans="2:30" x14ac:dyDescent="0.35">
      <c r="B75" t="s">
        <v>148</v>
      </c>
      <c r="T75" s="1151">
        <v>0</v>
      </c>
      <c r="U75" s="1151">
        <v>0</v>
      </c>
      <c r="V75" s="1151">
        <v>0</v>
      </c>
      <c r="W75" s="1151">
        <v>0</v>
      </c>
      <c r="X75" s="1151">
        <v>0</v>
      </c>
      <c r="Y75" s="1151">
        <v>0</v>
      </c>
      <c r="Z75" s="1151">
        <v>0</v>
      </c>
      <c r="AA75" s="1151">
        <v>0</v>
      </c>
      <c r="AB75" s="1151">
        <v>0</v>
      </c>
      <c r="AC75" s="1151">
        <v>0</v>
      </c>
      <c r="AD75" s="1154">
        <f t="shared" si="16"/>
        <v>0</v>
      </c>
    </row>
    <row r="76" spans="2:30" x14ac:dyDescent="0.35">
      <c r="B76" t="s">
        <v>415</v>
      </c>
      <c r="T76" s="1151">
        <v>0.78750000000000009</v>
      </c>
      <c r="U76" s="1151">
        <v>0.78750000000000009</v>
      </c>
      <c r="V76" s="1151">
        <v>0.78750000000000009</v>
      </c>
      <c r="W76" s="1151">
        <v>0.78750000000000009</v>
      </c>
      <c r="X76" s="1151">
        <v>0</v>
      </c>
      <c r="Y76" s="1151">
        <v>0</v>
      </c>
      <c r="Z76" s="1151">
        <v>0</v>
      </c>
      <c r="AA76" s="1151">
        <v>0</v>
      </c>
      <c r="AB76" s="1151">
        <v>0</v>
      </c>
      <c r="AC76" s="1151">
        <v>0</v>
      </c>
      <c r="AD76" s="1154">
        <f t="shared" si="16"/>
        <v>0</v>
      </c>
    </row>
    <row r="77" spans="2:30" x14ac:dyDescent="0.35">
      <c r="B77" t="s">
        <v>426</v>
      </c>
      <c r="T77" s="1151">
        <v>1.3125000000000002</v>
      </c>
      <c r="U77" s="1151">
        <v>1.3125000000000002</v>
      </c>
      <c r="V77" s="1151">
        <v>1.3125000000000002</v>
      </c>
      <c r="W77" s="1151">
        <v>1.3125000000000002</v>
      </c>
      <c r="X77" s="1151">
        <v>0</v>
      </c>
      <c r="Y77" s="1151">
        <v>0</v>
      </c>
      <c r="Z77" s="1151">
        <v>0</v>
      </c>
      <c r="AA77" s="1151">
        <v>0</v>
      </c>
      <c r="AB77" s="1151">
        <v>0</v>
      </c>
      <c r="AC77" s="1151">
        <v>0</v>
      </c>
      <c r="AD77" s="1154">
        <f t="shared" si="16"/>
        <v>0</v>
      </c>
    </row>
    <row r="78" spans="2:30" x14ac:dyDescent="0.35">
      <c r="B78" t="s">
        <v>427</v>
      </c>
      <c r="T78" s="1151">
        <v>8.4</v>
      </c>
      <c r="U78" s="1151">
        <v>8.4</v>
      </c>
      <c r="V78" s="1151">
        <v>8.4</v>
      </c>
      <c r="W78" s="1151">
        <v>8.4</v>
      </c>
      <c r="X78" s="1151">
        <v>0.2</v>
      </c>
      <c r="Y78" s="1151">
        <v>0.2</v>
      </c>
      <c r="Z78" s="1151">
        <v>0.2</v>
      </c>
      <c r="AA78" s="1151">
        <v>0.2</v>
      </c>
      <c r="AB78" s="1151">
        <v>0</v>
      </c>
      <c r="AC78" s="1151">
        <v>0</v>
      </c>
      <c r="AD78" s="1154">
        <f t="shared" si="16"/>
        <v>0</v>
      </c>
    </row>
    <row r="79" spans="2:30" x14ac:dyDescent="0.35">
      <c r="B79" t="s">
        <v>428</v>
      </c>
      <c r="T79" s="1151">
        <v>0</v>
      </c>
      <c r="U79" s="1151">
        <v>0</v>
      </c>
      <c r="V79" s="1151">
        <v>0</v>
      </c>
      <c r="W79" s="1151">
        <v>0</v>
      </c>
      <c r="X79" s="1151">
        <v>0</v>
      </c>
      <c r="Y79" s="1151">
        <v>0</v>
      </c>
      <c r="Z79" s="1151">
        <v>0</v>
      </c>
      <c r="AA79" s="1151">
        <v>0</v>
      </c>
      <c r="AB79" s="1151">
        <v>0</v>
      </c>
      <c r="AC79" s="1151">
        <v>0</v>
      </c>
      <c r="AD79" s="1154">
        <f t="shared" si="16"/>
        <v>0</v>
      </c>
    </row>
    <row r="80" spans="2:30" x14ac:dyDescent="0.35">
      <c r="B80" t="s">
        <v>312</v>
      </c>
      <c r="T80" s="1151">
        <v>12.362</v>
      </c>
      <c r="U80" s="1151">
        <v>12.362</v>
      </c>
      <c r="V80" s="1151">
        <v>12.362</v>
      </c>
      <c r="W80" s="1151">
        <v>12.362</v>
      </c>
      <c r="X80" s="1151">
        <v>-0.67500000000000004</v>
      </c>
      <c r="Y80" s="1151">
        <v>-0.67500000000000004</v>
      </c>
      <c r="Z80" s="1151">
        <v>-0.67500000000000004</v>
      </c>
      <c r="AA80" s="1151">
        <v>-0.67500000000000004</v>
      </c>
      <c r="AB80" s="1151">
        <v>0</v>
      </c>
      <c r="AC80" s="1151">
        <v>0</v>
      </c>
      <c r="AD80" s="1154">
        <f t="shared" si="16"/>
        <v>0</v>
      </c>
    </row>
    <row r="81" spans="2:30" x14ac:dyDescent="0.35">
      <c r="B81" t="s">
        <v>429</v>
      </c>
      <c r="T81" s="1151"/>
      <c r="U81" s="1151"/>
      <c r="AD81" s="1154">
        <f t="shared" si="16"/>
        <v>0</v>
      </c>
    </row>
    <row r="82" spans="2:30" x14ac:dyDescent="0.35">
      <c r="B82" t="s">
        <v>430</v>
      </c>
      <c r="T82" s="1151">
        <v>12.726000000000001</v>
      </c>
      <c r="U82" s="1151">
        <v>12.726000000000001</v>
      </c>
      <c r="V82" s="1151">
        <v>12.726000000000001</v>
      </c>
      <c r="W82" s="1151">
        <v>12.726000000000001</v>
      </c>
      <c r="X82" s="1151">
        <v>1.365</v>
      </c>
      <c r="Y82" s="1151">
        <v>1.365</v>
      </c>
      <c r="Z82" s="1151">
        <v>1.365</v>
      </c>
      <c r="AA82" s="1151">
        <v>1.365</v>
      </c>
      <c r="AB82" s="1151">
        <v>-0.90100000000000025</v>
      </c>
      <c r="AC82" s="1151">
        <v>-0.90100000000000025</v>
      </c>
      <c r="AD82" s="1154">
        <f t="shared" si="16"/>
        <v>0</v>
      </c>
    </row>
    <row r="83" spans="2:30" x14ac:dyDescent="0.35">
      <c r="B83" t="s">
        <v>199</v>
      </c>
      <c r="T83" s="1152">
        <v>98.073999999999998</v>
      </c>
      <c r="U83" s="1154">
        <v>83.295999999999992</v>
      </c>
      <c r="V83" s="1152">
        <v>75.782000000000011</v>
      </c>
      <c r="W83" s="1152">
        <v>75.782000000000011</v>
      </c>
      <c r="X83" s="1152">
        <v>84.266000000000005</v>
      </c>
      <c r="Y83" s="1152">
        <v>84.266000000000005</v>
      </c>
      <c r="Z83" s="1152">
        <v>84.266000000000005</v>
      </c>
      <c r="AA83" s="1152">
        <v>84.266000000000005</v>
      </c>
      <c r="AB83" s="1152">
        <v>91.364999999999995</v>
      </c>
      <c r="AC83" s="1152">
        <v>91.364999999999995</v>
      </c>
      <c r="AD83" s="1154">
        <f t="shared" si="16"/>
        <v>8.7780000000000058</v>
      </c>
    </row>
    <row r="84" spans="2:30" x14ac:dyDescent="0.35">
      <c r="AD84" s="1154"/>
    </row>
  </sheetData>
  <mergeCells count="13">
    <mergeCell ref="Q9:T9"/>
    <mergeCell ref="B1:AC1"/>
    <mergeCell ref="B44:C44"/>
    <mergeCell ref="B28:C28"/>
    <mergeCell ref="B8:C10"/>
    <mergeCell ref="I9:L9"/>
    <mergeCell ref="E9:H9"/>
    <mergeCell ref="B35:C35"/>
    <mergeCell ref="Y9:AB9"/>
    <mergeCell ref="M9:P9"/>
    <mergeCell ref="B2:AC6"/>
    <mergeCell ref="D8:T8"/>
    <mergeCell ref="V8:AC8"/>
  </mergeCells>
  <pageMargins left="0.7" right="0.7" top="0.75" bottom="0.75" header="0.3" footer="0.3"/>
  <pageSetup orientation="portrait"/>
  <drawing r:id="rId1"/>
  <legacy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B1:AD53"/>
  <sheetViews>
    <sheetView topLeftCell="A6" zoomScale="90" zoomScaleNormal="90" workbookViewId="0">
      <pane xSplit="3" ySplit="4" topLeftCell="D13" activePane="bottomRight" state="frozen"/>
      <selection activeCell="A6" sqref="A6"/>
      <selection pane="topRight" activeCell="D6" sqref="D6"/>
      <selection pane="bottomLeft" activeCell="A10" sqref="A10"/>
      <selection pane="bottomRight" activeCell="K17" sqref="K17"/>
    </sheetView>
  </sheetViews>
  <sheetFormatPr defaultColWidth="11.453125" defaultRowHeight="14.5" x14ac:dyDescent="0.35"/>
  <cols>
    <col min="2" max="2" width="31.81640625" customWidth="1"/>
    <col min="6" max="6" width="9" customWidth="1"/>
    <col min="7" max="7" width="10.1796875" customWidth="1"/>
    <col min="8" max="11" width="7.453125" customWidth="1"/>
    <col min="13" max="13" width="8.453125" customWidth="1"/>
    <col min="14" max="27" width="9.1796875" customWidth="1"/>
    <col min="28" max="28" width="13" customWidth="1"/>
  </cols>
  <sheetData>
    <row r="1" spans="2:30" x14ac:dyDescent="0.35">
      <c r="B1" s="1634" t="s">
        <v>54</v>
      </c>
      <c r="C1" s="1634"/>
      <c r="D1" s="1634"/>
      <c r="E1" s="1634"/>
      <c r="F1" s="1634"/>
      <c r="G1" s="1634"/>
      <c r="H1" s="1634"/>
      <c r="I1" s="1634"/>
      <c r="J1" s="1634"/>
      <c r="K1" s="1634"/>
      <c r="L1" s="1634"/>
      <c r="M1" s="1634"/>
      <c r="N1" s="1634"/>
      <c r="O1" s="1634"/>
      <c r="P1" s="1634"/>
      <c r="Q1" s="1634"/>
      <c r="R1" s="1634"/>
      <c r="S1" s="1634"/>
      <c r="T1" s="1634"/>
      <c r="U1" s="1634"/>
      <c r="V1" s="1634"/>
      <c r="W1" s="1634"/>
      <c r="X1" s="1634"/>
      <c r="Y1" s="1634"/>
      <c r="Z1" s="1634"/>
      <c r="AA1" s="1634"/>
      <c r="AB1" s="1634"/>
      <c r="AC1" s="1634"/>
    </row>
    <row r="2" spans="2:30" ht="14.25" customHeight="1" x14ac:dyDescent="0.35">
      <c r="B2" s="1704" t="s">
        <v>865</v>
      </c>
      <c r="C2" s="1704"/>
      <c r="D2" s="1704"/>
      <c r="E2" s="1704"/>
      <c r="F2" s="1704"/>
      <c r="G2" s="1704"/>
      <c r="H2" s="1704"/>
      <c r="I2" s="1704"/>
      <c r="J2" s="1704"/>
      <c r="K2" s="1704"/>
      <c r="L2" s="1704"/>
      <c r="M2" s="1704"/>
      <c r="N2" s="1704"/>
      <c r="O2" s="1704"/>
      <c r="P2" s="1704"/>
      <c r="Q2" s="1704"/>
      <c r="R2" s="1704"/>
      <c r="S2" s="1704"/>
      <c r="T2" s="1704"/>
      <c r="U2" s="1704"/>
      <c r="V2" s="1703" t="s">
        <v>918</v>
      </c>
      <c r="W2" s="1703"/>
      <c r="X2" s="1703"/>
      <c r="Y2" s="1703"/>
      <c r="Z2" s="1703"/>
      <c r="AA2" s="1703"/>
      <c r="AB2" s="1703"/>
      <c r="AC2" s="520"/>
    </row>
    <row r="3" spans="2:30" ht="59.9" customHeight="1" x14ac:dyDescent="0.35">
      <c r="B3" s="1704"/>
      <c r="C3" s="1704"/>
      <c r="D3" s="1704"/>
      <c r="E3" s="1704"/>
      <c r="F3" s="1704"/>
      <c r="G3" s="1704"/>
      <c r="H3" s="1704"/>
      <c r="I3" s="1704"/>
      <c r="J3" s="1704"/>
      <c r="K3" s="1704"/>
      <c r="L3" s="1704"/>
      <c r="M3" s="1704"/>
      <c r="N3" s="1704"/>
      <c r="O3" s="1704"/>
      <c r="P3" s="1704"/>
      <c r="Q3" s="1704"/>
      <c r="R3" s="1704"/>
      <c r="S3" s="1704"/>
      <c r="T3" s="1704"/>
      <c r="U3" s="1704"/>
      <c r="V3" s="1703"/>
      <c r="W3" s="1703"/>
      <c r="X3" s="1703"/>
      <c r="Y3" s="1703"/>
      <c r="Z3" s="1703"/>
      <c r="AA3" s="1703"/>
      <c r="AB3" s="1703"/>
      <c r="AC3" s="520"/>
    </row>
    <row r="4" spans="2:30" ht="88.5" customHeight="1" x14ac:dyDescent="0.35">
      <c r="B4" s="1704"/>
      <c r="C4" s="1704"/>
      <c r="D4" s="1704"/>
      <c r="E4" s="1704"/>
      <c r="F4" s="1704"/>
      <c r="G4" s="1704"/>
      <c r="H4" s="1704"/>
      <c r="I4" s="1704"/>
      <c r="J4" s="1704"/>
      <c r="K4" s="1704"/>
      <c r="L4" s="1704"/>
      <c r="M4" s="1704"/>
      <c r="N4" s="1704"/>
      <c r="O4" s="1704"/>
      <c r="P4" s="1704"/>
      <c r="Q4" s="1704"/>
      <c r="R4" s="1704"/>
      <c r="S4" s="1704"/>
      <c r="T4" s="1704"/>
      <c r="U4" s="1704"/>
      <c r="V4" s="1703"/>
      <c r="W4" s="1703"/>
      <c r="X4" s="1703"/>
      <c r="Y4" s="1703"/>
      <c r="Z4" s="1703"/>
      <c r="AA4" s="1703"/>
      <c r="AB4" s="1703"/>
      <c r="AC4" s="520"/>
    </row>
    <row r="5" spans="2:30" ht="33" customHeight="1" x14ac:dyDescent="0.35">
      <c r="B5" s="520"/>
      <c r="C5" s="520"/>
      <c r="D5" s="520"/>
      <c r="E5" s="520"/>
      <c r="F5" s="520"/>
      <c r="G5" s="520"/>
      <c r="H5" s="520"/>
      <c r="I5" s="520"/>
      <c r="J5" s="520"/>
      <c r="K5" s="520"/>
      <c r="L5" s="520"/>
      <c r="M5" s="520"/>
      <c r="N5" s="520"/>
      <c r="O5" s="520"/>
      <c r="P5" s="520"/>
      <c r="Q5" s="520"/>
      <c r="R5" s="520"/>
      <c r="S5" s="520"/>
      <c r="T5" s="520"/>
      <c r="U5" s="520"/>
      <c r="V5" s="520"/>
      <c r="W5" s="520"/>
      <c r="X5" s="520"/>
      <c r="Y5" s="520"/>
      <c r="Z5" s="520"/>
      <c r="AA5" s="520"/>
      <c r="AB5" s="520"/>
      <c r="AC5" s="520"/>
    </row>
    <row r="6" spans="2:30" x14ac:dyDescent="0.35">
      <c r="B6" s="520"/>
      <c r="C6" s="520"/>
      <c r="D6" s="520"/>
      <c r="E6" s="520"/>
      <c r="F6" s="520"/>
      <c r="G6" s="520"/>
      <c r="H6" s="520"/>
      <c r="I6" s="520"/>
      <c r="J6" s="520"/>
      <c r="K6" s="520"/>
      <c r="L6" s="520"/>
      <c r="M6" s="520"/>
      <c r="N6" s="520"/>
      <c r="O6" s="520"/>
      <c r="P6" s="520"/>
      <c r="Q6" s="520"/>
      <c r="R6" s="520"/>
      <c r="S6" s="520"/>
      <c r="T6" s="520"/>
      <c r="U6" s="520"/>
      <c r="V6" s="520"/>
      <c r="W6" s="520"/>
      <c r="X6" s="520"/>
      <c r="Y6" s="520"/>
      <c r="Z6" s="520"/>
      <c r="AA6" s="520"/>
      <c r="AB6" s="520"/>
      <c r="AC6" s="520"/>
    </row>
    <row r="7" spans="2:30" ht="14.9" customHeight="1" x14ac:dyDescent="0.35">
      <c r="B7" s="1653" t="s">
        <v>405</v>
      </c>
      <c r="C7" s="1654"/>
      <c r="D7" s="1655" t="s">
        <v>280</v>
      </c>
      <c r="E7" s="1656"/>
      <c r="F7" s="1656"/>
      <c r="G7" s="1656"/>
      <c r="H7" s="1656"/>
      <c r="I7" s="1656"/>
      <c r="J7" s="1656"/>
      <c r="K7" s="1656"/>
      <c r="L7" s="1656"/>
      <c r="M7" s="1656"/>
      <c r="N7" s="1656"/>
      <c r="O7" s="1656"/>
      <c r="P7" s="1656"/>
      <c r="Q7" s="1683"/>
      <c r="R7" s="1683"/>
      <c r="S7" s="1683"/>
      <c r="T7" s="1684"/>
      <c r="U7" s="1232"/>
      <c r="V7" s="1651" t="s">
        <v>281</v>
      </c>
      <c r="W7" s="1629"/>
      <c r="X7" s="1629"/>
      <c r="Y7" s="1629"/>
      <c r="Z7" s="1629"/>
      <c r="AA7" s="1629"/>
      <c r="AB7" s="1629"/>
      <c r="AC7" s="1630"/>
    </row>
    <row r="8" spans="2:30" x14ac:dyDescent="0.35">
      <c r="B8" s="1641"/>
      <c r="C8" s="1697"/>
      <c r="D8" s="127">
        <v>2018</v>
      </c>
      <c r="E8" s="1624">
        <v>2019</v>
      </c>
      <c r="F8" s="1646"/>
      <c r="G8" s="1646"/>
      <c r="H8" s="1661"/>
      <c r="I8" s="1624">
        <v>2020</v>
      </c>
      <c r="J8" s="1646"/>
      <c r="K8" s="1646"/>
      <c r="L8" s="1646"/>
      <c r="M8" s="1624">
        <v>2021</v>
      </c>
      <c r="N8" s="1646"/>
      <c r="O8" s="1646"/>
      <c r="P8" s="1646"/>
      <c r="Q8" s="1624">
        <v>2022</v>
      </c>
      <c r="R8" s="1625"/>
      <c r="S8" s="1625"/>
      <c r="T8" s="1661"/>
      <c r="U8" s="1228"/>
      <c r="V8" s="1229">
        <v>2023</v>
      </c>
      <c r="W8" s="1229"/>
      <c r="X8" s="1230"/>
      <c r="Y8" s="1633">
        <v>2024</v>
      </c>
      <c r="Z8" s="1631"/>
      <c r="AA8" s="1631"/>
      <c r="AB8" s="1632"/>
      <c r="AC8" s="178">
        <v>2025</v>
      </c>
    </row>
    <row r="9" spans="2:30" x14ac:dyDescent="0.35">
      <c r="B9" s="1641"/>
      <c r="C9" s="1697"/>
      <c r="D9" s="118" t="s">
        <v>282</v>
      </c>
      <c r="E9" s="118" t="s">
        <v>283</v>
      </c>
      <c r="F9" s="132" t="s">
        <v>284</v>
      </c>
      <c r="G9" s="132" t="s">
        <v>238</v>
      </c>
      <c r="H9" s="115" t="s">
        <v>282</v>
      </c>
      <c r="I9" s="132" t="s">
        <v>283</v>
      </c>
      <c r="J9" s="132" t="s">
        <v>284</v>
      </c>
      <c r="K9" s="132" t="s">
        <v>238</v>
      </c>
      <c r="L9" s="132" t="s">
        <v>282</v>
      </c>
      <c r="M9" s="118" t="s">
        <v>283</v>
      </c>
      <c r="N9" s="132" t="s">
        <v>284</v>
      </c>
      <c r="O9" s="132" t="s">
        <v>238</v>
      </c>
      <c r="P9" s="132" t="s">
        <v>282</v>
      </c>
      <c r="Q9" s="118" t="s">
        <v>283</v>
      </c>
      <c r="R9" s="132" t="s">
        <v>284</v>
      </c>
      <c r="S9" s="132" t="s">
        <v>238</v>
      </c>
      <c r="T9" s="115" t="s">
        <v>282</v>
      </c>
      <c r="U9" s="1127" t="s">
        <v>283</v>
      </c>
      <c r="V9" s="190" t="s">
        <v>284</v>
      </c>
      <c r="W9" s="190" t="s">
        <v>238</v>
      </c>
      <c r="X9" s="191" t="s">
        <v>282</v>
      </c>
      <c r="Y9" s="189" t="s">
        <v>283</v>
      </c>
      <c r="Z9" s="186" t="s">
        <v>284</v>
      </c>
      <c r="AA9" s="190" t="s">
        <v>238</v>
      </c>
      <c r="AB9" s="190" t="s">
        <v>282</v>
      </c>
      <c r="AC9" s="192" t="s">
        <v>283</v>
      </c>
    </row>
    <row r="10" spans="2:30" x14ac:dyDescent="0.35">
      <c r="B10" s="500" t="s">
        <v>101</v>
      </c>
      <c r="C10" s="400" t="s">
        <v>431</v>
      </c>
      <c r="D10" s="485">
        <f>'Haver Pivoted'!GO13</f>
        <v>589.5</v>
      </c>
      <c r="E10" s="486">
        <f>'Haver Pivoted'!GP13</f>
        <v>598.70000000000005</v>
      </c>
      <c r="F10" s="486">
        <f>'Haver Pivoted'!GQ13</f>
        <v>614.4</v>
      </c>
      <c r="G10" s="486">
        <f>'Haver Pivoted'!GR13</f>
        <v>622.4</v>
      </c>
      <c r="H10" s="486">
        <f>'Haver Pivoted'!GS13</f>
        <v>620.70000000000005</v>
      </c>
      <c r="I10" s="486">
        <f>'Haver Pivoted'!GT13</f>
        <v>606.6</v>
      </c>
      <c r="J10" s="486">
        <f>'Haver Pivoted'!GU13</f>
        <v>654.70000000000005</v>
      </c>
      <c r="K10" s="486">
        <f>'Haver Pivoted'!GV13</f>
        <v>690.7</v>
      </c>
      <c r="L10" s="486">
        <f>'Haver Pivoted'!GW13</f>
        <v>678.3</v>
      </c>
      <c r="M10" s="486">
        <f>'Haver Pivoted'!GX13</f>
        <v>704.4</v>
      </c>
      <c r="N10" s="486">
        <f>'Haver Pivoted'!GY13</f>
        <v>744.8</v>
      </c>
      <c r="O10" s="486">
        <f>'Haver Pivoted'!GZ13</f>
        <v>748.2</v>
      </c>
      <c r="P10" s="486">
        <f>'Haver Pivoted'!HA13</f>
        <v>745</v>
      </c>
      <c r="Q10" s="486">
        <f>'Haver Pivoted'!HB13</f>
        <v>763.1</v>
      </c>
      <c r="R10" s="486">
        <f>'Haver Pivoted'!HC13</f>
        <v>789.5</v>
      </c>
      <c r="S10" s="487">
        <f>'Haver Pivoted'!HD13</f>
        <v>786.1</v>
      </c>
      <c r="T10" s="1192">
        <f>'Haver Pivoted'!HE13</f>
        <v>796.2</v>
      </c>
      <c r="U10" s="1179">
        <f>'Haver Pivoted'!HF13</f>
        <v>813.1</v>
      </c>
      <c r="V10" s="151"/>
      <c r="W10" s="151"/>
      <c r="X10" s="151"/>
      <c r="Y10" s="151"/>
      <c r="Z10" s="151"/>
      <c r="AA10" s="151"/>
      <c r="AB10" s="151"/>
      <c r="AC10" s="152"/>
      <c r="AD10" t="s">
        <v>2215</v>
      </c>
    </row>
    <row r="11" spans="2:30" x14ac:dyDescent="0.35">
      <c r="B11" s="482" t="s">
        <v>432</v>
      </c>
      <c r="C11" s="163" t="s">
        <v>339</v>
      </c>
      <c r="D11" s="516">
        <f>'Haver Pivoted'!GO40</f>
        <v>390.53500000000003</v>
      </c>
      <c r="E11" s="471">
        <f>'Haver Pivoted'!GP40</f>
        <v>407.62099999999998</v>
      </c>
      <c r="F11" s="471">
        <f>'Haver Pivoted'!GQ40</f>
        <v>416.459</v>
      </c>
      <c r="G11" s="471">
        <f>'Haver Pivoted'!GR40</f>
        <v>418.661</v>
      </c>
      <c r="H11" s="471">
        <f>'Haver Pivoted'!GS40</f>
        <v>411.69499999999999</v>
      </c>
      <c r="I11" s="471">
        <f>'Haver Pivoted'!GT40</f>
        <v>428.30799999999999</v>
      </c>
      <c r="J11" s="471">
        <f>'Haver Pivoted'!GU40</f>
        <v>506.81599999999997</v>
      </c>
      <c r="K11" s="471">
        <f>'Haver Pivoted'!GV40</f>
        <v>484.78</v>
      </c>
      <c r="L11" s="471">
        <f>'Haver Pivoted'!GW40</f>
        <v>500.25799999999998</v>
      </c>
      <c r="M11" s="471">
        <f>'Haver Pivoted'!GX40</f>
        <v>509.42099999999999</v>
      </c>
      <c r="N11" s="471">
        <f>'Haver Pivoted'!GY40</f>
        <v>527.01700000000005</v>
      </c>
      <c r="O11" s="471">
        <f>'Haver Pivoted'!GZ40</f>
        <v>542.85299999999995</v>
      </c>
      <c r="P11" s="471">
        <f>'Haver Pivoted'!HA40</f>
        <v>553.86500000000001</v>
      </c>
      <c r="Q11" s="471">
        <f>'Haver Pivoted'!HB40</f>
        <v>592.26700000000005</v>
      </c>
      <c r="R11" s="471">
        <f>'Haver Pivoted'!HC40</f>
        <v>590.13</v>
      </c>
      <c r="S11" s="483">
        <f>'Haver Pivoted'!HD40</f>
        <v>605.63699999999994</v>
      </c>
      <c r="T11" s="1311">
        <f>'Haver Pivoted'!HE40</f>
        <v>604.82500000000005</v>
      </c>
      <c r="U11" s="484">
        <f>'Haver Pivoted'!HF40</f>
        <v>627.72799999999995</v>
      </c>
      <c r="V11" s="243"/>
      <c r="W11" s="243"/>
      <c r="X11" s="243"/>
      <c r="Y11" s="243"/>
      <c r="Z11" s="243"/>
      <c r="AA11" s="243"/>
      <c r="AB11" s="243"/>
      <c r="AC11" s="241"/>
    </row>
    <row r="12" spans="2:30" ht="27.65" customHeight="1" x14ac:dyDescent="0.35">
      <c r="B12" s="434" t="s">
        <v>899</v>
      </c>
      <c r="C12" s="36"/>
      <c r="D12" s="519">
        <f t="shared" ref="D12:N12" si="0">D11/D10</f>
        <v>0.66248515691263787</v>
      </c>
      <c r="E12" s="499">
        <f t="shared" si="0"/>
        <v>0.68084349423751456</v>
      </c>
      <c r="F12" s="499">
        <f t="shared" si="0"/>
        <v>0.67783040364583336</v>
      </c>
      <c r="G12" s="499">
        <f t="shared" si="0"/>
        <v>0.6726558483290489</v>
      </c>
      <c r="H12" s="499">
        <f t="shared" si="0"/>
        <v>0.66327533429998387</v>
      </c>
      <c r="I12" s="499">
        <f t="shared" si="0"/>
        <v>0.70607978898780077</v>
      </c>
      <c r="J12" s="499">
        <f t="shared" si="0"/>
        <v>0.77411944402016186</v>
      </c>
      <c r="K12" s="499">
        <f t="shared" si="0"/>
        <v>0.70186767047922394</v>
      </c>
      <c r="L12" s="499">
        <f t="shared" si="0"/>
        <v>0.73751732271856119</v>
      </c>
      <c r="M12" s="499">
        <f t="shared" si="0"/>
        <v>0.72319846678023847</v>
      </c>
      <c r="N12" s="499">
        <f t="shared" si="0"/>
        <v>0.70759532760472621</v>
      </c>
      <c r="O12" s="499">
        <f t="shared" ref="O12:T12" si="1">O11/O10</f>
        <v>0.72554530874097822</v>
      </c>
      <c r="P12" s="499">
        <f t="shared" si="1"/>
        <v>0.74344295302013419</v>
      </c>
      <c r="Q12" s="499">
        <f t="shared" si="1"/>
        <v>0.77613287904599659</v>
      </c>
      <c r="R12" s="499">
        <f t="shared" si="1"/>
        <v>0.74747308423052561</v>
      </c>
      <c r="S12" s="488">
        <f t="shared" si="1"/>
        <v>0.77043251494720766</v>
      </c>
      <c r="T12" s="488">
        <f t="shared" si="1"/>
        <v>0.75963953780457172</v>
      </c>
      <c r="U12" s="496">
        <f t="shared" ref="U12" si="2">U11/U10</f>
        <v>0.77201820194318038</v>
      </c>
      <c r="V12" s="522">
        <v>0.73699999999999999</v>
      </c>
      <c r="W12" s="522">
        <f>U12-0.05</f>
        <v>0.72201820194318034</v>
      </c>
      <c r="X12" s="522">
        <f>W12++(I51-H51)</f>
        <v>0.72147447678701904</v>
      </c>
      <c r="Y12" s="522">
        <f t="shared" ref="Y12" si="3">X12</f>
        <v>0.72147447678701904</v>
      </c>
      <c r="Z12" s="522">
        <f t="shared" ref="Z12" si="4">Y12</f>
        <v>0.72147447678701904</v>
      </c>
      <c r="AA12" s="522">
        <f t="shared" ref="AA12" si="5">Z12</f>
        <v>0.72147447678701904</v>
      </c>
      <c r="AB12" s="522">
        <f>AA12+(J51-I51)</f>
        <v>0.71660792369218651</v>
      </c>
      <c r="AC12" s="523">
        <f t="shared" ref="AC12" si="6">AB12</f>
        <v>0.71660792369218651</v>
      </c>
    </row>
    <row r="13" spans="2:30" ht="27.65" customHeight="1" x14ac:dyDescent="0.35"/>
    <row r="14" spans="2:30" x14ac:dyDescent="0.35">
      <c r="P14" s="1552" t="s">
        <v>101</v>
      </c>
      <c r="T14" s="1193">
        <v>796.2</v>
      </c>
      <c r="U14" s="1551"/>
      <c r="V14" s="1551"/>
      <c r="W14" s="1551"/>
      <c r="X14" s="1551"/>
      <c r="Y14" s="1551"/>
      <c r="Z14" s="1551"/>
      <c r="AA14" s="1551"/>
      <c r="AB14" s="1551"/>
      <c r="AC14" s="1519"/>
    </row>
    <row r="15" spans="2:30" x14ac:dyDescent="0.35">
      <c r="B15" s="431" t="s">
        <v>352</v>
      </c>
      <c r="P15" s="1346" t="s">
        <v>432</v>
      </c>
      <c r="T15" s="484">
        <v>604.82500000000005</v>
      </c>
      <c r="U15" s="1133"/>
      <c r="V15" s="1133"/>
      <c r="W15" s="1133"/>
      <c r="X15" s="1133"/>
      <c r="Y15" s="1133"/>
      <c r="Z15" s="1133"/>
      <c r="AA15" s="1133"/>
      <c r="AB15" s="1133"/>
      <c r="AC15" s="241"/>
    </row>
    <row r="16" spans="2:30" ht="25.4" customHeight="1" x14ac:dyDescent="0.35">
      <c r="B16" s="477" t="s">
        <v>433</v>
      </c>
      <c r="C16" s="478">
        <v>2020</v>
      </c>
      <c r="D16" s="478">
        <v>2021</v>
      </c>
      <c r="E16" s="478">
        <v>2022</v>
      </c>
      <c r="F16" s="478">
        <v>2023</v>
      </c>
      <c r="G16" s="479">
        <v>2024</v>
      </c>
      <c r="H16" s="159"/>
      <c r="I16" s="159"/>
      <c r="J16" s="159"/>
      <c r="P16" s="1347" t="s">
        <v>899</v>
      </c>
      <c r="T16" s="496">
        <v>0.75963953780457172</v>
      </c>
      <c r="U16" s="522">
        <v>0.75963953780457172</v>
      </c>
      <c r="V16" s="522">
        <v>0.73699999999999999</v>
      </c>
      <c r="W16" s="522">
        <v>0.70963953780457167</v>
      </c>
      <c r="X16" s="522">
        <v>0.70909581264841037</v>
      </c>
      <c r="Y16" s="522">
        <v>0.70909581264841037</v>
      </c>
      <c r="Z16" s="522">
        <v>0.70909581264841037</v>
      </c>
      <c r="AA16" s="522">
        <v>0.70909581264841037</v>
      </c>
      <c r="AB16" s="522">
        <v>0.70422925955357785</v>
      </c>
      <c r="AC16" s="523">
        <v>0.70422925955357785</v>
      </c>
    </row>
    <row r="17" spans="2:30" ht="31.5" customHeight="1" x14ac:dyDescent="0.35">
      <c r="B17" s="518" t="s">
        <v>1831</v>
      </c>
      <c r="C17" s="223">
        <v>458.46800000000002</v>
      </c>
      <c r="D17" s="185">
        <v>520.58799999999997</v>
      </c>
      <c r="E17" s="185">
        <v>591.95000000000005</v>
      </c>
      <c r="F17" s="185">
        <v>589.41600000000005</v>
      </c>
      <c r="G17" s="474">
        <v>538.94399999999996</v>
      </c>
    </row>
    <row r="18" spans="2:30" x14ac:dyDescent="0.35">
      <c r="B18" s="482" t="s">
        <v>434</v>
      </c>
      <c r="C18" s="473">
        <f>AVERAGE(H12:K12)</f>
        <v>0.7113355594467925</v>
      </c>
      <c r="D18" s="473">
        <f>AVERAGE(L12:O12)</f>
        <v>0.72346410646112602</v>
      </c>
      <c r="E18" s="473">
        <f>AVERAGE(P12:S12)</f>
        <v>0.75937035781096596</v>
      </c>
      <c r="F18" s="473">
        <f>AVERAGE(T12:W12)</f>
        <v>0.74766898542273308</v>
      </c>
      <c r="G18" s="497">
        <f>AVERAGE(X12:AA12)</f>
        <v>0.72147447678701904</v>
      </c>
    </row>
    <row r="19" spans="2:30" x14ac:dyDescent="0.35">
      <c r="B19" s="482" t="s">
        <v>435</v>
      </c>
      <c r="C19" s="159">
        <f>C17/C18</f>
        <v>644.51719573326511</v>
      </c>
      <c r="D19" s="159">
        <f>D17/D18</f>
        <v>719.5768184637268</v>
      </c>
      <c r="E19" s="159">
        <f>E17/E18</f>
        <v>779.52739912894685</v>
      </c>
      <c r="F19" s="159">
        <f>F17/F18</f>
        <v>788.33817035588743</v>
      </c>
      <c r="G19" s="480">
        <f>G17/G18</f>
        <v>747.0035563837381</v>
      </c>
    </row>
    <row r="20" spans="2:30" ht="32.25" customHeight="1" x14ac:dyDescent="0.35">
      <c r="B20" s="434" t="s">
        <v>436</v>
      </c>
      <c r="C20" s="475"/>
      <c r="D20" s="499">
        <f>D19/C19-1</f>
        <v>0.11645868136235937</v>
      </c>
      <c r="E20" s="499">
        <f t="shared" ref="E20:G20" si="7">E19/D19-1</f>
        <v>8.3313663151646011E-2</v>
      </c>
      <c r="F20" s="499">
        <f>F19/E19-1</f>
        <v>1.1302708842288123E-2</v>
      </c>
      <c r="G20" s="521">
        <f t="shared" si="7"/>
        <v>-5.2432592415878054E-2</v>
      </c>
      <c r="H20" s="1529" t="s">
        <v>2244</v>
      </c>
      <c r="I20" s="503"/>
      <c r="J20" s="503"/>
      <c r="K20" s="503"/>
      <c r="L20" s="503"/>
      <c r="R20" s="35"/>
      <c r="S20" s="498"/>
      <c r="T20" s="498"/>
      <c r="U20" s="498"/>
    </row>
    <row r="22" spans="2:30" x14ac:dyDescent="0.35">
      <c r="B22" s="431" t="s">
        <v>365</v>
      </c>
    </row>
    <row r="23" spans="2:30" x14ac:dyDescent="0.35">
      <c r="B23" s="1653" t="s">
        <v>437</v>
      </c>
      <c r="C23" s="1684"/>
      <c r="D23" s="1649" t="s">
        <v>280</v>
      </c>
      <c r="E23" s="1650"/>
      <c r="F23" s="1650"/>
      <c r="G23" s="1650"/>
      <c r="H23" s="1650"/>
      <c r="I23" s="1650"/>
      <c r="J23" s="1650"/>
      <c r="K23" s="1650"/>
      <c r="L23" s="1650"/>
      <c r="M23" s="1650"/>
      <c r="N23" s="1650"/>
      <c r="O23" s="1650"/>
      <c r="P23" s="1650"/>
      <c r="Q23" s="1650"/>
      <c r="R23" s="1650"/>
      <c r="S23" s="1650"/>
      <c r="T23" s="1650"/>
      <c r="U23" s="1232"/>
      <c r="V23" s="1651" t="s">
        <v>281</v>
      </c>
      <c r="W23" s="1629"/>
      <c r="X23" s="1629"/>
      <c r="Y23" s="1629"/>
      <c r="Z23" s="1629"/>
      <c r="AA23" s="1629"/>
      <c r="AB23" s="1629"/>
      <c r="AC23" s="1630"/>
    </row>
    <row r="24" spans="2:30" x14ac:dyDescent="0.35">
      <c r="B24" s="1641"/>
      <c r="C24" s="1697"/>
      <c r="D24" s="127">
        <v>2018</v>
      </c>
      <c r="E24" s="1624">
        <v>2019</v>
      </c>
      <c r="F24" s="1646"/>
      <c r="G24" s="1646"/>
      <c r="H24" s="1661"/>
      <c r="I24" s="1624">
        <v>2020</v>
      </c>
      <c r="J24" s="1646"/>
      <c r="K24" s="1646"/>
      <c r="L24" s="1646"/>
      <c r="M24" s="1624">
        <v>2021</v>
      </c>
      <c r="N24" s="1646"/>
      <c r="O24" s="1646"/>
      <c r="P24" s="1646"/>
      <c r="Q24" s="1624">
        <v>2022</v>
      </c>
      <c r="R24" s="1625"/>
      <c r="S24" s="1625"/>
      <c r="T24" s="1661"/>
      <c r="U24" s="1228"/>
      <c r="V24" s="1229">
        <v>2023</v>
      </c>
      <c r="W24" s="1229"/>
      <c r="X24" s="1230"/>
      <c r="Y24" s="1633">
        <v>2024</v>
      </c>
      <c r="Z24" s="1631"/>
      <c r="AA24" s="1631"/>
      <c r="AB24" s="1632"/>
      <c r="AC24" s="178">
        <v>2025</v>
      </c>
    </row>
    <row r="25" spans="2:30" x14ac:dyDescent="0.35">
      <c r="B25" s="1643"/>
      <c r="C25" s="1698"/>
      <c r="D25" s="118" t="s">
        <v>282</v>
      </c>
      <c r="E25" s="118" t="s">
        <v>283</v>
      </c>
      <c r="F25" s="132" t="s">
        <v>284</v>
      </c>
      <c r="G25" s="132" t="s">
        <v>238</v>
      </c>
      <c r="H25" s="115" t="s">
        <v>282</v>
      </c>
      <c r="I25" s="132" t="s">
        <v>283</v>
      </c>
      <c r="J25" s="132" t="s">
        <v>284</v>
      </c>
      <c r="K25" s="132" t="s">
        <v>238</v>
      </c>
      <c r="L25" s="132" t="s">
        <v>282</v>
      </c>
      <c r="M25" s="118" t="s">
        <v>283</v>
      </c>
      <c r="N25" s="132" t="s">
        <v>284</v>
      </c>
      <c r="O25" s="132" t="s">
        <v>238</v>
      </c>
      <c r="P25" s="132" t="s">
        <v>282</v>
      </c>
      <c r="Q25" s="118" t="s">
        <v>283</v>
      </c>
      <c r="R25" s="132" t="s">
        <v>284</v>
      </c>
      <c r="S25" s="132" t="s">
        <v>238</v>
      </c>
      <c r="T25" s="115" t="s">
        <v>282</v>
      </c>
      <c r="U25" s="1127" t="s">
        <v>283</v>
      </c>
      <c r="V25" s="190" t="s">
        <v>284</v>
      </c>
      <c r="W25" s="190" t="s">
        <v>238</v>
      </c>
      <c r="X25" s="191" t="s">
        <v>282</v>
      </c>
      <c r="Y25" s="189" t="s">
        <v>283</v>
      </c>
      <c r="Z25" s="186" t="s">
        <v>284</v>
      </c>
      <c r="AA25" s="190" t="s">
        <v>238</v>
      </c>
      <c r="AB25" s="190" t="s">
        <v>282</v>
      </c>
      <c r="AC25" s="192" t="s">
        <v>283</v>
      </c>
    </row>
    <row r="26" spans="2:30" ht="19.5" customHeight="1" x14ac:dyDescent="0.35">
      <c r="B26" s="513" t="s">
        <v>438</v>
      </c>
      <c r="C26" s="514"/>
      <c r="D26" s="491">
        <f t="shared" ref="D26:U26" si="8">D10</f>
        <v>589.5</v>
      </c>
      <c r="E26" s="492">
        <f t="shared" si="8"/>
        <v>598.70000000000005</v>
      </c>
      <c r="F26" s="492">
        <f t="shared" si="8"/>
        <v>614.4</v>
      </c>
      <c r="G26" s="492">
        <f t="shared" si="8"/>
        <v>622.4</v>
      </c>
      <c r="H26" s="492">
        <f t="shared" si="8"/>
        <v>620.70000000000005</v>
      </c>
      <c r="I26" s="492">
        <f t="shared" si="8"/>
        <v>606.6</v>
      </c>
      <c r="J26" s="492">
        <f t="shared" si="8"/>
        <v>654.70000000000005</v>
      </c>
      <c r="K26" s="492">
        <f t="shared" si="8"/>
        <v>690.7</v>
      </c>
      <c r="L26" s="492">
        <f t="shared" si="8"/>
        <v>678.3</v>
      </c>
      <c r="M26" s="492">
        <f t="shared" si="8"/>
        <v>704.4</v>
      </c>
      <c r="N26" s="492">
        <f t="shared" si="8"/>
        <v>744.8</v>
      </c>
      <c r="O26" s="492">
        <f t="shared" si="8"/>
        <v>748.2</v>
      </c>
      <c r="P26" s="492">
        <f t="shared" si="8"/>
        <v>745</v>
      </c>
      <c r="Q26" s="492">
        <f t="shared" si="8"/>
        <v>763.1</v>
      </c>
      <c r="R26" s="492">
        <f t="shared" si="8"/>
        <v>789.5</v>
      </c>
      <c r="S26" s="493">
        <f t="shared" si="8"/>
        <v>786.1</v>
      </c>
      <c r="T26" s="1312">
        <f t="shared" si="8"/>
        <v>796.2</v>
      </c>
      <c r="U26" s="494">
        <f t="shared" si="8"/>
        <v>813.1</v>
      </c>
      <c r="V26" s="512">
        <f>U26*(1+$F$20)^0.25</f>
        <v>815.38788361526656</v>
      </c>
      <c r="W26" s="512">
        <f>V26*(1+$F$20)^0.25</f>
        <v>817.68220482915194</v>
      </c>
      <c r="X26" s="512">
        <f t="shared" ref="X26:AC26" si="9">W26*(1+$G$20)^0.25</f>
        <v>806.74647211686954</v>
      </c>
      <c r="Y26" s="512">
        <f t="shared" si="9"/>
        <v>795.95699457468652</v>
      </c>
      <c r="Z26" s="512">
        <f t="shared" si="9"/>
        <v>785.31181617685274</v>
      </c>
      <c r="AA26" s="512">
        <f t="shared" si="9"/>
        <v>774.80900705762838</v>
      </c>
      <c r="AB26" s="512">
        <f t="shared" si="9"/>
        <v>764.44666316141809</v>
      </c>
      <c r="AC26" s="1315">
        <f t="shared" si="9"/>
        <v>754.22290589758461</v>
      </c>
      <c r="AD26" s="1529" t="s">
        <v>2243</v>
      </c>
    </row>
    <row r="27" spans="2:30" ht="19.5" customHeight="1" x14ac:dyDescent="0.35">
      <c r="B27" s="501" t="s">
        <v>1716</v>
      </c>
      <c r="C27" s="177"/>
      <c r="D27" s="515"/>
      <c r="E27" s="489"/>
      <c r="F27" s="489"/>
      <c r="G27" s="489"/>
      <c r="H27" s="489"/>
      <c r="I27" s="489"/>
      <c r="J27" s="489"/>
      <c r="K27" s="489"/>
      <c r="L27" s="489"/>
      <c r="M27" s="489"/>
      <c r="N27" s="489"/>
      <c r="O27" s="489"/>
      <c r="P27" s="489"/>
      <c r="Q27" s="489"/>
      <c r="R27" s="489"/>
      <c r="S27" s="490"/>
      <c r="T27" s="1313"/>
      <c r="U27" s="524"/>
      <c r="V27" s="495"/>
      <c r="W27" s="495"/>
      <c r="X27" s="495"/>
      <c r="Y27" s="495"/>
      <c r="Z27" s="495"/>
      <c r="AA27" s="495"/>
      <c r="AB27" s="495"/>
      <c r="AC27" s="606"/>
    </row>
    <row r="28" spans="2:30" ht="19.399999999999999" customHeight="1" x14ac:dyDescent="0.35">
      <c r="B28" s="501" t="s">
        <v>207</v>
      </c>
      <c r="C28" s="177"/>
      <c r="D28" s="515">
        <f t="shared" ref="D28:Q28" si="10">D10*D12</f>
        <v>390.53500000000003</v>
      </c>
      <c r="E28" s="489">
        <f t="shared" si="10"/>
        <v>407.62099999999998</v>
      </c>
      <c r="F28" s="489">
        <f t="shared" si="10"/>
        <v>416.459</v>
      </c>
      <c r="G28" s="489">
        <f t="shared" si="10"/>
        <v>418.661</v>
      </c>
      <c r="H28" s="489">
        <f t="shared" si="10"/>
        <v>411.69499999999999</v>
      </c>
      <c r="I28" s="489">
        <f t="shared" si="10"/>
        <v>428.30799999999994</v>
      </c>
      <c r="J28" s="489">
        <f t="shared" si="10"/>
        <v>506.81600000000003</v>
      </c>
      <c r="K28" s="489">
        <f t="shared" si="10"/>
        <v>484.78000000000003</v>
      </c>
      <c r="L28" s="489">
        <f t="shared" si="10"/>
        <v>500.25800000000004</v>
      </c>
      <c r="M28" s="489">
        <f t="shared" si="10"/>
        <v>509.42099999999994</v>
      </c>
      <c r="N28" s="489">
        <f t="shared" si="10"/>
        <v>527.01700000000005</v>
      </c>
      <c r="O28" s="489">
        <f t="shared" si="10"/>
        <v>542.85299999999995</v>
      </c>
      <c r="P28" s="489">
        <f t="shared" si="10"/>
        <v>553.86500000000001</v>
      </c>
      <c r="Q28" s="489">
        <f t="shared" si="10"/>
        <v>592.26700000000005</v>
      </c>
      <c r="R28" s="489">
        <f t="shared" ref="R28:AC28" si="11">R26*R12</f>
        <v>590.13</v>
      </c>
      <c r="S28" s="489">
        <f t="shared" si="11"/>
        <v>605.63699999999994</v>
      </c>
      <c r="T28" s="1314">
        <f t="shared" si="11"/>
        <v>604.82500000000005</v>
      </c>
      <c r="U28" s="606">
        <f>U26*U12</f>
        <v>627.72799999999995</v>
      </c>
      <c r="V28" s="495">
        <f t="shared" si="11"/>
        <v>600.94087022445149</v>
      </c>
      <c r="W28" s="495">
        <f t="shared" si="11"/>
        <v>590.38143529167962</v>
      </c>
      <c r="X28" s="495">
        <f t="shared" si="11"/>
        <v>582.0469888702919</v>
      </c>
      <c r="Y28" s="495">
        <f t="shared" si="11"/>
        <v>574.26265620574009</v>
      </c>
      <c r="Z28" s="495">
        <f t="shared" si="11"/>
        <v>566.58243169085847</v>
      </c>
      <c r="AA28" s="495">
        <f t="shared" si="11"/>
        <v>559.00492297677215</v>
      </c>
      <c r="AB28" s="495">
        <f t="shared" si="11"/>
        <v>547.80853606152414</v>
      </c>
      <c r="AC28" s="606">
        <f t="shared" si="11"/>
        <v>540.48211059635548</v>
      </c>
    </row>
    <row r="29" spans="2:30" ht="19.399999999999999" customHeight="1" x14ac:dyDescent="0.35">
      <c r="B29" s="229" t="s">
        <v>439</v>
      </c>
      <c r="C29" s="230"/>
      <c r="D29" s="517">
        <f t="shared" ref="D29:G29" si="12">D26-D28</f>
        <v>198.96499999999997</v>
      </c>
      <c r="E29" s="476">
        <f t="shared" si="12"/>
        <v>191.07900000000006</v>
      </c>
      <c r="F29" s="476">
        <f t="shared" si="12"/>
        <v>197.94099999999997</v>
      </c>
      <c r="G29" s="476">
        <f t="shared" si="12"/>
        <v>203.73899999999998</v>
      </c>
      <c r="H29" s="476">
        <f t="shared" ref="H29:AC29" si="13">H26-H28</f>
        <v>209.00500000000005</v>
      </c>
      <c r="I29" s="476">
        <f t="shared" si="13"/>
        <v>178.29200000000009</v>
      </c>
      <c r="J29" s="476">
        <f t="shared" si="13"/>
        <v>147.88400000000001</v>
      </c>
      <c r="K29" s="476">
        <f t="shared" si="13"/>
        <v>205.92000000000002</v>
      </c>
      <c r="L29" s="476">
        <f t="shared" si="13"/>
        <v>178.04199999999992</v>
      </c>
      <c r="M29" s="476">
        <f t="shared" si="13"/>
        <v>194.97900000000004</v>
      </c>
      <c r="N29" s="476">
        <f t="shared" si="13"/>
        <v>217.7829999999999</v>
      </c>
      <c r="O29" s="476">
        <f>O26-O28</f>
        <v>205.34700000000009</v>
      </c>
      <c r="P29" s="476">
        <f>P26-P28</f>
        <v>191.13499999999999</v>
      </c>
      <c r="Q29" s="476">
        <f t="shared" si="13"/>
        <v>170.83299999999997</v>
      </c>
      <c r="R29" s="476">
        <f t="shared" si="13"/>
        <v>199.37</v>
      </c>
      <c r="S29" s="476">
        <f t="shared" si="13"/>
        <v>180.46300000000008</v>
      </c>
      <c r="T29" s="476">
        <f t="shared" si="13"/>
        <v>191.375</v>
      </c>
      <c r="U29" s="511">
        <f t="shared" si="13"/>
        <v>185.37200000000007</v>
      </c>
      <c r="V29" s="510">
        <f t="shared" si="13"/>
        <v>214.44701339081507</v>
      </c>
      <c r="W29" s="510">
        <f t="shared" si="13"/>
        <v>227.30076953747232</v>
      </c>
      <c r="X29" s="510">
        <f t="shared" si="13"/>
        <v>224.69948324657764</v>
      </c>
      <c r="Y29" s="510">
        <f t="shared" si="13"/>
        <v>221.69433836894643</v>
      </c>
      <c r="Z29" s="510">
        <f t="shared" si="13"/>
        <v>218.72938448599427</v>
      </c>
      <c r="AA29" s="510">
        <f t="shared" si="13"/>
        <v>215.80408408085623</v>
      </c>
      <c r="AB29" s="510">
        <f t="shared" si="13"/>
        <v>216.63812709989395</v>
      </c>
      <c r="AC29" s="511">
        <f t="shared" si="13"/>
        <v>213.74079530122913</v>
      </c>
    </row>
    <row r="30" spans="2:30" ht="19.399999999999999" customHeight="1" x14ac:dyDescent="0.35">
      <c r="B30" s="1189"/>
      <c r="C30" s="1189"/>
      <c r="D30" s="1319"/>
      <c r="E30" s="1319"/>
      <c r="F30" s="1319"/>
      <c r="G30" s="1319"/>
      <c r="H30" s="1319"/>
      <c r="I30" s="1319"/>
      <c r="J30" s="1319"/>
      <c r="K30" s="1319"/>
      <c r="L30" s="1319"/>
      <c r="M30" s="1319"/>
      <c r="N30" s="1319"/>
      <c r="O30" s="1319"/>
      <c r="P30" s="1319"/>
      <c r="Q30" s="1319"/>
      <c r="R30" s="1319"/>
      <c r="S30" s="1319"/>
      <c r="T30" s="1175"/>
      <c r="U30" s="1175"/>
      <c r="V30" s="1175"/>
      <c r="W30" s="1175"/>
      <c r="X30" s="1175"/>
      <c r="Y30" s="1175"/>
      <c r="Z30" s="1175"/>
      <c r="AA30" s="1175"/>
      <c r="AB30" s="1175"/>
      <c r="AC30" s="1324"/>
    </row>
    <row r="31" spans="2:30" ht="19.399999999999999" customHeight="1" x14ac:dyDescent="0.35">
      <c r="B31" s="163"/>
      <c r="C31" s="163"/>
      <c r="D31" s="471"/>
      <c r="E31" s="471"/>
      <c r="F31" s="471"/>
      <c r="G31" s="471"/>
      <c r="H31" s="471"/>
      <c r="I31" s="471"/>
      <c r="J31" s="471"/>
      <c r="K31" s="471"/>
      <c r="L31" s="471"/>
      <c r="M31" s="471"/>
      <c r="N31" s="471"/>
      <c r="O31" s="471"/>
      <c r="P31" s="513" t="s">
        <v>438</v>
      </c>
      <c r="Q31" s="1319"/>
      <c r="R31" s="1319"/>
      <c r="S31" s="1319"/>
      <c r="T31" s="1317">
        <v>796.2</v>
      </c>
      <c r="U31" s="1548">
        <v>800.10133999929667</v>
      </c>
      <c r="V31" s="1548">
        <v>804.02179636858841</v>
      </c>
      <c r="W31" s="1548">
        <v>807.96146277712785</v>
      </c>
      <c r="X31" s="1548">
        <v>798.95010152851296</v>
      </c>
      <c r="Y31" s="1548">
        <v>790.03924585509458</v>
      </c>
      <c r="Z31" s="1548">
        <v>781.22777479741205</v>
      </c>
      <c r="AA31" s="1548">
        <v>772.51457989829726</v>
      </c>
      <c r="AB31" s="1548">
        <v>763.89856506343403</v>
      </c>
      <c r="AC31" s="1315">
        <v>755.3786464234729</v>
      </c>
    </row>
    <row r="32" spans="2:30" ht="19.399999999999999" customHeight="1" x14ac:dyDescent="0.35">
      <c r="B32" s="163"/>
      <c r="C32" s="163"/>
      <c r="D32" s="471"/>
      <c r="E32" s="471"/>
      <c r="F32" s="471"/>
      <c r="G32" s="471"/>
      <c r="H32" s="471"/>
      <c r="I32" s="471"/>
      <c r="J32" s="471"/>
      <c r="K32" s="471"/>
      <c r="L32" s="471"/>
      <c r="M32" s="471"/>
      <c r="N32" s="471"/>
      <c r="O32" s="471"/>
      <c r="P32" s="501" t="s">
        <v>1716</v>
      </c>
      <c r="Q32" s="1319"/>
      <c r="R32" s="1319"/>
      <c r="S32" s="1319"/>
      <c r="T32" s="524"/>
      <c r="U32" s="495"/>
      <c r="V32" s="495"/>
      <c r="W32" s="495"/>
      <c r="X32" s="495"/>
      <c r="Y32" s="495"/>
      <c r="Z32" s="495"/>
      <c r="AA32" s="495"/>
      <c r="AB32" s="495"/>
      <c r="AC32" s="495"/>
    </row>
    <row r="33" spans="2:29" ht="19.399999999999999" customHeight="1" x14ac:dyDescent="0.35">
      <c r="B33" s="163"/>
      <c r="C33" s="163"/>
      <c r="D33" s="471"/>
      <c r="E33" s="471"/>
      <c r="F33" s="471"/>
      <c r="G33" s="471"/>
      <c r="H33" s="471"/>
      <c r="I33" s="471"/>
      <c r="J33" s="471"/>
      <c r="K33" s="471"/>
      <c r="L33" s="471"/>
      <c r="M33" s="471"/>
      <c r="N33" s="471"/>
      <c r="O33" s="471"/>
      <c r="P33" s="501" t="s">
        <v>207</v>
      </c>
      <c r="Q33" s="1319"/>
      <c r="R33" s="1319"/>
      <c r="S33" s="1319"/>
      <c r="T33" s="1549">
        <v>604.82500000000005</v>
      </c>
      <c r="U33" s="495">
        <v>607.78861211388426</v>
      </c>
      <c r="V33" s="495">
        <v>592.56406392364966</v>
      </c>
      <c r="W33" s="495">
        <v>573.36139900906664</v>
      </c>
      <c r="X33" s="495">
        <v>566.53217150889088</v>
      </c>
      <c r="Y33" s="495">
        <v>560.21352106375559</v>
      </c>
      <c r="Z33" s="495">
        <v>553.96534383348023</v>
      </c>
      <c r="AA33" s="495">
        <v>547.78685381572848</v>
      </c>
      <c r="AB33" s="495">
        <v>537.95972084866276</v>
      </c>
      <c r="AC33" s="495">
        <v>531.95974485338616</v>
      </c>
    </row>
    <row r="34" spans="2:29" ht="19.399999999999999" customHeight="1" x14ac:dyDescent="0.35">
      <c r="B34" s="163"/>
      <c r="C34" s="163"/>
      <c r="D34" s="471"/>
      <c r="E34" s="471"/>
      <c r="F34" s="471"/>
      <c r="G34" s="471"/>
      <c r="H34" s="471"/>
      <c r="I34" s="471"/>
      <c r="J34" s="471"/>
      <c r="K34" s="471"/>
      <c r="L34" s="471"/>
      <c r="M34" s="471"/>
      <c r="N34" s="471"/>
      <c r="O34" s="471"/>
      <c r="P34" s="229" t="s">
        <v>439</v>
      </c>
      <c r="Q34" s="1319"/>
      <c r="R34" s="1319"/>
      <c r="S34" s="1319"/>
      <c r="T34" s="1550">
        <v>191.375</v>
      </c>
      <c r="U34" s="510">
        <v>192.31272788541241</v>
      </c>
      <c r="V34" s="510">
        <v>211.45773244493876</v>
      </c>
      <c r="W34" s="510">
        <v>234.6000637680612</v>
      </c>
      <c r="X34" s="510">
        <v>232.41793001962208</v>
      </c>
      <c r="Y34" s="510">
        <v>229.82572479133898</v>
      </c>
      <c r="Z34" s="510">
        <v>227.26243096393182</v>
      </c>
      <c r="AA34" s="510">
        <v>224.72772608256878</v>
      </c>
      <c r="AB34" s="510">
        <v>225.93884421477128</v>
      </c>
      <c r="AC34" s="511">
        <v>223.41890157008675</v>
      </c>
    </row>
    <row r="35" spans="2:29" ht="19.399999999999999" customHeight="1" x14ac:dyDescent="0.35">
      <c r="B35" s="163"/>
      <c r="C35" s="163"/>
      <c r="D35" s="471"/>
      <c r="E35" s="471"/>
      <c r="F35" s="471"/>
      <c r="G35" s="471"/>
      <c r="H35" s="471"/>
      <c r="I35" s="471"/>
      <c r="J35" s="471"/>
      <c r="K35" s="471"/>
      <c r="L35" s="471"/>
      <c r="M35" s="471"/>
      <c r="N35" s="471"/>
      <c r="O35" s="471"/>
      <c r="P35" s="1319"/>
      <c r="Q35" s="1319"/>
      <c r="R35" s="1319"/>
      <c r="S35" s="1319"/>
      <c r="T35" s="1175"/>
      <c r="U35" s="1175"/>
      <c r="V35" s="1175"/>
      <c r="W35" s="1175"/>
      <c r="X35" s="1175"/>
      <c r="Y35" s="1175"/>
      <c r="Z35" s="1175"/>
      <c r="AA35" s="1175"/>
      <c r="AB35" s="1175"/>
      <c r="AC35" s="1175"/>
    </row>
    <row r="36" spans="2:29" ht="19.399999999999999" customHeight="1" x14ac:dyDescent="0.35">
      <c r="B36" s="163"/>
      <c r="C36" s="163"/>
      <c r="D36" s="471"/>
      <c r="E36" s="471"/>
      <c r="F36" s="471"/>
      <c r="G36" s="471"/>
      <c r="H36" s="471"/>
      <c r="I36" s="471"/>
      <c r="J36" s="471"/>
      <c r="K36" s="471"/>
      <c r="L36" s="471"/>
      <c r="M36" s="471"/>
      <c r="N36" s="471"/>
      <c r="O36" s="471"/>
      <c r="P36" s="471"/>
      <c r="Q36" s="471"/>
      <c r="R36" s="471"/>
      <c r="S36" s="471"/>
      <c r="T36" s="1187"/>
      <c r="U36" s="1187"/>
      <c r="V36" s="1187"/>
      <c r="W36" s="1187"/>
      <c r="X36" s="1187"/>
      <c r="Y36" s="1187"/>
      <c r="Z36" s="1187"/>
      <c r="AA36" s="1187"/>
      <c r="AB36" s="1187"/>
      <c r="AC36" s="1187"/>
    </row>
    <row r="37" spans="2:29" ht="19.399999999999999" customHeight="1" x14ac:dyDescent="0.35">
      <c r="B37" s="163"/>
      <c r="C37" s="163"/>
      <c r="D37" s="471"/>
      <c r="E37" s="471"/>
      <c r="F37" s="471"/>
      <c r="G37" s="471"/>
      <c r="H37" s="471"/>
      <c r="I37" s="471"/>
      <c r="J37" s="471"/>
      <c r="K37" s="471"/>
      <c r="L37" s="471"/>
      <c r="M37" s="471"/>
      <c r="N37" s="471"/>
      <c r="O37" s="471"/>
      <c r="P37" s="471"/>
      <c r="Q37" s="471"/>
      <c r="R37" s="471"/>
      <c r="S37" s="471"/>
      <c r="T37" s="471"/>
      <c r="U37" s="471"/>
      <c r="V37" s="471"/>
      <c r="W37" s="471"/>
      <c r="X37" s="471"/>
      <c r="Y37" s="471"/>
      <c r="Z37" s="471"/>
      <c r="AA37" s="471"/>
      <c r="AB37" s="471"/>
      <c r="AC37" s="471"/>
    </row>
    <row r="38" spans="2:29" ht="14.9" customHeight="1" x14ac:dyDescent="0.35">
      <c r="H38" s="188"/>
      <c r="I38" s="188"/>
      <c r="J38" s="188"/>
      <c r="K38" s="188"/>
      <c r="L38" s="188"/>
      <c r="M38" s="504"/>
      <c r="N38" s="188"/>
      <c r="O38" s="188"/>
    </row>
    <row r="39" spans="2:29" ht="14.9" customHeight="1" x14ac:dyDescent="0.35">
      <c r="B39" s="505" t="s">
        <v>440</v>
      </c>
      <c r="C39" s="506"/>
      <c r="D39" s="506"/>
      <c r="E39" s="507"/>
      <c r="F39" s="508">
        <v>2021</v>
      </c>
      <c r="G39" s="508">
        <v>2022</v>
      </c>
      <c r="H39" s="508">
        <v>2023</v>
      </c>
      <c r="I39" s="508">
        <v>2024</v>
      </c>
      <c r="J39" s="508">
        <v>2025</v>
      </c>
      <c r="K39" s="508">
        <v>2025</v>
      </c>
      <c r="L39" s="508">
        <v>2027</v>
      </c>
      <c r="M39" s="508">
        <v>2028</v>
      </c>
      <c r="N39" s="508">
        <v>2029</v>
      </c>
      <c r="O39" s="508">
        <v>2030</v>
      </c>
      <c r="P39" s="509">
        <v>2031</v>
      </c>
    </row>
    <row r="40" spans="2:29" ht="15" customHeight="1" x14ac:dyDescent="0.35">
      <c r="B40" s="1720" t="s">
        <v>441</v>
      </c>
      <c r="C40" s="1721"/>
      <c r="D40" s="1721"/>
      <c r="E40" s="1722"/>
      <c r="F40" s="159">
        <v>287</v>
      </c>
      <c r="G40" s="159">
        <v>534</v>
      </c>
      <c r="H40" s="159">
        <v>247</v>
      </c>
      <c r="I40" s="159">
        <v>63</v>
      </c>
      <c r="J40" s="159"/>
      <c r="K40" s="159"/>
      <c r="L40" s="159"/>
      <c r="M40" s="159"/>
      <c r="N40" s="159"/>
      <c r="O40" s="159"/>
      <c r="P40" s="480"/>
    </row>
    <row r="41" spans="2:29" ht="15" customHeight="1" x14ac:dyDescent="0.35">
      <c r="B41" s="1711" t="s">
        <v>442</v>
      </c>
      <c r="C41" s="1712"/>
      <c r="D41" s="1712"/>
      <c r="E41" s="1713"/>
      <c r="F41" s="159">
        <v>0</v>
      </c>
      <c r="G41" s="159">
        <v>0</v>
      </c>
      <c r="H41" s="159">
        <v>756</v>
      </c>
      <c r="I41" s="159">
        <v>1249</v>
      </c>
      <c r="J41" s="159">
        <v>1417</v>
      </c>
      <c r="K41" s="159">
        <v>1522</v>
      </c>
      <c r="L41" s="159">
        <v>1107</v>
      </c>
      <c r="M41" s="159"/>
      <c r="N41" s="159"/>
      <c r="O41" s="159"/>
      <c r="P41" s="480"/>
    </row>
    <row r="42" spans="2:29" x14ac:dyDescent="0.35">
      <c r="B42" s="1711" t="s">
        <v>443</v>
      </c>
      <c r="C42" s="1712"/>
      <c r="D42" s="1712"/>
      <c r="E42" s="1713"/>
      <c r="F42" s="159">
        <v>0</v>
      </c>
      <c r="G42" s="159">
        <v>5</v>
      </c>
      <c r="H42" s="159">
        <v>77</v>
      </c>
      <c r="I42" s="159">
        <v>307</v>
      </c>
      <c r="J42" s="159">
        <v>332</v>
      </c>
      <c r="K42" s="159">
        <v>270</v>
      </c>
      <c r="L42" s="159">
        <v>25</v>
      </c>
      <c r="M42" s="159">
        <v>32</v>
      </c>
      <c r="N42" s="159">
        <v>40</v>
      </c>
      <c r="O42" s="159">
        <v>49</v>
      </c>
      <c r="P42" s="480">
        <v>58</v>
      </c>
    </row>
    <row r="43" spans="2:29" ht="32.9" customHeight="1" x14ac:dyDescent="0.35">
      <c r="B43" s="1717" t="s">
        <v>444</v>
      </c>
      <c r="C43" s="1718"/>
      <c r="D43" s="1718"/>
      <c r="E43" s="1719"/>
      <c r="F43" s="159">
        <v>0</v>
      </c>
      <c r="G43" s="159">
        <v>0</v>
      </c>
      <c r="H43" s="159">
        <v>3768</v>
      </c>
      <c r="I43" s="159">
        <v>3428</v>
      </c>
      <c r="J43" s="159">
        <v>2176</v>
      </c>
      <c r="K43" s="159">
        <v>2304</v>
      </c>
      <c r="L43" s="159">
        <v>2129</v>
      </c>
      <c r="M43" s="159">
        <v>1335</v>
      </c>
      <c r="N43" s="159">
        <v>478</v>
      </c>
      <c r="O43" s="159">
        <v>531</v>
      </c>
      <c r="P43" s="480">
        <v>212</v>
      </c>
    </row>
    <row r="44" spans="2:29" ht="32.9" customHeight="1" x14ac:dyDescent="0.35">
      <c r="B44" s="1717" t="s">
        <v>445</v>
      </c>
      <c r="C44" s="1718"/>
      <c r="D44" s="1718"/>
      <c r="E44" s="1719"/>
      <c r="F44" s="159">
        <v>38</v>
      </c>
      <c r="G44" s="159">
        <v>81</v>
      </c>
      <c r="H44" s="159">
        <v>43</v>
      </c>
      <c r="I44" s="159"/>
      <c r="J44" s="159"/>
      <c r="K44" s="159"/>
      <c r="L44" s="159"/>
      <c r="M44" s="159"/>
      <c r="N44" s="159"/>
      <c r="O44" s="159"/>
      <c r="P44" s="480"/>
    </row>
    <row r="45" spans="2:29" x14ac:dyDescent="0.35">
      <c r="B45" s="1711" t="s">
        <v>446</v>
      </c>
      <c r="C45" s="1712"/>
      <c r="D45" s="1712"/>
      <c r="E45" s="1713"/>
      <c r="F45" s="159"/>
      <c r="G45" s="159"/>
      <c r="H45" s="159"/>
      <c r="I45" s="159">
        <v>-184</v>
      </c>
      <c r="J45" s="159">
        <v>-1830</v>
      </c>
      <c r="K45" s="159">
        <v>-2406</v>
      </c>
      <c r="L45" s="159">
        <v>-2419</v>
      </c>
      <c r="M45" s="159">
        <v>-2467</v>
      </c>
      <c r="N45" s="159">
        <v>-2531</v>
      </c>
      <c r="O45" s="159">
        <v>-2667</v>
      </c>
      <c r="P45" s="480">
        <v>-2809</v>
      </c>
    </row>
    <row r="46" spans="2:29" ht="15.75" customHeight="1" x14ac:dyDescent="0.35">
      <c r="B46" s="1708" t="s">
        <v>447</v>
      </c>
      <c r="C46" s="1709"/>
      <c r="D46" s="1709"/>
      <c r="E46" s="1710"/>
      <c r="F46" s="159">
        <v>6524</v>
      </c>
      <c r="G46" s="159">
        <v>6143</v>
      </c>
      <c r="H46" s="159"/>
      <c r="I46" s="159"/>
      <c r="J46" s="159"/>
      <c r="K46" s="159"/>
      <c r="L46" s="159"/>
      <c r="M46" s="159"/>
      <c r="N46" s="159"/>
      <c r="O46" s="159"/>
      <c r="P46" s="480"/>
    </row>
    <row r="47" spans="2:29" x14ac:dyDescent="0.35">
      <c r="B47" s="1711" t="s">
        <v>448</v>
      </c>
      <c r="C47" s="1712"/>
      <c r="D47" s="1712"/>
      <c r="E47" s="1713"/>
      <c r="F47" s="159">
        <v>50</v>
      </c>
      <c r="G47" s="159">
        <v>175</v>
      </c>
      <c r="H47" s="159">
        <v>25</v>
      </c>
      <c r="I47" s="159"/>
      <c r="J47" s="159"/>
      <c r="K47" s="159"/>
      <c r="L47" s="159"/>
      <c r="M47" s="159"/>
      <c r="N47" s="159"/>
      <c r="O47" s="159"/>
      <c r="P47" s="480"/>
    </row>
    <row r="48" spans="2:29" x14ac:dyDescent="0.35">
      <c r="B48" s="1711" t="s">
        <v>449</v>
      </c>
      <c r="C48" s="1712"/>
      <c r="D48" s="1712"/>
      <c r="E48" s="1713"/>
      <c r="F48" s="159">
        <v>829</v>
      </c>
      <c r="G48" s="159">
        <v>844</v>
      </c>
      <c r="H48" s="159"/>
      <c r="I48" s="159"/>
      <c r="J48" s="159"/>
      <c r="K48" s="159"/>
      <c r="L48" s="159"/>
      <c r="M48" s="159"/>
      <c r="N48" s="159"/>
      <c r="O48" s="159"/>
      <c r="P48" s="480"/>
    </row>
    <row r="49" spans="2:17" x14ac:dyDescent="0.35">
      <c r="B49" s="1714" t="s">
        <v>450</v>
      </c>
      <c r="C49" s="1715"/>
      <c r="D49" s="1715"/>
      <c r="E49" s="1716"/>
      <c r="F49" s="159">
        <f t="shared" ref="F49:P49" si="14">SUM(F40:F48)</f>
        <v>7728</v>
      </c>
      <c r="G49" s="159">
        <f t="shared" si="14"/>
        <v>7782</v>
      </c>
      <c r="H49" s="159">
        <f t="shared" si="14"/>
        <v>4916</v>
      </c>
      <c r="I49" s="159">
        <f t="shared" si="14"/>
        <v>4863</v>
      </c>
      <c r="J49" s="159">
        <f t="shared" si="14"/>
        <v>2095</v>
      </c>
      <c r="K49" s="159">
        <f t="shared" si="14"/>
        <v>1690</v>
      </c>
      <c r="L49" s="159">
        <f t="shared" si="14"/>
        <v>842</v>
      </c>
      <c r="M49" s="159">
        <f t="shared" si="14"/>
        <v>-1100</v>
      </c>
      <c r="N49" s="159">
        <f t="shared" si="14"/>
        <v>-2013</v>
      </c>
      <c r="O49" s="159">
        <f t="shared" si="14"/>
        <v>-2087</v>
      </c>
      <c r="P49" s="480">
        <f t="shared" si="14"/>
        <v>-2539</v>
      </c>
    </row>
    <row r="50" spans="2:17" x14ac:dyDescent="0.35">
      <c r="B50" s="1708" t="s">
        <v>451</v>
      </c>
      <c r="C50" s="1709"/>
      <c r="D50" s="1709"/>
      <c r="E50" s="1710"/>
      <c r="F50" s="159">
        <f t="shared" ref="F50:P50" si="15">F46+F44+F43</f>
        <v>6562</v>
      </c>
      <c r="G50" s="159">
        <f t="shared" si="15"/>
        <v>6224</v>
      </c>
      <c r="H50" s="159">
        <f t="shared" si="15"/>
        <v>3811</v>
      </c>
      <c r="I50" s="159">
        <f t="shared" si="15"/>
        <v>3428</v>
      </c>
      <c r="J50" s="159">
        <f t="shared" si="15"/>
        <v>2176</v>
      </c>
      <c r="K50" s="159">
        <f t="shared" si="15"/>
        <v>2304</v>
      </c>
      <c r="L50" s="159">
        <f t="shared" si="15"/>
        <v>2129</v>
      </c>
      <c r="M50" s="159">
        <f t="shared" si="15"/>
        <v>1335</v>
      </c>
      <c r="N50" s="159">
        <f t="shared" si="15"/>
        <v>478</v>
      </c>
      <c r="O50" s="159">
        <f t="shared" si="15"/>
        <v>531</v>
      </c>
      <c r="P50" s="480">
        <f t="shared" si="15"/>
        <v>212</v>
      </c>
      <c r="Q50" s="163" t="s">
        <v>452</v>
      </c>
    </row>
    <row r="51" spans="2:17" x14ac:dyDescent="0.35">
      <c r="B51" s="1711" t="s">
        <v>453</v>
      </c>
      <c r="C51" s="1712"/>
      <c r="D51" s="1712"/>
      <c r="E51" s="1713"/>
      <c r="F51" s="159">
        <f>(F50/1000)/M26</f>
        <v>9.315729699034641E-3</v>
      </c>
      <c r="G51" s="159">
        <f>(G50/F50)*F51</f>
        <v>8.8358886996024993E-3</v>
      </c>
      <c r="H51" s="159">
        <f>(H50/G50)*G51+H52</f>
        <v>5.4102782509937537E-3</v>
      </c>
      <c r="I51" s="159">
        <f>(I50/H50)*H51+I52</f>
        <v>4.8665530948324813E-3</v>
      </c>
      <c r="J51" s="159">
        <f>J52</f>
        <v>0</v>
      </c>
      <c r="K51" s="159">
        <f t="shared" ref="K51:L51" si="16">K52</f>
        <v>0</v>
      </c>
      <c r="L51" s="159">
        <f t="shared" si="16"/>
        <v>0</v>
      </c>
      <c r="M51" s="159"/>
      <c r="N51" s="159"/>
      <c r="O51" s="159"/>
      <c r="P51" s="480"/>
      <c r="Q51" s="163" t="s">
        <v>454</v>
      </c>
    </row>
    <row r="52" spans="2:17" ht="29.25" customHeight="1" x14ac:dyDescent="0.35">
      <c r="B52" s="468" t="s">
        <v>900</v>
      </c>
      <c r="C52" s="469"/>
      <c r="D52" s="469"/>
      <c r="E52" s="470"/>
      <c r="F52" s="159"/>
      <c r="G52" s="159"/>
      <c r="H52" s="159"/>
      <c r="I52" s="159"/>
      <c r="J52" s="159"/>
      <c r="K52" s="159"/>
      <c r="L52" s="159"/>
      <c r="M52" s="159"/>
      <c r="N52" s="159"/>
      <c r="O52" s="159"/>
      <c r="P52" s="480"/>
      <c r="Q52" s="163"/>
    </row>
    <row r="53" spans="2:17" x14ac:dyDescent="0.35">
      <c r="B53" s="1705"/>
      <c r="C53" s="1706"/>
      <c r="D53" s="1706"/>
      <c r="E53" s="1707"/>
      <c r="F53" s="475"/>
      <c r="G53" s="475"/>
      <c r="H53" s="475"/>
      <c r="I53" s="475"/>
      <c r="J53" s="475"/>
      <c r="K53" s="475"/>
      <c r="L53" s="475"/>
      <c r="M53" s="475"/>
      <c r="N53" s="475"/>
      <c r="O53" s="475"/>
      <c r="P53" s="481"/>
    </row>
  </sheetData>
  <mergeCells count="32">
    <mergeCell ref="B45:E45"/>
    <mergeCell ref="E8:H8"/>
    <mergeCell ref="B7:C9"/>
    <mergeCell ref="I8:L8"/>
    <mergeCell ref="B43:E43"/>
    <mergeCell ref="B44:E44"/>
    <mergeCell ref="B42:E42"/>
    <mergeCell ref="B40:E40"/>
    <mergeCell ref="I24:L24"/>
    <mergeCell ref="B23:C25"/>
    <mergeCell ref="E24:H24"/>
    <mergeCell ref="D7:T7"/>
    <mergeCell ref="B41:E41"/>
    <mergeCell ref="B53:E53"/>
    <mergeCell ref="B46:E46"/>
    <mergeCell ref="B47:E47"/>
    <mergeCell ref="B48:E48"/>
    <mergeCell ref="B49:E49"/>
    <mergeCell ref="B50:E50"/>
    <mergeCell ref="B51:E51"/>
    <mergeCell ref="B1:AC1"/>
    <mergeCell ref="V2:AB4"/>
    <mergeCell ref="B2:U4"/>
    <mergeCell ref="Y24:AB24"/>
    <mergeCell ref="Y8:AB8"/>
    <mergeCell ref="M24:P24"/>
    <mergeCell ref="M8:P8"/>
    <mergeCell ref="Q8:T8"/>
    <mergeCell ref="D23:T23"/>
    <mergeCell ref="Q24:T24"/>
    <mergeCell ref="V7:AC7"/>
    <mergeCell ref="V23:AC23"/>
  </mergeCells>
  <pageMargins left="0.7" right="0.7" top="0.75" bottom="0.75" header="0.3" footer="0.3"/>
  <pageSetup paperSize="9" orientation="portrait" horizontalDpi="300" verticalDpi="300"/>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26"/>
  <sheetViews>
    <sheetView topLeftCell="A7" zoomScaleNormal="100" workbookViewId="0">
      <selection activeCell="C8" sqref="C8"/>
    </sheetView>
  </sheetViews>
  <sheetFormatPr defaultColWidth="11.453125" defaultRowHeight="14.5" x14ac:dyDescent="0.35"/>
  <cols>
    <col min="1" max="1" width="44.1796875" customWidth="1"/>
    <col min="2" max="2" width="58.81640625" customWidth="1"/>
    <col min="3" max="3" width="56.453125" customWidth="1"/>
    <col min="5" max="5" width="42.81640625" customWidth="1"/>
    <col min="6" max="6" width="21.453125" customWidth="1"/>
  </cols>
  <sheetData>
    <row r="1" spans="1:7" ht="47.9" customHeight="1" x14ac:dyDescent="0.35">
      <c r="A1" s="25" t="s">
        <v>33</v>
      </c>
      <c r="B1" s="26" t="s">
        <v>34</v>
      </c>
      <c r="C1" s="26" t="s">
        <v>35</v>
      </c>
      <c r="D1" s="27" t="s">
        <v>36</v>
      </c>
      <c r="E1" s="16"/>
      <c r="F1" s="16"/>
    </row>
    <row r="2" spans="1:7" ht="16.5" customHeight="1" x14ac:dyDescent="0.35">
      <c r="A2" s="1572" t="s">
        <v>37</v>
      </c>
      <c r="B2" s="1573"/>
      <c r="C2" s="1573"/>
      <c r="D2" s="1574"/>
      <c r="E2" s="16"/>
      <c r="F2" s="16"/>
    </row>
    <row r="3" spans="1:7" ht="148.4" customHeight="1" x14ac:dyDescent="0.35">
      <c r="A3" s="19" t="s">
        <v>858</v>
      </c>
      <c r="B3" s="14" t="s">
        <v>1808</v>
      </c>
      <c r="C3" s="14" t="s">
        <v>856</v>
      </c>
      <c r="D3" s="23" t="s">
        <v>930</v>
      </c>
    </row>
    <row r="4" spans="1:7" ht="85.5" customHeight="1" x14ac:dyDescent="0.35">
      <c r="A4" s="19" t="s">
        <v>2220</v>
      </c>
      <c r="B4" s="14" t="s">
        <v>2221</v>
      </c>
      <c r="C4" s="14" t="s">
        <v>929</v>
      </c>
      <c r="D4" s="23" t="s">
        <v>930</v>
      </c>
      <c r="E4" s="14"/>
      <c r="F4" s="14"/>
    </row>
    <row r="5" spans="1:7" ht="158.9" customHeight="1" x14ac:dyDescent="0.35">
      <c r="A5" s="19" t="s">
        <v>846</v>
      </c>
      <c r="B5" s="14" t="s">
        <v>847</v>
      </c>
      <c r="C5" s="14" t="s">
        <v>869</v>
      </c>
      <c r="D5" s="23" t="s">
        <v>1898</v>
      </c>
      <c r="E5" s="14"/>
      <c r="F5" s="14"/>
    </row>
    <row r="6" spans="1:7" ht="99.65" customHeight="1" x14ac:dyDescent="0.35">
      <c r="A6" s="19" t="s">
        <v>848</v>
      </c>
      <c r="B6" s="14" t="s">
        <v>38</v>
      </c>
      <c r="C6" s="14" t="s">
        <v>39</v>
      </c>
      <c r="D6" s="23" t="s">
        <v>930</v>
      </c>
      <c r="E6" s="14"/>
      <c r="F6" s="14"/>
    </row>
    <row r="7" spans="1:7" ht="61.5" customHeight="1" x14ac:dyDescent="0.35">
      <c r="A7" s="19" t="s">
        <v>2223</v>
      </c>
      <c r="B7" s="14" t="s">
        <v>2224</v>
      </c>
      <c r="C7" s="14" t="s">
        <v>2238</v>
      </c>
      <c r="D7" s="23" t="s">
        <v>930</v>
      </c>
      <c r="E7" s="14"/>
      <c r="F7" s="14"/>
    </row>
    <row r="8" spans="1:7" ht="100.4" customHeight="1" x14ac:dyDescent="0.35">
      <c r="A8" s="19" t="s">
        <v>42</v>
      </c>
      <c r="B8" s="14" t="s">
        <v>43</v>
      </c>
      <c r="C8" s="28" t="s">
        <v>44</v>
      </c>
      <c r="D8" s="23" t="s">
        <v>930</v>
      </c>
      <c r="E8" s="17"/>
      <c r="F8" s="14"/>
      <c r="G8" s="29"/>
    </row>
    <row r="9" spans="1:7" ht="78" customHeight="1" x14ac:dyDescent="0.35">
      <c r="A9" s="19" t="s">
        <v>45</v>
      </c>
      <c r="B9" s="14" t="s">
        <v>46</v>
      </c>
      <c r="C9" s="14" t="s">
        <v>875</v>
      </c>
      <c r="D9" s="23" t="s">
        <v>930</v>
      </c>
      <c r="E9" s="14"/>
      <c r="F9" s="14"/>
    </row>
    <row r="10" spans="1:7" ht="67.5" customHeight="1" x14ac:dyDescent="0.35">
      <c r="A10" s="19" t="s">
        <v>822</v>
      </c>
      <c r="B10" s="14" t="s">
        <v>832</v>
      </c>
      <c r="C10" s="14" t="s">
        <v>889</v>
      </c>
      <c r="D10" s="23" t="s">
        <v>930</v>
      </c>
      <c r="E10" s="14"/>
      <c r="F10" s="14"/>
    </row>
    <row r="11" spans="1:7" ht="63.65" customHeight="1" x14ac:dyDescent="0.35">
      <c r="A11" s="19" t="s">
        <v>47</v>
      </c>
      <c r="B11" s="14" t="s">
        <v>48</v>
      </c>
      <c r="C11" s="14" t="s">
        <v>849</v>
      </c>
      <c r="D11" s="15"/>
      <c r="E11" s="14"/>
      <c r="F11" s="14"/>
    </row>
    <row r="12" spans="1:7" ht="15" customHeight="1" x14ac:dyDescent="0.35">
      <c r="A12" s="1572" t="s">
        <v>850</v>
      </c>
      <c r="B12" s="1573"/>
      <c r="C12" s="1573"/>
      <c r="D12" s="1574"/>
      <c r="E12" s="16"/>
      <c r="F12" s="14"/>
    </row>
    <row r="13" spans="1:7" ht="29.9" customHeight="1" x14ac:dyDescent="0.35">
      <c r="A13" s="20" t="s">
        <v>9</v>
      </c>
      <c r="B13" s="1578" t="s">
        <v>852</v>
      </c>
      <c r="C13" s="1578"/>
      <c r="D13" s="24"/>
      <c r="E13" s="16"/>
      <c r="F13" s="14"/>
    </row>
    <row r="14" spans="1:7" ht="48.65" customHeight="1" x14ac:dyDescent="0.35">
      <c r="A14" s="18" t="s">
        <v>851</v>
      </c>
      <c r="B14" s="1578" t="s">
        <v>862</v>
      </c>
      <c r="C14" s="1578"/>
      <c r="D14" s="23"/>
      <c r="E14" s="16"/>
      <c r="F14" s="14"/>
    </row>
    <row r="15" spans="1:7" ht="48.65" customHeight="1" x14ac:dyDescent="0.35">
      <c r="A15" s="18" t="s">
        <v>853</v>
      </c>
      <c r="B15" s="1578" t="s">
        <v>854</v>
      </c>
      <c r="C15" s="1578"/>
      <c r="D15" s="15"/>
      <c r="E15" s="16"/>
      <c r="F15" s="14"/>
    </row>
    <row r="16" spans="1:7" x14ac:dyDescent="0.35">
      <c r="A16" s="1575" t="s">
        <v>59</v>
      </c>
      <c r="B16" s="1576"/>
      <c r="C16" s="1576"/>
      <c r="D16" s="1577"/>
      <c r="E16" s="14"/>
      <c r="F16" s="14"/>
    </row>
    <row r="17" spans="1:6" ht="36.65" customHeight="1" x14ac:dyDescent="0.35">
      <c r="A17" s="1570" t="s">
        <v>855</v>
      </c>
      <c r="B17" s="1571"/>
      <c r="C17" s="1571"/>
      <c r="D17" s="24"/>
      <c r="E17" s="14"/>
      <c r="F17" s="14"/>
    </row>
    <row r="18" spans="1:6" ht="145.5" customHeight="1" x14ac:dyDescent="0.35">
      <c r="A18" s="19" t="s">
        <v>60</v>
      </c>
      <c r="B18" s="14" t="s">
        <v>876</v>
      </c>
      <c r="C18" s="14" t="s">
        <v>883</v>
      </c>
      <c r="D18" s="23"/>
      <c r="E18" s="14"/>
      <c r="F18" s="14"/>
    </row>
    <row r="19" spans="1:6" ht="63.65" customHeight="1" x14ac:dyDescent="0.35">
      <c r="A19" s="19" t="s">
        <v>61</v>
      </c>
      <c r="B19" s="14" t="s">
        <v>877</v>
      </c>
      <c r="C19" s="14" t="s">
        <v>878</v>
      </c>
      <c r="D19" s="23"/>
      <c r="E19" s="14"/>
      <c r="F19" s="14"/>
    </row>
    <row r="20" spans="1:6" ht="63.65" customHeight="1" x14ac:dyDescent="0.35">
      <c r="A20" s="19" t="s">
        <v>879</v>
      </c>
      <c r="B20" s="14" t="s">
        <v>880</v>
      </c>
      <c r="C20" s="14" t="s">
        <v>881</v>
      </c>
      <c r="D20" s="23"/>
      <c r="E20" s="14"/>
      <c r="F20" s="14"/>
    </row>
    <row r="21" spans="1:6" ht="34.4" customHeight="1" x14ac:dyDescent="0.35">
      <c r="A21" s="1570" t="s">
        <v>829</v>
      </c>
      <c r="B21" s="1571"/>
      <c r="C21" s="1571"/>
      <c r="D21" s="15"/>
      <c r="E21" s="14"/>
      <c r="F21" s="14"/>
    </row>
    <row r="22" spans="1:6" x14ac:dyDescent="0.35">
      <c r="A22" s="1575" t="s">
        <v>62</v>
      </c>
      <c r="B22" s="1576"/>
      <c r="C22" s="1576"/>
      <c r="D22" s="1577"/>
      <c r="E22" s="14"/>
      <c r="F22" s="14"/>
    </row>
    <row r="23" spans="1:6" ht="29.15" customHeight="1" x14ac:dyDescent="0.35">
      <c r="A23" s="19" t="s">
        <v>63</v>
      </c>
      <c r="B23" s="14"/>
      <c r="C23" s="14" t="s">
        <v>64</v>
      </c>
      <c r="D23" s="24"/>
      <c r="E23" s="14"/>
      <c r="F23" s="14"/>
    </row>
    <row r="24" spans="1:6" ht="57.65" customHeight="1" x14ac:dyDescent="0.35">
      <c r="A24" s="19" t="s">
        <v>65</v>
      </c>
      <c r="B24" s="14" t="s">
        <v>66</v>
      </c>
      <c r="C24" s="14" t="s">
        <v>67</v>
      </c>
      <c r="D24" s="23"/>
      <c r="E24" s="14"/>
      <c r="F24" s="14"/>
    </row>
    <row r="25" spans="1:6" ht="29.15" customHeight="1" x14ac:dyDescent="0.35">
      <c r="A25" s="19" t="s">
        <v>68</v>
      </c>
      <c r="B25" s="14" t="s">
        <v>69</v>
      </c>
      <c r="C25" s="14" t="s">
        <v>868</v>
      </c>
      <c r="D25" s="23"/>
      <c r="E25" s="14"/>
      <c r="F25" s="14"/>
    </row>
    <row r="26" spans="1:6" ht="72" customHeight="1" x14ac:dyDescent="0.35">
      <c r="A26" s="21" t="s">
        <v>70</v>
      </c>
      <c r="B26" s="22" t="s">
        <v>71</v>
      </c>
      <c r="C26" s="22" t="s">
        <v>72</v>
      </c>
      <c r="D26" s="15"/>
      <c r="E26" s="14"/>
      <c r="F26" s="14"/>
    </row>
  </sheetData>
  <mergeCells count="9">
    <mergeCell ref="A21:C21"/>
    <mergeCell ref="A12:D12"/>
    <mergeCell ref="A16:D16"/>
    <mergeCell ref="A22:D22"/>
    <mergeCell ref="A2:D2"/>
    <mergeCell ref="B13:C13"/>
    <mergeCell ref="B14:C14"/>
    <mergeCell ref="B15:C15"/>
    <mergeCell ref="A17:C17"/>
  </mergeCells>
  <conditionalFormatting sqref="D17:D20">
    <cfRule type="containsText" dxfId="12" priority="3" operator="containsText" text="Yes">
      <formula>NOT(ISERROR(SEARCH("Yes",D17)))</formula>
    </cfRule>
  </conditionalFormatting>
  <conditionalFormatting sqref="D13:D15 D4:D11">
    <cfRule type="containsText" dxfId="11" priority="6" operator="containsText" text="Yes">
      <formula>NOT(ISERROR(SEARCH("Yes",D4)))</formula>
    </cfRule>
  </conditionalFormatting>
  <conditionalFormatting sqref="D21 D23:D26">
    <cfRule type="containsText" dxfId="10" priority="4" operator="containsText" text="Yes">
      <formula>NOT(ISERROR(SEARCH("Yes",D21)))</formula>
    </cfRule>
  </conditionalFormatting>
  <conditionalFormatting sqref="D10">
    <cfRule type="containsText" dxfId="9" priority="2" operator="containsText" text="Yes">
      <formula>NOT(ISERROR(SEARCH("Yes",D10)))</formula>
    </cfRule>
  </conditionalFormatting>
  <conditionalFormatting sqref="D3">
    <cfRule type="containsText" dxfId="8" priority="1" operator="containsText" text="Yes">
      <formula>NOT(ISERROR(SEARCH("Yes",D3)))</formula>
    </cfRule>
  </conditionalFormatting>
  <hyperlinks>
    <hyperlink ref="C8" r:id="rId1" xr:uid="{00000000-0004-0000-0100-000000000000}"/>
  </hyperlinks>
  <pageMargins left="0.7" right="0.7" top="0.75" bottom="0.75" header="0.3" footer="0.3"/>
  <pageSetup orientation="portrait"/>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B1:AF32"/>
  <sheetViews>
    <sheetView zoomScale="90" zoomScaleNormal="90" workbookViewId="0">
      <selection activeCell="AC18" sqref="AC18"/>
    </sheetView>
  </sheetViews>
  <sheetFormatPr defaultColWidth="11.453125" defaultRowHeight="14.5" x14ac:dyDescent="0.35"/>
  <cols>
    <col min="2" max="2" width="42.81640625" customWidth="1"/>
    <col min="3" max="3" width="7.453125" customWidth="1"/>
    <col min="4" max="4" width="8.81640625" customWidth="1"/>
    <col min="5" max="5" width="9" customWidth="1"/>
    <col min="6" max="6" width="8.81640625" customWidth="1"/>
    <col min="7" max="7" width="9.54296875" customWidth="1"/>
    <col min="8" max="8" width="9.81640625" customWidth="1"/>
    <col min="9" max="9" width="10.1796875" customWidth="1"/>
    <col min="10" max="10" width="9.1796875" customWidth="1"/>
    <col min="11" max="11" width="9.81640625" customWidth="1"/>
    <col min="12" max="13" width="8.81640625" customWidth="1"/>
    <col min="14" max="14" width="9.1796875" customWidth="1"/>
    <col min="15" max="19" width="8.81640625" customWidth="1"/>
    <col min="20" max="22" width="9.1796875" customWidth="1"/>
  </cols>
  <sheetData>
    <row r="1" spans="2:29" x14ac:dyDescent="0.35">
      <c r="B1" s="1634" t="s">
        <v>55</v>
      </c>
      <c r="C1" s="1634"/>
      <c r="D1" s="1634"/>
      <c r="E1" s="1634"/>
      <c r="F1" s="1634"/>
      <c r="G1" s="1634"/>
      <c r="H1" s="1634"/>
      <c r="I1" s="1634"/>
      <c r="J1" s="1634"/>
      <c r="K1" s="1634"/>
      <c r="L1" s="1634"/>
      <c r="M1" s="1634"/>
      <c r="N1" s="1634"/>
      <c r="O1" s="1634"/>
      <c r="P1" s="1634"/>
      <c r="Q1" s="1634"/>
      <c r="R1" s="1634"/>
      <c r="S1" s="1634"/>
      <c r="T1" s="1634"/>
      <c r="U1" s="1634"/>
      <c r="V1" s="1634"/>
      <c r="W1" s="1634"/>
      <c r="X1" s="1634"/>
      <c r="Y1" s="1634"/>
      <c r="Z1" s="1634"/>
      <c r="AA1" s="1634"/>
      <c r="AB1" s="1634"/>
      <c r="AC1" s="1634"/>
    </row>
    <row r="2" spans="2:29" ht="14.25" customHeight="1" x14ac:dyDescent="0.35">
      <c r="B2" s="1704" t="s">
        <v>866</v>
      </c>
      <c r="C2" s="1704"/>
      <c r="D2" s="1704"/>
      <c r="E2" s="1704"/>
      <c r="F2" s="1704"/>
      <c r="G2" s="1704"/>
      <c r="H2" s="1704"/>
      <c r="I2" s="1704"/>
      <c r="J2" s="1704"/>
      <c r="K2" s="1704"/>
      <c r="L2" s="1704"/>
      <c r="M2" s="1704"/>
      <c r="N2" s="1704"/>
      <c r="O2" s="1704"/>
      <c r="P2" s="1704"/>
      <c r="Q2" s="1704"/>
      <c r="R2" s="1704"/>
      <c r="S2" s="520"/>
      <c r="T2" s="1723" t="s">
        <v>919</v>
      </c>
      <c r="U2" s="1723"/>
      <c r="V2" s="1723"/>
      <c r="W2" s="1723"/>
      <c r="X2" s="1723"/>
      <c r="Y2" s="1723"/>
      <c r="Z2" s="1723"/>
      <c r="AA2" s="1723"/>
      <c r="AB2" s="1723"/>
      <c r="AC2" s="1723"/>
    </row>
    <row r="3" spans="2:29" x14ac:dyDescent="0.35">
      <c r="B3" s="1704"/>
      <c r="C3" s="1704"/>
      <c r="D3" s="1704"/>
      <c r="E3" s="1704"/>
      <c r="F3" s="1704"/>
      <c r="G3" s="1704"/>
      <c r="H3" s="1704"/>
      <c r="I3" s="1704"/>
      <c r="J3" s="1704"/>
      <c r="K3" s="1704"/>
      <c r="L3" s="1704"/>
      <c r="M3" s="1704"/>
      <c r="N3" s="1704"/>
      <c r="O3" s="1704"/>
      <c r="P3" s="1704"/>
      <c r="Q3" s="1704"/>
      <c r="R3" s="1704"/>
      <c r="S3" s="520"/>
      <c r="T3" s="1723"/>
      <c r="U3" s="1723"/>
      <c r="V3" s="1723"/>
      <c r="W3" s="1723"/>
      <c r="X3" s="1723"/>
      <c r="Y3" s="1723"/>
      <c r="Z3" s="1723"/>
      <c r="AA3" s="1723"/>
      <c r="AB3" s="1723"/>
      <c r="AC3" s="1723"/>
    </row>
    <row r="4" spans="2:29" ht="21" customHeight="1" x14ac:dyDescent="0.35">
      <c r="B4" s="1704"/>
      <c r="C4" s="1704"/>
      <c r="D4" s="1704"/>
      <c r="E4" s="1704"/>
      <c r="F4" s="1704"/>
      <c r="G4" s="1704"/>
      <c r="H4" s="1704"/>
      <c r="I4" s="1704"/>
      <c r="J4" s="1704"/>
      <c r="K4" s="1704"/>
      <c r="L4" s="1704"/>
      <c r="M4" s="1704"/>
      <c r="N4" s="1704"/>
      <c r="O4" s="1704"/>
      <c r="P4" s="1704"/>
      <c r="Q4" s="1704"/>
      <c r="R4" s="1704"/>
      <c r="S4" s="520"/>
      <c r="T4" s="1723"/>
      <c r="U4" s="1723"/>
      <c r="V4" s="1723"/>
      <c r="W4" s="1723"/>
      <c r="X4" s="1723"/>
      <c r="Y4" s="1723"/>
      <c r="Z4" s="1723"/>
      <c r="AA4" s="1723"/>
      <c r="AB4" s="1723"/>
      <c r="AC4" s="1723"/>
    </row>
    <row r="6" spans="2:29" x14ac:dyDescent="0.35">
      <c r="B6" s="431" t="s">
        <v>333</v>
      </c>
    </row>
    <row r="7" spans="2:29" ht="14.9" customHeight="1" x14ac:dyDescent="0.35">
      <c r="B7" s="1639" t="s">
        <v>405</v>
      </c>
      <c r="C7" s="1640"/>
      <c r="D7" s="1655" t="s">
        <v>280</v>
      </c>
      <c r="E7" s="1656"/>
      <c r="F7" s="1656"/>
      <c r="G7" s="1656"/>
      <c r="H7" s="1656"/>
      <c r="I7" s="1656"/>
      <c r="J7" s="1656"/>
      <c r="K7" s="1656"/>
      <c r="L7" s="1656"/>
      <c r="M7" s="1656"/>
      <c r="N7" s="1656"/>
      <c r="O7" s="1656"/>
      <c r="P7" s="1656"/>
      <c r="Q7" s="1683"/>
      <c r="R7" s="1683"/>
      <c r="S7" s="1683"/>
      <c r="T7" s="1684"/>
      <c r="U7" s="1232"/>
      <c r="V7" s="1651" t="s">
        <v>281</v>
      </c>
      <c r="W7" s="1629"/>
      <c r="X7" s="1629"/>
      <c r="Y7" s="1629"/>
      <c r="Z7" s="1629"/>
      <c r="AA7" s="1629"/>
      <c r="AB7" s="1629"/>
      <c r="AC7" s="1630"/>
    </row>
    <row r="8" spans="2:29" x14ac:dyDescent="0.35">
      <c r="B8" s="1641"/>
      <c r="C8" s="1642"/>
      <c r="D8" s="127">
        <v>2018</v>
      </c>
      <c r="E8" s="1624">
        <v>2019</v>
      </c>
      <c r="F8" s="1646"/>
      <c r="G8" s="1646"/>
      <c r="H8" s="1661"/>
      <c r="I8" s="1624">
        <v>2020</v>
      </c>
      <c r="J8" s="1646"/>
      <c r="K8" s="1646"/>
      <c r="L8" s="1646"/>
      <c r="M8" s="1624">
        <v>2021</v>
      </c>
      <c r="N8" s="1646"/>
      <c r="O8" s="1646"/>
      <c r="P8" s="1625"/>
      <c r="Q8" s="1624">
        <v>2022</v>
      </c>
      <c r="R8" s="1625"/>
      <c r="S8" s="1625"/>
      <c r="T8" s="1661"/>
      <c r="U8" s="1228"/>
      <c r="V8" s="1229">
        <v>2023</v>
      </c>
      <c r="W8" s="1229"/>
      <c r="X8" s="1230"/>
      <c r="Y8" s="1633">
        <v>2024</v>
      </c>
      <c r="Z8" s="1631"/>
      <c r="AA8" s="1631"/>
      <c r="AB8" s="1632"/>
      <c r="AC8" s="178">
        <v>2025</v>
      </c>
    </row>
    <row r="9" spans="2:29" x14ac:dyDescent="0.35">
      <c r="B9" s="1643"/>
      <c r="C9" s="1644"/>
      <c r="D9" s="118" t="s">
        <v>282</v>
      </c>
      <c r="E9" s="118" t="s">
        <v>283</v>
      </c>
      <c r="F9" s="132" t="s">
        <v>284</v>
      </c>
      <c r="G9" s="132" t="s">
        <v>238</v>
      </c>
      <c r="H9" s="115" t="s">
        <v>282</v>
      </c>
      <c r="I9" s="132" t="s">
        <v>283</v>
      </c>
      <c r="J9" s="132" t="s">
        <v>284</v>
      </c>
      <c r="K9" s="132" t="s">
        <v>238</v>
      </c>
      <c r="L9" s="132" t="s">
        <v>282</v>
      </c>
      <c r="M9" s="118" t="s">
        <v>283</v>
      </c>
      <c r="N9" s="132" t="s">
        <v>284</v>
      </c>
      <c r="O9" s="132" t="s">
        <v>238</v>
      </c>
      <c r="P9" s="132" t="s">
        <v>282</v>
      </c>
      <c r="Q9" s="118" t="s">
        <v>283</v>
      </c>
      <c r="R9" s="132" t="s">
        <v>284</v>
      </c>
      <c r="S9" s="132" t="s">
        <v>238</v>
      </c>
      <c r="T9" s="115" t="s">
        <v>282</v>
      </c>
      <c r="U9" s="1127" t="s">
        <v>283</v>
      </c>
      <c r="V9" s="190" t="s">
        <v>284</v>
      </c>
      <c r="W9" s="190" t="s">
        <v>238</v>
      </c>
      <c r="X9" s="191" t="s">
        <v>282</v>
      </c>
      <c r="Y9" s="189" t="s">
        <v>283</v>
      </c>
      <c r="Z9" s="186" t="s">
        <v>284</v>
      </c>
      <c r="AA9" s="190" t="s">
        <v>238</v>
      </c>
      <c r="AB9" s="190" t="s">
        <v>282</v>
      </c>
      <c r="AC9" s="192" t="s">
        <v>283</v>
      </c>
    </row>
    <row r="10" spans="2:29" ht="14.9" customHeight="1" x14ac:dyDescent="0.35">
      <c r="B10" s="1316" t="s">
        <v>455</v>
      </c>
      <c r="C10" s="35" t="s">
        <v>915</v>
      </c>
      <c r="D10" s="491">
        <f>'Haver Pivoted'!GO12</f>
        <v>755.3</v>
      </c>
      <c r="E10" s="492">
        <f>'Haver Pivoted'!GP12</f>
        <v>772.6</v>
      </c>
      <c r="F10" s="492">
        <f>'Haver Pivoted'!GQ12</f>
        <v>785.8</v>
      </c>
      <c r="G10" s="492">
        <f>'Haver Pivoted'!GR12</f>
        <v>793.7</v>
      </c>
      <c r="H10" s="492">
        <f>'Haver Pivoted'!GS12</f>
        <v>796.3</v>
      </c>
      <c r="I10" s="492">
        <f>'Haver Pivoted'!GT12</f>
        <v>795.3</v>
      </c>
      <c r="J10" s="492">
        <f>'Haver Pivoted'!GU12</f>
        <v>808</v>
      </c>
      <c r="K10" s="492">
        <f>'Haver Pivoted'!GV12</f>
        <v>822.1</v>
      </c>
      <c r="L10" s="492">
        <f>'Haver Pivoted'!GW12</f>
        <v>837.5</v>
      </c>
      <c r="M10" s="492">
        <f>'Haver Pivoted'!GX12</f>
        <v>857.6</v>
      </c>
      <c r="N10" s="492">
        <f>'Haver Pivoted'!GY12</f>
        <v>875.4</v>
      </c>
      <c r="O10" s="492">
        <f>'Haver Pivoted'!GZ12</f>
        <v>889.5</v>
      </c>
      <c r="P10" s="492">
        <f>'Haver Pivoted'!HA12</f>
        <v>900</v>
      </c>
      <c r="Q10" s="492">
        <f>'Haver Pivoted'!HB12</f>
        <v>908</v>
      </c>
      <c r="R10" s="492">
        <f>'Haver Pivoted'!HC12</f>
        <v>911.8</v>
      </c>
      <c r="S10" s="493">
        <f>'Haver Pivoted'!HD12</f>
        <v>920.3</v>
      </c>
      <c r="T10" s="1312">
        <f>'Haver Pivoted'!HE12</f>
        <v>941.6</v>
      </c>
      <c r="U10" s="1317">
        <f>'Haver Pivoted'!HF12</f>
        <v>966.5</v>
      </c>
      <c r="V10" s="512">
        <f t="shared" ref="V10:AC10" si="0">U10*(1+V12)</f>
        <v>993.07136024365218</v>
      </c>
      <c r="W10" s="512">
        <f t="shared" si="0"/>
        <v>1020.3732297322065</v>
      </c>
      <c r="X10" s="512">
        <f t="shared" si="0"/>
        <v>1044.97819254406</v>
      </c>
      <c r="Y10" s="512">
        <f t="shared" si="0"/>
        <v>1070.1764717790929</v>
      </c>
      <c r="Z10" s="512">
        <f t="shared" si="0"/>
        <v>1095.9823744850623</v>
      </c>
      <c r="AA10" s="512">
        <f t="shared" si="0"/>
        <v>1122.4105527054271</v>
      </c>
      <c r="AB10" s="512">
        <f t="shared" si="0"/>
        <v>1135.7427245750396</v>
      </c>
      <c r="AC10" s="502">
        <f t="shared" si="0"/>
        <v>1149.2332581121652</v>
      </c>
    </row>
    <row r="11" spans="2:29" ht="28.5" customHeight="1" x14ac:dyDescent="0.35">
      <c r="B11" s="551" t="s">
        <v>917</v>
      </c>
      <c r="C11" s="541" t="s">
        <v>525</v>
      </c>
      <c r="D11" s="552"/>
      <c r="E11" s="535"/>
      <c r="F11" s="535"/>
      <c r="G11" s="535"/>
      <c r="H11" s="535"/>
      <c r="I11" s="535"/>
      <c r="J11" s="536">
        <f>'Haver Pivoted'!GU46</f>
        <v>9.6</v>
      </c>
      <c r="K11" s="536">
        <f>'Haver Pivoted'!GV46</f>
        <v>14.4</v>
      </c>
      <c r="L11" s="536">
        <f>'Haver Pivoted'!GW46</f>
        <v>14.3</v>
      </c>
      <c r="M11" s="536">
        <f>'Haver Pivoted'!GX46</f>
        <v>15</v>
      </c>
      <c r="N11" s="536">
        <f>'Haver Pivoted'!GY46</f>
        <v>15.3</v>
      </c>
      <c r="O11" s="536">
        <f>'Haver Pivoted'!GZ46</f>
        <v>15.6</v>
      </c>
      <c r="P11" s="536">
        <f>'Haver Pivoted'!HA46</f>
        <v>15.7</v>
      </c>
      <c r="Q11" s="536">
        <f>'Haver Pivoted'!HB46</f>
        <v>15.8</v>
      </c>
      <c r="R11" s="536">
        <f>'Haver Pivoted'!HC46</f>
        <v>7.9</v>
      </c>
      <c r="S11" s="537">
        <f>'Haver Pivoted'!HD46</f>
        <v>0</v>
      </c>
      <c r="T11" s="1318">
        <f>'Haver Pivoted'!HE46</f>
        <v>0</v>
      </c>
      <c r="U11" s="539">
        <f>'Haver Pivoted'!HF46</f>
        <v>0</v>
      </c>
      <c r="V11" s="540">
        <f t="shared" ref="V11:Z11" si="1">U11</f>
        <v>0</v>
      </c>
      <c r="W11" s="540">
        <f t="shared" si="1"/>
        <v>0</v>
      </c>
      <c r="X11" s="540">
        <f t="shared" si="1"/>
        <v>0</v>
      </c>
      <c r="Y11" s="540">
        <f t="shared" si="1"/>
        <v>0</v>
      </c>
      <c r="Z11" s="540">
        <f t="shared" si="1"/>
        <v>0</v>
      </c>
      <c r="AA11" s="540"/>
      <c r="AB11" s="540"/>
      <c r="AC11" s="553"/>
    </row>
    <row r="12" spans="2:29" x14ac:dyDescent="0.35">
      <c r="B12" s="544" t="s">
        <v>456</v>
      </c>
      <c r="C12" s="543"/>
      <c r="D12" s="517"/>
      <c r="E12" s="476"/>
      <c r="F12" s="476"/>
      <c r="G12" s="476"/>
      <c r="H12" s="476"/>
      <c r="I12" s="476"/>
      <c r="J12" s="499"/>
      <c r="K12" s="499"/>
      <c r="L12" s="499"/>
      <c r="M12" s="499"/>
      <c r="N12" s="499">
        <f>(1 + $E$23)^0.25-1</f>
        <v>0</v>
      </c>
      <c r="O12" s="499">
        <f>(1 + $E$23)^0.25-1</f>
        <v>0</v>
      </c>
      <c r="P12" s="499">
        <f>(1 + $F$23)^0.25-1</f>
        <v>1.9950659227973899E-2</v>
      </c>
      <c r="Q12" s="499">
        <f>(1 +$F$23)^0.25-1</f>
        <v>1.9950659227973899E-2</v>
      </c>
      <c r="R12" s="499">
        <f>(1 +$F$23)^0.25-1</f>
        <v>1.9950659227973899E-2</v>
      </c>
      <c r="S12" s="538">
        <f>(1 +$F$23)^0.25-1</f>
        <v>1.9950659227973899E-2</v>
      </c>
      <c r="T12" s="538">
        <f>(1 +$G$23)^0.25-1</f>
        <v>2.7492354106210204E-2</v>
      </c>
      <c r="U12" s="523">
        <f>(1 +$G$23)^0.25-1</f>
        <v>2.7492354106210204E-2</v>
      </c>
      <c r="V12" s="522">
        <f>(1 +$G$23)^0.25-1</f>
        <v>2.7492354106210204E-2</v>
      </c>
      <c r="W12" s="522">
        <f>(1 +$G$23)^0.25-1</f>
        <v>2.7492354106210204E-2</v>
      </c>
      <c r="X12" s="1554">
        <f t="shared" ref="X12:AA12" si="2">(1 +$H$23)^0.25-1</f>
        <v>2.4113689084445111E-2</v>
      </c>
      <c r="Y12" s="522">
        <f t="shared" si="2"/>
        <v>2.4113689084445111E-2</v>
      </c>
      <c r="Z12" s="522">
        <f t="shared" si="2"/>
        <v>2.4113689084445111E-2</v>
      </c>
      <c r="AA12" s="522">
        <f t="shared" si="2"/>
        <v>2.4113689084445111E-2</v>
      </c>
      <c r="AB12" s="1554">
        <f>(1 +$I$23)^0.25-1</f>
        <v>1.1878159767365837E-2</v>
      </c>
      <c r="AC12" s="523">
        <f>(1 +$I$23)^0.25-1</f>
        <v>1.1878159767365837E-2</v>
      </c>
    </row>
    <row r="13" spans="2:29" ht="15.75" customHeight="1" x14ac:dyDescent="0.35">
      <c r="B13" s="542"/>
      <c r="C13" s="504"/>
      <c r="D13" s="471"/>
      <c r="E13" s="471"/>
      <c r="F13" s="471"/>
      <c r="G13" s="471"/>
      <c r="H13" s="471"/>
      <c r="I13" s="471"/>
      <c r="J13" s="473"/>
      <c r="K13" s="473"/>
      <c r="L13" s="473"/>
      <c r="M13" s="473"/>
    </row>
    <row r="14" spans="2:29" x14ac:dyDescent="0.35">
      <c r="B14" s="542"/>
      <c r="C14" s="504"/>
      <c r="D14" s="471"/>
      <c r="E14" s="471"/>
      <c r="F14" s="471"/>
      <c r="G14" s="471"/>
      <c r="H14" s="471"/>
      <c r="I14" s="471"/>
      <c r="J14" s="473"/>
      <c r="K14" s="473"/>
      <c r="L14" s="473"/>
      <c r="M14" s="473"/>
      <c r="T14" s="1317">
        <v>941.6</v>
      </c>
      <c r="U14" s="1548">
        <v>967.48680062640756</v>
      </c>
      <c r="V14" s="1548">
        <v>994.0852903423131</v>
      </c>
      <c r="W14" s="1548">
        <v>1021.4150351561788</v>
      </c>
      <c r="X14" s="1548">
        <v>1046.0451197401123</v>
      </c>
    </row>
    <row r="15" spans="2:29" x14ac:dyDescent="0.35">
      <c r="B15" s="542"/>
      <c r="C15" s="504"/>
      <c r="D15" s="471"/>
      <c r="E15" s="471"/>
      <c r="F15" s="471"/>
      <c r="G15" s="471"/>
      <c r="H15" s="471"/>
      <c r="I15" s="471"/>
      <c r="J15" s="473"/>
      <c r="K15" s="473"/>
      <c r="L15" s="473"/>
      <c r="M15" s="473"/>
      <c r="T15" s="539">
        <v>0</v>
      </c>
      <c r="U15" s="540">
        <v>0</v>
      </c>
      <c r="V15" s="540">
        <v>0</v>
      </c>
      <c r="W15" s="540">
        <v>0</v>
      </c>
      <c r="X15" s="540">
        <v>0</v>
      </c>
    </row>
    <row r="16" spans="2:29" ht="14.9" customHeight="1" x14ac:dyDescent="0.35">
      <c r="B16" s="431" t="s">
        <v>352</v>
      </c>
      <c r="T16" s="1553">
        <v>2.7492354106210204E-2</v>
      </c>
      <c r="U16" s="522">
        <v>2.7492354106210204E-2</v>
      </c>
      <c r="V16" s="522">
        <v>2.7492354106210204E-2</v>
      </c>
      <c r="W16" s="522">
        <v>2.7492354106210204E-2</v>
      </c>
      <c r="X16" s="522">
        <v>2.4113689084445111E-2</v>
      </c>
    </row>
    <row r="17" spans="2:32" x14ac:dyDescent="0.35">
      <c r="B17" s="548" t="s">
        <v>433</v>
      </c>
      <c r="C17" s="548">
        <v>2019</v>
      </c>
      <c r="D17" s="549">
        <v>2020</v>
      </c>
      <c r="E17" s="549">
        <v>2021</v>
      </c>
      <c r="F17" s="549">
        <v>2022</v>
      </c>
      <c r="G17" s="549">
        <v>2023</v>
      </c>
      <c r="H17" s="550">
        <v>2024</v>
      </c>
      <c r="I17" s="550">
        <v>2025</v>
      </c>
      <c r="J17" s="550">
        <v>2026</v>
      </c>
    </row>
    <row r="18" spans="2:32" ht="21" customHeight="1" x14ac:dyDescent="0.35">
      <c r="B18" s="531" t="s">
        <v>1813</v>
      </c>
      <c r="C18" s="527"/>
      <c r="D18" s="528"/>
      <c r="E18" s="555">
        <v>867.67600000000004</v>
      </c>
      <c r="F18" s="555">
        <v>937.072</v>
      </c>
      <c r="G18" s="555">
        <v>998.23700000000008</v>
      </c>
      <c r="H18" s="555">
        <v>1080.8440000000001</v>
      </c>
      <c r="I18" s="555">
        <v>1133.1199999999999</v>
      </c>
      <c r="J18" s="529">
        <v>1221.9949999999999</v>
      </c>
      <c r="K18" s="526"/>
      <c r="L18" s="526"/>
      <c r="M18" s="526"/>
      <c r="N18" s="526"/>
      <c r="O18" s="526"/>
      <c r="P18" s="303"/>
      <c r="Q18" s="303"/>
      <c r="R18" s="303"/>
      <c r="S18" s="303"/>
      <c r="T18" s="303"/>
      <c r="U18" s="303"/>
      <c r="V18" s="303"/>
      <c r="W18" s="303"/>
      <c r="X18" s="303"/>
      <c r="Y18" s="303"/>
      <c r="Z18" s="303"/>
      <c r="AA18" s="303"/>
      <c r="AB18" s="303"/>
      <c r="AC18" s="303"/>
    </row>
    <row r="19" spans="2:32" ht="21" customHeight="1" x14ac:dyDescent="0.35">
      <c r="B19" s="532"/>
      <c r="C19" s="525"/>
      <c r="D19" s="526"/>
      <c r="E19" s="185">
        <f>AVERAGE(L10:O10)</f>
        <v>865</v>
      </c>
      <c r="F19" s="185">
        <f>AVERAGE(P10:S10)</f>
        <v>910.02500000000009</v>
      </c>
      <c r="G19" s="185">
        <f>AVERAGE(T10:W10)</f>
        <v>980.3861474939647</v>
      </c>
      <c r="H19" s="185">
        <f>AVERAGE(X10:AA10)</f>
        <v>1083.3868978784108</v>
      </c>
      <c r="I19" s="185">
        <f>AVERAGE(AB10:AE10)</f>
        <v>1142.4879913436025</v>
      </c>
      <c r="J19" s="123"/>
      <c r="K19" s="526"/>
      <c r="L19" s="526"/>
      <c r="M19" s="526"/>
      <c r="N19" s="526"/>
      <c r="O19" s="526"/>
      <c r="P19" s="303"/>
      <c r="Q19" s="303"/>
      <c r="R19" s="303"/>
      <c r="S19" s="303"/>
      <c r="T19" s="303"/>
      <c r="U19" s="303"/>
      <c r="V19" s="303"/>
      <c r="W19" s="303"/>
      <c r="X19" s="303"/>
      <c r="Y19" s="303"/>
      <c r="Z19" s="303"/>
      <c r="AA19" s="303"/>
      <c r="AB19" s="303"/>
      <c r="AC19" s="303"/>
    </row>
    <row r="20" spans="2:32" ht="21" customHeight="1" x14ac:dyDescent="0.35">
      <c r="B20" s="554" t="s">
        <v>457</v>
      </c>
      <c r="C20" s="163"/>
      <c r="D20" s="163">
        <v>47</v>
      </c>
      <c r="E20" s="163">
        <v>48</v>
      </c>
      <c r="F20" s="35">
        <v>-50</v>
      </c>
      <c r="G20" s="35">
        <v>-45</v>
      </c>
      <c r="H20" s="35"/>
      <c r="I20" s="35"/>
      <c r="J20" s="546">
        <f>SUM(D20:G20)</f>
        <v>0</v>
      </c>
      <c r="M20" s="526"/>
      <c r="N20" s="526"/>
      <c r="O20" s="526"/>
      <c r="P20" s="303"/>
      <c r="Q20" s="303"/>
      <c r="R20" s="303"/>
      <c r="S20" s="303"/>
      <c r="T20" s="303"/>
      <c r="U20" s="303"/>
      <c r="V20" s="303"/>
      <c r="W20" s="303"/>
      <c r="X20" s="303"/>
      <c r="Y20" s="303"/>
      <c r="Z20" s="303"/>
      <c r="AA20" s="303"/>
      <c r="AB20" s="303"/>
      <c r="AC20" s="303"/>
    </row>
    <row r="21" spans="2:32" x14ac:dyDescent="0.35">
      <c r="B21" s="554" t="s">
        <v>1386</v>
      </c>
      <c r="C21" s="525"/>
      <c r="D21" s="525"/>
      <c r="E21" s="525">
        <f>E18-E20</f>
        <v>819.67600000000004</v>
      </c>
      <c r="F21" s="525">
        <f>F18+F20</f>
        <v>887.072</v>
      </c>
      <c r="G21" s="525">
        <f>G18+G20</f>
        <v>953.23700000000008</v>
      </c>
      <c r="H21" s="525">
        <f>H18+H20</f>
        <v>1080.8440000000001</v>
      </c>
      <c r="I21" s="525">
        <f>I18+I20</f>
        <v>1133.1199999999999</v>
      </c>
      <c r="J21" s="546"/>
      <c r="N21" s="547"/>
      <c r="O21" s="504"/>
      <c r="P21" s="303"/>
      <c r="Q21" s="303"/>
      <c r="R21" s="303"/>
      <c r="S21" s="303"/>
      <c r="T21" s="303"/>
      <c r="U21" s="303"/>
      <c r="V21" s="303"/>
      <c r="W21" s="303"/>
      <c r="X21" s="303"/>
      <c r="Y21" s="303"/>
      <c r="Z21" s="303"/>
      <c r="AA21" s="303"/>
      <c r="AB21" s="303"/>
      <c r="AC21" s="303"/>
    </row>
    <row r="22" spans="2:32" x14ac:dyDescent="0.35">
      <c r="B22" s="554" t="s">
        <v>459</v>
      </c>
      <c r="C22" s="188">
        <f>AVERAGE(D10:G10)</f>
        <v>776.84999999999991</v>
      </c>
      <c r="D22" s="188">
        <f>AVERAGE(H10:K10)</f>
        <v>805.42499999999995</v>
      </c>
      <c r="E22" s="525">
        <f>AVERAGE(L10:O10)</f>
        <v>865</v>
      </c>
      <c r="F22" s="35"/>
      <c r="G22" s="35"/>
      <c r="H22" s="35"/>
      <c r="I22" s="35"/>
      <c r="J22" s="546"/>
      <c r="K22" s="163" t="s">
        <v>458</v>
      </c>
      <c r="P22" s="303"/>
      <c r="Q22" s="303"/>
      <c r="R22" s="303"/>
      <c r="S22" s="303"/>
      <c r="T22" s="303"/>
      <c r="U22" s="303"/>
      <c r="V22" s="303"/>
      <c r="W22" s="303"/>
      <c r="X22" s="303"/>
      <c r="Y22" s="303"/>
      <c r="Z22" s="303"/>
      <c r="AA22" s="303"/>
      <c r="AB22" s="303"/>
      <c r="AC22" s="303"/>
    </row>
    <row r="23" spans="2:32" x14ac:dyDescent="0.35">
      <c r="B23" s="533" t="s">
        <v>928</v>
      </c>
      <c r="C23" s="163"/>
      <c r="D23" s="163"/>
      <c r="E23" s="163"/>
      <c r="F23" s="163">
        <f>F21/E21-1</f>
        <v>8.2222731908705438E-2</v>
      </c>
      <c r="G23" s="163">
        <f>G21/F21-1+G24</f>
        <v>0.11458808304173737</v>
      </c>
      <c r="H23" s="163">
        <v>0.1</v>
      </c>
      <c r="I23" s="163">
        <f t="shared" ref="I23:J23" si="3">I21/H21-1</f>
        <v>4.8365906643326628E-2</v>
      </c>
      <c r="J23" s="546">
        <f t="shared" si="3"/>
        <v>-1</v>
      </c>
      <c r="P23" s="163"/>
      <c r="Q23" s="163"/>
      <c r="R23" s="163"/>
      <c r="S23" s="163"/>
      <c r="T23" s="163"/>
      <c r="U23" s="163"/>
      <c r="V23" s="163"/>
      <c r="W23" s="163"/>
      <c r="X23" s="163"/>
      <c r="Y23" s="163"/>
      <c r="Z23" s="163"/>
      <c r="AA23" s="163"/>
      <c r="AB23" s="163"/>
      <c r="AC23" s="163"/>
    </row>
    <row r="24" spans="2:32" x14ac:dyDescent="0.35">
      <c r="B24" s="534" t="s">
        <v>898</v>
      </c>
      <c r="C24" s="530"/>
      <c r="D24" s="530"/>
      <c r="E24" s="530"/>
      <c r="F24" s="530"/>
      <c r="G24" s="530">
        <v>0.04</v>
      </c>
      <c r="H24" s="530"/>
      <c r="I24" s="530"/>
      <c r="J24" s="202"/>
      <c r="P24" s="163"/>
      <c r="Q24" s="163"/>
      <c r="R24" s="163"/>
      <c r="S24" s="163"/>
      <c r="T24" s="163"/>
      <c r="U24" s="163"/>
      <c r="V24" s="163"/>
      <c r="W24" s="163"/>
      <c r="X24" s="163"/>
      <c r="Y24" s="163"/>
      <c r="Z24" s="163"/>
      <c r="AA24" s="163"/>
      <c r="AB24" s="163"/>
      <c r="AC24" s="163"/>
    </row>
    <row r="25" spans="2:32" x14ac:dyDescent="0.35">
      <c r="C25" s="545"/>
      <c r="D25" s="545"/>
      <c r="E25" s="545"/>
      <c r="F25" s="545"/>
      <c r="G25" s="545"/>
      <c r="H25" s="545"/>
      <c r="I25" s="545"/>
      <c r="J25" s="545"/>
      <c r="P25" s="163"/>
      <c r="Q25" s="163"/>
      <c r="R25" s="163"/>
      <c r="S25" s="163"/>
      <c r="T25" s="163"/>
      <c r="U25" s="163"/>
      <c r="V25" s="163"/>
      <c r="W25" s="163"/>
      <c r="X25" s="163"/>
      <c r="Y25" s="163"/>
      <c r="Z25" s="163"/>
      <c r="AA25" s="163"/>
      <c r="AB25" s="163"/>
      <c r="AC25" s="163"/>
    </row>
    <row r="26" spans="2:32" x14ac:dyDescent="0.35">
      <c r="K26" s="545"/>
      <c r="L26" s="545"/>
      <c r="M26" s="545"/>
      <c r="N26" s="545"/>
      <c r="P26" s="163"/>
      <c r="Q26" s="163"/>
      <c r="R26" s="163"/>
      <c r="S26" s="163"/>
      <c r="T26" s="163"/>
      <c r="U26" s="163"/>
      <c r="V26" s="163"/>
      <c r="W26" s="163"/>
      <c r="X26" s="163"/>
      <c r="Y26" s="163"/>
      <c r="Z26" s="163"/>
      <c r="AA26" s="163"/>
      <c r="AB26" s="163"/>
      <c r="AC26" s="163"/>
    </row>
    <row r="27" spans="2:32" x14ac:dyDescent="0.35">
      <c r="P27" s="163"/>
      <c r="Q27" s="163"/>
      <c r="R27" s="163"/>
      <c r="S27" s="163"/>
      <c r="T27" s="163"/>
      <c r="U27" s="163"/>
      <c r="V27" s="163"/>
      <c r="W27" s="163"/>
      <c r="X27" s="163"/>
      <c r="Y27" s="163"/>
      <c r="Z27" s="163"/>
      <c r="AA27" s="163"/>
      <c r="AB27" s="163"/>
      <c r="AC27" s="163"/>
    </row>
    <row r="28" spans="2:32" x14ac:dyDescent="0.35">
      <c r="S28" s="163"/>
      <c r="T28" s="163"/>
      <c r="U28" s="163"/>
      <c r="V28" s="163"/>
      <c r="W28" s="163"/>
      <c r="X28" s="163"/>
      <c r="Y28" s="163"/>
      <c r="Z28" s="163"/>
      <c r="AA28" s="163"/>
      <c r="AB28" s="163"/>
      <c r="AC28" s="163"/>
      <c r="AD28" s="163"/>
      <c r="AE28" s="163"/>
      <c r="AF28" s="163"/>
    </row>
    <row r="29" spans="2:32" x14ac:dyDescent="0.35">
      <c r="P29" s="163"/>
      <c r="Q29" s="163"/>
      <c r="R29" s="163"/>
      <c r="S29" s="163"/>
      <c r="T29" s="163"/>
      <c r="U29" s="163"/>
      <c r="V29" s="163"/>
      <c r="W29" s="163"/>
      <c r="X29" s="163"/>
      <c r="Y29" s="163"/>
      <c r="Z29" s="163"/>
      <c r="AA29" s="163"/>
      <c r="AB29" s="163"/>
      <c r="AC29" s="163"/>
    </row>
    <row r="30" spans="2:32" x14ac:dyDescent="0.35">
      <c r="F30" s="35"/>
      <c r="G30" s="35"/>
      <c r="P30" s="163"/>
      <c r="Q30" s="163"/>
      <c r="R30" s="163"/>
      <c r="S30" s="163"/>
      <c r="T30" s="163"/>
      <c r="U30" s="163"/>
      <c r="V30" s="163"/>
      <c r="W30" s="163"/>
      <c r="X30" s="163"/>
      <c r="Y30" s="163"/>
      <c r="Z30" s="163"/>
      <c r="AA30" s="163"/>
      <c r="AB30" s="163"/>
      <c r="AC30" s="163"/>
    </row>
    <row r="31" spans="2:32" x14ac:dyDescent="0.35">
      <c r="P31" s="163"/>
      <c r="Q31" s="163"/>
      <c r="R31" s="163"/>
      <c r="S31" s="163"/>
      <c r="T31" s="163"/>
      <c r="U31" s="163"/>
      <c r="V31" s="163"/>
      <c r="W31" s="163"/>
      <c r="X31" s="163"/>
      <c r="Y31" s="163"/>
      <c r="Z31" s="163"/>
      <c r="AA31" s="163"/>
      <c r="AB31" s="163"/>
      <c r="AC31" s="163"/>
    </row>
    <row r="32" spans="2:32" x14ac:dyDescent="0.35">
      <c r="P32" s="163"/>
      <c r="Q32" s="163"/>
      <c r="R32" s="163"/>
      <c r="S32" s="163"/>
      <c r="T32" s="163"/>
      <c r="U32" s="163"/>
      <c r="V32" s="163"/>
      <c r="W32" s="163"/>
      <c r="X32" s="163"/>
      <c r="Y32" s="163"/>
      <c r="Z32" s="163"/>
      <c r="AA32" s="163"/>
      <c r="AB32" s="163"/>
      <c r="AC32" s="163"/>
    </row>
  </sheetData>
  <mergeCells count="11">
    <mergeCell ref="B1:AC1"/>
    <mergeCell ref="B7:C9"/>
    <mergeCell ref="E8:H8"/>
    <mergeCell ref="I8:L8"/>
    <mergeCell ref="Y8:AB8"/>
    <mergeCell ref="M8:P8"/>
    <mergeCell ref="B2:R4"/>
    <mergeCell ref="T2:AC4"/>
    <mergeCell ref="D7:T7"/>
    <mergeCell ref="Q8:T8"/>
    <mergeCell ref="V7:AC7"/>
  </mergeCells>
  <pageMargins left="0.7" right="0.7" top="0.75" bottom="0.75" header="0.3" footer="0.3"/>
  <pageSetup orientation="portrait"/>
  <drawing r:id="rId1"/>
  <legacy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B1:AF19"/>
  <sheetViews>
    <sheetView workbookViewId="0">
      <selection activeCell="H25" sqref="H25"/>
    </sheetView>
  </sheetViews>
  <sheetFormatPr defaultColWidth="11.453125" defaultRowHeight="14.5" x14ac:dyDescent="0.35"/>
  <sheetData>
    <row r="1" spans="2:32" x14ac:dyDescent="0.35">
      <c r="B1" s="1634" t="s">
        <v>1391</v>
      </c>
      <c r="C1" s="1634"/>
      <c r="D1" s="1634"/>
      <c r="E1" s="1634"/>
      <c r="F1" s="1634"/>
      <c r="G1" s="1634"/>
      <c r="H1" s="1634"/>
      <c r="I1" s="1634"/>
      <c r="J1" s="1634"/>
      <c r="K1" s="1634"/>
      <c r="L1" s="1634"/>
      <c r="M1" s="1634"/>
      <c r="N1" s="1634"/>
      <c r="O1" s="1634"/>
      <c r="P1" s="1634"/>
      <c r="Q1" s="1634"/>
      <c r="R1" s="1634"/>
      <c r="S1" s="1634"/>
      <c r="T1" s="1634"/>
      <c r="U1" s="1634"/>
      <c r="V1" s="1634"/>
      <c r="W1" s="1634"/>
      <c r="X1" s="1634"/>
      <c r="Y1" s="1634"/>
      <c r="Z1" s="1634"/>
      <c r="AA1" s="1634"/>
      <c r="AB1" s="1634"/>
      <c r="AC1" s="1634"/>
    </row>
    <row r="2" spans="2:32" x14ac:dyDescent="0.35">
      <c r="B2" s="1635" t="s">
        <v>1394</v>
      </c>
      <c r="C2" s="1635"/>
      <c r="D2" s="1635"/>
      <c r="E2" s="1635"/>
      <c r="F2" s="1635"/>
      <c r="G2" s="1635"/>
      <c r="H2" s="1635"/>
      <c r="I2" s="1635"/>
      <c r="J2" s="1635"/>
      <c r="K2" s="1635"/>
      <c r="L2" s="1635"/>
      <c r="M2" s="1635"/>
      <c r="N2" s="1635"/>
      <c r="O2" s="1635"/>
      <c r="P2" s="1635"/>
      <c r="Q2" s="1635"/>
      <c r="R2" s="1635"/>
      <c r="S2" s="1635"/>
      <c r="T2" s="1635"/>
      <c r="U2" s="1635"/>
      <c r="V2" s="1635"/>
      <c r="W2" s="1635"/>
      <c r="X2" s="1635"/>
      <c r="Y2" s="1635"/>
      <c r="Z2" s="1635"/>
      <c r="AA2" s="1635"/>
      <c r="AB2" s="1635"/>
      <c r="AC2" s="1635"/>
    </row>
    <row r="3" spans="2:32" x14ac:dyDescent="0.35">
      <c r="B3" s="1635"/>
      <c r="C3" s="1635"/>
      <c r="D3" s="1635"/>
      <c r="E3" s="1635"/>
      <c r="F3" s="1635"/>
      <c r="G3" s="1635"/>
      <c r="H3" s="1635"/>
      <c r="I3" s="1635"/>
      <c r="J3" s="1635"/>
      <c r="K3" s="1635"/>
      <c r="L3" s="1635"/>
      <c r="M3" s="1635"/>
      <c r="N3" s="1635"/>
      <c r="O3" s="1635"/>
      <c r="P3" s="1635"/>
      <c r="Q3" s="1635"/>
      <c r="R3" s="1635"/>
      <c r="S3" s="1635"/>
      <c r="T3" s="1635"/>
      <c r="U3" s="1635"/>
      <c r="V3" s="1635"/>
      <c r="W3" s="1635"/>
      <c r="X3" s="1635"/>
      <c r="Y3" s="1635"/>
      <c r="Z3" s="1635"/>
      <c r="AA3" s="1635"/>
      <c r="AB3" s="1635"/>
      <c r="AC3" s="1635"/>
    </row>
    <row r="4" spans="2:32" x14ac:dyDescent="0.35">
      <c r="B4" s="1635"/>
      <c r="C4" s="1635"/>
      <c r="D4" s="1635"/>
      <c r="E4" s="1635"/>
      <c r="F4" s="1635"/>
      <c r="G4" s="1635"/>
      <c r="H4" s="1635"/>
      <c r="I4" s="1635"/>
      <c r="J4" s="1635"/>
      <c r="K4" s="1635"/>
      <c r="L4" s="1635"/>
      <c r="M4" s="1635"/>
      <c r="N4" s="1635"/>
      <c r="O4" s="1635"/>
      <c r="P4" s="1635"/>
      <c r="Q4" s="1635"/>
      <c r="R4" s="1635"/>
      <c r="S4" s="1635"/>
      <c r="T4" s="1635"/>
      <c r="U4" s="1635"/>
      <c r="V4" s="1635"/>
      <c r="W4" s="1635"/>
      <c r="X4" s="1635"/>
      <c r="Y4" s="1635"/>
      <c r="Z4" s="1635"/>
      <c r="AA4" s="1635"/>
      <c r="AB4" s="1635"/>
      <c r="AC4" s="1635"/>
    </row>
    <row r="5" spans="2:32" x14ac:dyDescent="0.35">
      <c r="B5" s="299"/>
      <c r="C5" s="163"/>
      <c r="D5" s="163"/>
      <c r="E5" s="163"/>
      <c r="F5" s="163"/>
      <c r="G5" s="163"/>
      <c r="H5" s="163"/>
      <c r="I5" s="163"/>
      <c r="J5" s="163"/>
      <c r="K5" s="163"/>
      <c r="L5" s="163"/>
      <c r="M5" s="163"/>
      <c r="N5" s="163"/>
      <c r="O5" s="163"/>
      <c r="P5" s="163"/>
      <c r="Q5" s="163"/>
      <c r="R5" s="163"/>
      <c r="S5" s="163"/>
      <c r="T5" s="163"/>
      <c r="U5" s="163"/>
      <c r="V5" s="163"/>
      <c r="W5" s="163"/>
      <c r="X5" s="163"/>
      <c r="Y5" s="163"/>
    </row>
    <row r="6" spans="2:32" x14ac:dyDescent="0.35">
      <c r="B6" s="1653" t="s">
        <v>1709</v>
      </c>
      <c r="C6" s="1684"/>
      <c r="D6" s="1649" t="s">
        <v>280</v>
      </c>
      <c r="E6" s="1650"/>
      <c r="F6" s="1650"/>
      <c r="G6" s="1650"/>
      <c r="H6" s="1650"/>
      <c r="I6" s="1650"/>
      <c r="J6" s="1650"/>
      <c r="K6" s="1650"/>
      <c r="L6" s="1650"/>
      <c r="M6" s="1650"/>
      <c r="N6" s="1650"/>
      <c r="O6" s="1650"/>
      <c r="P6" s="1650"/>
      <c r="Q6" s="1684"/>
      <c r="R6" s="1684"/>
      <c r="S6" s="150"/>
      <c r="T6" s="1231"/>
      <c r="U6" s="1232"/>
      <c r="V6" s="1651" t="s">
        <v>281</v>
      </c>
      <c r="W6" s="1629"/>
      <c r="X6" s="1629"/>
      <c r="Y6" s="1629"/>
      <c r="Z6" s="1629"/>
      <c r="AA6" s="1629"/>
      <c r="AB6" s="1629"/>
      <c r="AC6" s="1630"/>
      <c r="AD6" s="1233"/>
      <c r="AE6" s="1233"/>
      <c r="AF6" s="1234"/>
    </row>
    <row r="7" spans="2:32" x14ac:dyDescent="0.35">
      <c r="B7" s="1641"/>
      <c r="C7" s="1642"/>
      <c r="D7" s="118">
        <v>2018</v>
      </c>
      <c r="E7" s="1636">
        <v>2019</v>
      </c>
      <c r="F7" s="1666"/>
      <c r="G7" s="1666"/>
      <c r="H7" s="1638"/>
      <c r="I7" s="1636">
        <v>2020</v>
      </c>
      <c r="J7" s="1666"/>
      <c r="K7" s="1666"/>
      <c r="L7" s="1666"/>
      <c r="M7" s="1636">
        <v>2021</v>
      </c>
      <c r="N7" s="1666"/>
      <c r="O7" s="1666"/>
      <c r="P7" s="1666"/>
      <c r="Q7" s="1662">
        <v>2022</v>
      </c>
      <c r="R7" s="1724"/>
      <c r="S7" s="168"/>
      <c r="T7" s="168"/>
      <c r="U7" s="1228"/>
      <c r="V7" s="1229">
        <v>2023</v>
      </c>
      <c r="W7" s="1229"/>
      <c r="X7" s="1230"/>
      <c r="Y7" s="1633">
        <v>2024</v>
      </c>
      <c r="Z7" s="1631"/>
      <c r="AA7" s="1631"/>
      <c r="AB7" s="1632"/>
      <c r="AC7" s="178">
        <v>2025</v>
      </c>
      <c r="AD7" s="1229"/>
      <c r="AE7" s="1229"/>
      <c r="AF7" s="1239"/>
    </row>
    <row r="8" spans="2:32" x14ac:dyDescent="0.35">
      <c r="B8" s="1643"/>
      <c r="C8" s="1644"/>
      <c r="D8" s="118" t="s">
        <v>282</v>
      </c>
      <c r="E8" s="118" t="s">
        <v>283</v>
      </c>
      <c r="F8" s="132" t="s">
        <v>284</v>
      </c>
      <c r="G8" s="132" t="s">
        <v>238</v>
      </c>
      <c r="H8" s="115" t="s">
        <v>282</v>
      </c>
      <c r="I8" s="132" t="s">
        <v>283</v>
      </c>
      <c r="J8" s="132" t="s">
        <v>284</v>
      </c>
      <c r="K8" s="132" t="s">
        <v>238</v>
      </c>
      <c r="L8" s="132" t="s">
        <v>282</v>
      </c>
      <c r="M8" s="118" t="s">
        <v>283</v>
      </c>
      <c r="N8" s="132" t="s">
        <v>284</v>
      </c>
      <c r="O8" s="132" t="s">
        <v>238</v>
      </c>
      <c r="P8" s="132" t="s">
        <v>282</v>
      </c>
      <c r="Q8" s="558" t="s">
        <v>283</v>
      </c>
      <c r="R8" s="559" t="s">
        <v>284</v>
      </c>
      <c r="S8" s="557" t="s">
        <v>238</v>
      </c>
      <c r="T8" s="557" t="s">
        <v>282</v>
      </c>
      <c r="U8" s="1127" t="s">
        <v>283</v>
      </c>
      <c r="V8" s="190" t="s">
        <v>284</v>
      </c>
      <c r="W8" s="190" t="s">
        <v>238</v>
      </c>
      <c r="X8" s="191" t="s">
        <v>282</v>
      </c>
      <c r="Y8" s="189" t="s">
        <v>283</v>
      </c>
      <c r="Z8" s="186" t="s">
        <v>284</v>
      </c>
      <c r="AA8" s="190" t="s">
        <v>238</v>
      </c>
      <c r="AB8" s="190" t="s">
        <v>282</v>
      </c>
      <c r="AC8" s="192" t="s">
        <v>283</v>
      </c>
      <c r="AD8" s="190" t="s">
        <v>284</v>
      </c>
      <c r="AE8" s="190" t="s">
        <v>238</v>
      </c>
      <c r="AF8" s="191" t="s">
        <v>282</v>
      </c>
    </row>
    <row r="9" spans="2:32" x14ac:dyDescent="0.35">
      <c r="B9" s="120" t="s">
        <v>1393</v>
      </c>
      <c r="C9" s="566"/>
      <c r="D9" s="567"/>
      <c r="E9" s="566"/>
      <c r="F9" s="566"/>
      <c r="G9" s="566"/>
      <c r="H9" s="566"/>
      <c r="I9" s="566"/>
      <c r="J9" s="568"/>
      <c r="K9" s="568"/>
      <c r="L9" s="568"/>
      <c r="M9" s="568"/>
      <c r="N9" s="568"/>
      <c r="O9" s="568"/>
      <c r="P9" s="568"/>
      <c r="Q9" s="568"/>
      <c r="R9" s="564">
        <v>0</v>
      </c>
      <c r="S9" s="565">
        <v>0</v>
      </c>
      <c r="T9" s="569">
        <v>0</v>
      </c>
      <c r="U9" s="569">
        <v>0</v>
      </c>
      <c r="V9" s="569">
        <v>0</v>
      </c>
      <c r="W9" s="569">
        <v>-7.7999999999999999E-4</v>
      </c>
      <c r="X9" s="569">
        <v>-7.7999999999999999E-4</v>
      </c>
      <c r="Y9" s="569">
        <v>-9.5E-4</v>
      </c>
      <c r="Z9" s="569">
        <v>-9.5E-4</v>
      </c>
      <c r="AA9" s="569">
        <v>-9.5E-4</v>
      </c>
      <c r="AB9" s="569">
        <v>-9.5E-4</v>
      </c>
      <c r="AC9" s="569">
        <v>-9.3999999999999997E-4</v>
      </c>
      <c r="AD9" s="569">
        <v>-9.3999999999999997E-4</v>
      </c>
      <c r="AE9" s="569">
        <v>-9.3999999999999997E-4</v>
      </c>
      <c r="AF9" s="570">
        <v>-9.3999999999999997E-4</v>
      </c>
    </row>
    <row r="10" spans="2:32" x14ac:dyDescent="0.35">
      <c r="B10" s="35" t="s">
        <v>1392</v>
      </c>
      <c r="C10" s="177"/>
      <c r="D10" s="501"/>
      <c r="E10" s="177"/>
      <c r="F10" s="177"/>
      <c r="G10" s="177"/>
      <c r="H10" s="177"/>
      <c r="I10" s="177"/>
      <c r="J10" s="561"/>
      <c r="K10" s="561"/>
      <c r="L10" s="561"/>
      <c r="M10" s="561"/>
      <c r="N10" s="561"/>
      <c r="O10" s="561"/>
      <c r="P10" s="561"/>
      <c r="Q10" s="561"/>
      <c r="R10" s="109"/>
      <c r="S10" s="79"/>
      <c r="T10" s="109"/>
      <c r="U10" s="109">
        <v>26095</v>
      </c>
      <c r="V10" s="109">
        <v>26404</v>
      </c>
      <c r="W10" s="109">
        <v>26686</v>
      </c>
      <c r="X10" s="109">
        <v>26931</v>
      </c>
      <c r="Y10" s="109">
        <v>27174</v>
      </c>
      <c r="Z10" s="109">
        <v>27411</v>
      </c>
      <c r="AA10" s="109">
        <v>27647</v>
      </c>
      <c r="AB10" s="109">
        <v>27893</v>
      </c>
      <c r="AC10" s="109">
        <v>28143</v>
      </c>
      <c r="AD10" s="109">
        <v>28400</v>
      </c>
      <c r="AE10" s="109">
        <v>28649</v>
      </c>
      <c r="AF10" s="79">
        <v>28910</v>
      </c>
    </row>
    <row r="11" spans="2:32" x14ac:dyDescent="0.35">
      <c r="B11" s="35" t="s">
        <v>312</v>
      </c>
      <c r="C11" s="451"/>
      <c r="D11" s="450"/>
      <c r="E11" s="451"/>
      <c r="F11" s="451"/>
      <c r="G11" s="451"/>
      <c r="H11" s="451"/>
      <c r="I11" s="451"/>
      <c r="J11" s="562"/>
      <c r="K11" s="562"/>
      <c r="L11" s="562"/>
      <c r="M11" s="562"/>
      <c r="N11" s="562"/>
      <c r="O11" s="562"/>
      <c r="P11" s="562"/>
      <c r="Q11" s="562"/>
      <c r="R11" s="560">
        <f>R9*R10</f>
        <v>0</v>
      </c>
      <c r="S11" s="563">
        <f t="shared" ref="S11:T11" si="0">S9*S10</f>
        <v>0</v>
      </c>
      <c r="T11" s="560">
        <f t="shared" si="0"/>
        <v>0</v>
      </c>
      <c r="U11" s="571">
        <f>U9*U10*-1</f>
        <v>0</v>
      </c>
      <c r="V11" s="571">
        <f t="shared" ref="V11:AF11" si="1">V9*V10*-1</f>
        <v>0</v>
      </c>
      <c r="W11" s="571">
        <f t="shared" si="1"/>
        <v>20.815079999999998</v>
      </c>
      <c r="X11" s="571">
        <f t="shared" si="1"/>
        <v>21.006180000000001</v>
      </c>
      <c r="Y11" s="571">
        <f t="shared" si="1"/>
        <v>25.815300000000001</v>
      </c>
      <c r="Z11" s="571">
        <f t="shared" si="1"/>
        <v>26.04045</v>
      </c>
      <c r="AA11" s="571">
        <f t="shared" si="1"/>
        <v>26.26465</v>
      </c>
      <c r="AB11" s="571">
        <f t="shared" si="1"/>
        <v>26.498349999999999</v>
      </c>
      <c r="AC11" s="571">
        <f t="shared" si="1"/>
        <v>26.454419999999999</v>
      </c>
      <c r="AD11" s="571">
        <f t="shared" si="1"/>
        <v>26.695999999999998</v>
      </c>
      <c r="AE11" s="571">
        <f t="shared" si="1"/>
        <v>26.930059999999997</v>
      </c>
      <c r="AF11" s="571">
        <f t="shared" si="1"/>
        <v>27.1754</v>
      </c>
    </row>
    <row r="12" spans="2:32" x14ac:dyDescent="0.35">
      <c r="B12" s="163"/>
      <c r="C12" s="163"/>
      <c r="D12" s="163"/>
      <c r="E12" s="163"/>
      <c r="F12" s="163"/>
      <c r="G12" s="163"/>
      <c r="H12" s="163"/>
      <c r="I12" s="163"/>
      <c r="J12" s="163"/>
      <c r="K12" s="163"/>
      <c r="L12" s="163"/>
      <c r="M12" s="163"/>
      <c r="N12" s="163"/>
      <c r="O12" s="163"/>
      <c r="P12" s="163"/>
      <c r="Q12" s="163"/>
      <c r="R12" s="163"/>
      <c r="S12" s="163"/>
      <c r="T12" s="163"/>
      <c r="U12" s="163"/>
      <c r="V12" s="163"/>
      <c r="W12" s="163"/>
      <c r="X12" s="163"/>
      <c r="Y12" s="163"/>
      <c r="Z12" s="35"/>
      <c r="AA12" s="35"/>
      <c r="AB12" s="35"/>
      <c r="AC12" s="35"/>
    </row>
    <row r="13" spans="2:32" x14ac:dyDescent="0.35">
      <c r="B13" s="1566" t="s">
        <v>1833</v>
      </c>
      <c r="C13" s="1566"/>
      <c r="D13" s="1566"/>
      <c r="E13" s="1566"/>
      <c r="F13" s="1566"/>
      <c r="G13" s="1566"/>
      <c r="H13" s="1566"/>
      <c r="I13" s="1566"/>
      <c r="J13" s="1566"/>
      <c r="K13" s="1566"/>
      <c r="L13" s="1566"/>
      <c r="M13" s="1566"/>
      <c r="N13" s="1566"/>
      <c r="O13" s="1566"/>
      <c r="P13" s="1566"/>
      <c r="Q13" s="1566"/>
      <c r="R13" s="1566"/>
      <c r="S13" s="1566"/>
      <c r="T13" s="1566"/>
      <c r="U13" s="1566"/>
      <c r="V13" s="1566"/>
      <c r="W13" s="1566"/>
      <c r="X13" s="1566"/>
      <c r="Y13" s="1566"/>
      <c r="Z13" s="1566"/>
      <c r="AA13" s="1566"/>
      <c r="AB13" s="1566"/>
      <c r="AC13" s="1566"/>
      <c r="AD13" s="1566"/>
      <c r="AE13" s="1566"/>
      <c r="AF13" s="1566"/>
    </row>
    <row r="14" spans="2:32" x14ac:dyDescent="0.35">
      <c r="B14" s="1653" t="s">
        <v>1708</v>
      </c>
      <c r="C14" s="1684"/>
      <c r="D14" s="1649" t="s">
        <v>280</v>
      </c>
      <c r="E14" s="1650"/>
      <c r="F14" s="1650"/>
      <c r="G14" s="1650"/>
      <c r="H14" s="1650"/>
      <c r="I14" s="1650"/>
      <c r="J14" s="1650"/>
      <c r="K14" s="1650"/>
      <c r="L14" s="1650"/>
      <c r="M14" s="1650"/>
      <c r="N14" s="1650"/>
      <c r="O14" s="1650"/>
      <c r="P14" s="1650"/>
      <c r="Q14" s="1684"/>
      <c r="R14" s="1684"/>
      <c r="S14" s="150"/>
      <c r="T14" s="1629" t="s">
        <v>281</v>
      </c>
      <c r="U14" s="1629"/>
      <c r="V14" s="1629"/>
      <c r="W14" s="1629"/>
      <c r="X14" s="1629"/>
      <c r="Y14" s="1629"/>
      <c r="Z14" s="1629"/>
      <c r="AA14" s="1629"/>
      <c r="AB14" s="1629"/>
      <c r="AC14" s="1629"/>
      <c r="AD14" s="1629"/>
      <c r="AE14" s="1629"/>
      <c r="AF14" s="1630"/>
    </row>
    <row r="15" spans="2:32" x14ac:dyDescent="0.35">
      <c r="B15" s="1641"/>
      <c r="C15" s="1642"/>
      <c r="D15" s="118">
        <v>2018</v>
      </c>
      <c r="E15" s="1636">
        <v>2019</v>
      </c>
      <c r="F15" s="1666"/>
      <c r="G15" s="1666"/>
      <c r="H15" s="1638"/>
      <c r="I15" s="1636">
        <v>2020</v>
      </c>
      <c r="J15" s="1666"/>
      <c r="K15" s="1666"/>
      <c r="L15" s="1666"/>
      <c r="M15" s="1636">
        <v>2021</v>
      </c>
      <c r="N15" s="1666"/>
      <c r="O15" s="1666"/>
      <c r="P15" s="1666"/>
      <c r="Q15" s="1662">
        <v>2022</v>
      </c>
      <c r="R15" s="1724"/>
      <c r="S15" s="168"/>
      <c r="T15" s="556"/>
      <c r="U15" s="1652">
        <v>2023</v>
      </c>
      <c r="V15" s="1631"/>
      <c r="W15" s="1631"/>
      <c r="X15" s="1631"/>
      <c r="Y15" s="1652">
        <v>2024</v>
      </c>
      <c r="Z15" s="1631"/>
      <c r="AA15" s="1631"/>
      <c r="AB15" s="1665"/>
      <c r="AC15" s="1652">
        <v>2025</v>
      </c>
      <c r="AD15" s="1631"/>
      <c r="AE15" s="1631"/>
      <c r="AF15" s="1665"/>
    </row>
    <row r="16" spans="2:32" x14ac:dyDescent="0.35">
      <c r="B16" s="1643"/>
      <c r="C16" s="1644"/>
      <c r="D16" s="118" t="s">
        <v>282</v>
      </c>
      <c r="E16" s="118" t="s">
        <v>283</v>
      </c>
      <c r="F16" s="132" t="s">
        <v>284</v>
      </c>
      <c r="G16" s="132" t="s">
        <v>238</v>
      </c>
      <c r="H16" s="115" t="s">
        <v>282</v>
      </c>
      <c r="I16" s="132" t="s">
        <v>283</v>
      </c>
      <c r="J16" s="132" t="s">
        <v>284</v>
      </c>
      <c r="K16" s="132" t="s">
        <v>238</v>
      </c>
      <c r="L16" s="132" t="s">
        <v>282</v>
      </c>
      <c r="M16" s="118" t="s">
        <v>283</v>
      </c>
      <c r="N16" s="132" t="s">
        <v>284</v>
      </c>
      <c r="O16" s="132" t="s">
        <v>238</v>
      </c>
      <c r="P16" s="132" t="s">
        <v>282</v>
      </c>
      <c r="Q16" s="558" t="s">
        <v>283</v>
      </c>
      <c r="R16" s="559" t="s">
        <v>284</v>
      </c>
      <c r="S16" s="557" t="s">
        <v>238</v>
      </c>
      <c r="T16" s="191" t="s">
        <v>282</v>
      </c>
      <c r="U16" s="189" t="s">
        <v>283</v>
      </c>
      <c r="V16" s="190" t="s">
        <v>284</v>
      </c>
      <c r="W16" s="190" t="s">
        <v>238</v>
      </c>
      <c r="X16" s="190" t="s">
        <v>282</v>
      </c>
      <c r="Y16" s="189" t="s">
        <v>283</v>
      </c>
      <c r="Z16" s="186" t="s">
        <v>284</v>
      </c>
      <c r="AA16" s="190" t="s">
        <v>238</v>
      </c>
      <c r="AB16" s="191" t="s">
        <v>282</v>
      </c>
      <c r="AC16" s="192" t="s">
        <v>283</v>
      </c>
      <c r="AD16" s="190" t="s">
        <v>284</v>
      </c>
      <c r="AE16" s="190" t="s">
        <v>238</v>
      </c>
      <c r="AF16" s="191" t="s">
        <v>282</v>
      </c>
    </row>
    <row r="17" spans="2:32" x14ac:dyDescent="0.35">
      <c r="B17" s="120" t="s">
        <v>1393</v>
      </c>
      <c r="C17" s="1240"/>
      <c r="D17" s="1241"/>
      <c r="E17" s="1240"/>
      <c r="F17" s="1240"/>
      <c r="G17" s="1240"/>
      <c r="H17" s="1240"/>
      <c r="I17" s="1240"/>
      <c r="J17" s="1242"/>
      <c r="K17" s="1242"/>
      <c r="L17" s="1242"/>
      <c r="M17" s="1242"/>
      <c r="N17" s="1242"/>
      <c r="O17" s="1242"/>
      <c r="P17" s="1242"/>
      <c r="Q17" s="1242"/>
      <c r="R17" s="1243">
        <v>0</v>
      </c>
      <c r="S17" s="1244">
        <v>0</v>
      </c>
      <c r="T17" s="1245">
        <v>0</v>
      </c>
      <c r="U17" s="1245">
        <v>-7.7999999999999999E-4</v>
      </c>
      <c r="V17" s="1245">
        <v>-7.7999999999999999E-4</v>
      </c>
      <c r="W17" s="1245">
        <v>-7.7999999999999999E-4</v>
      </c>
      <c r="X17" s="1245">
        <v>-7.7999999999999999E-4</v>
      </c>
      <c r="Y17" s="1245">
        <v>-9.5E-4</v>
      </c>
      <c r="Z17" s="1245">
        <v>-9.5E-4</v>
      </c>
      <c r="AA17" s="1245">
        <v>-9.5E-4</v>
      </c>
      <c r="AB17" s="1245">
        <v>-9.5E-4</v>
      </c>
      <c r="AC17" s="1245">
        <v>-9.3999999999999997E-4</v>
      </c>
      <c r="AD17" s="1245">
        <v>-9.3999999999999997E-4</v>
      </c>
      <c r="AE17" s="1245">
        <v>-9.3999999999999997E-4</v>
      </c>
      <c r="AF17" s="1246">
        <v>-9.3999999999999997E-4</v>
      </c>
    </row>
    <row r="18" spans="2:32" x14ac:dyDescent="0.35">
      <c r="B18" s="35" t="s">
        <v>1392</v>
      </c>
      <c r="C18" s="1247"/>
      <c r="D18" s="1248"/>
      <c r="E18" s="1247"/>
      <c r="F18" s="1247"/>
      <c r="G18" s="1247"/>
      <c r="H18" s="1247"/>
      <c r="I18" s="1247"/>
      <c r="J18" s="1249"/>
      <c r="K18" s="1249"/>
      <c r="L18" s="1249"/>
      <c r="M18" s="1249"/>
      <c r="N18" s="1249"/>
      <c r="O18" s="1249"/>
      <c r="P18" s="1249"/>
      <c r="Q18" s="1249"/>
      <c r="R18" s="1250"/>
      <c r="S18" s="1251"/>
      <c r="T18" s="1250"/>
      <c r="U18" s="1250">
        <v>26095</v>
      </c>
      <c r="V18" s="1250">
        <v>26404</v>
      </c>
      <c r="W18" s="1250">
        <v>26686</v>
      </c>
      <c r="X18" s="1250">
        <v>26931</v>
      </c>
      <c r="Y18" s="1250">
        <v>27174</v>
      </c>
      <c r="Z18" s="1250">
        <v>27411</v>
      </c>
      <c r="AA18" s="1250">
        <v>27647</v>
      </c>
      <c r="AB18" s="1250">
        <v>27893</v>
      </c>
      <c r="AC18" s="1250">
        <v>28143</v>
      </c>
      <c r="AD18" s="1250">
        <v>28400</v>
      </c>
      <c r="AE18" s="1250">
        <v>28649</v>
      </c>
      <c r="AF18" s="1251">
        <v>28910</v>
      </c>
    </row>
    <row r="19" spans="2:32" x14ac:dyDescent="0.35">
      <c r="B19" s="35" t="s">
        <v>312</v>
      </c>
      <c r="C19" s="1252"/>
      <c r="D19" s="1253"/>
      <c r="E19" s="1252"/>
      <c r="F19" s="1252"/>
      <c r="G19" s="1252"/>
      <c r="H19" s="1252"/>
      <c r="I19" s="1252"/>
      <c r="J19" s="1254"/>
      <c r="K19" s="1254"/>
      <c r="L19" s="1254"/>
      <c r="M19" s="1254"/>
      <c r="N19" s="1254"/>
      <c r="O19" s="1254"/>
      <c r="P19" s="1254"/>
      <c r="Q19" s="1254"/>
      <c r="R19" s="1255">
        <f>R17*R18</f>
        <v>0</v>
      </c>
      <c r="S19" s="1256">
        <f t="shared" ref="S19:T19" si="2">S17*S18</f>
        <v>0</v>
      </c>
      <c r="T19" s="1255">
        <f t="shared" si="2"/>
        <v>0</v>
      </c>
      <c r="U19" s="1257">
        <f>U17*U18*-1</f>
        <v>20.354099999999999</v>
      </c>
      <c r="V19" s="1257">
        <f t="shared" ref="V19:AF19" si="3">V17*V18*-1</f>
        <v>20.595119999999998</v>
      </c>
      <c r="W19" s="1257">
        <f t="shared" si="3"/>
        <v>20.815079999999998</v>
      </c>
      <c r="X19" s="1257">
        <f t="shared" si="3"/>
        <v>21.006180000000001</v>
      </c>
      <c r="Y19" s="1257">
        <f t="shared" si="3"/>
        <v>25.815300000000001</v>
      </c>
      <c r="Z19" s="1257">
        <f t="shared" si="3"/>
        <v>26.04045</v>
      </c>
      <c r="AA19" s="1257">
        <f t="shared" si="3"/>
        <v>26.26465</v>
      </c>
      <c r="AB19" s="1257">
        <f t="shared" si="3"/>
        <v>26.498349999999999</v>
      </c>
      <c r="AC19" s="1257">
        <f t="shared" si="3"/>
        <v>26.454419999999999</v>
      </c>
      <c r="AD19" s="1257">
        <f t="shared" si="3"/>
        <v>26.695999999999998</v>
      </c>
      <c r="AE19" s="1257">
        <f t="shared" si="3"/>
        <v>26.930059999999997</v>
      </c>
      <c r="AF19" s="1257">
        <f t="shared" si="3"/>
        <v>27.1754</v>
      </c>
    </row>
  </sheetData>
  <mergeCells count="21">
    <mergeCell ref="B13:AF13"/>
    <mergeCell ref="B14:C16"/>
    <mergeCell ref="D14:R14"/>
    <mergeCell ref="T14:AF14"/>
    <mergeCell ref="E15:H15"/>
    <mergeCell ref="I15:L15"/>
    <mergeCell ref="M15:P15"/>
    <mergeCell ref="Q15:R15"/>
    <mergeCell ref="U15:X15"/>
    <mergeCell ref="Y15:AB15"/>
    <mergeCell ref="AC15:AF15"/>
    <mergeCell ref="Y7:AB7"/>
    <mergeCell ref="B1:AC1"/>
    <mergeCell ref="B2:AC4"/>
    <mergeCell ref="B6:C8"/>
    <mergeCell ref="D6:R6"/>
    <mergeCell ref="E7:H7"/>
    <mergeCell ref="I7:L7"/>
    <mergeCell ref="M7:P7"/>
    <mergeCell ref="Q7:R7"/>
    <mergeCell ref="V6:AC6"/>
  </mergeCells>
  <pageMargins left="0.7" right="0.7" top="0.75" bottom="0.75" header="0.3" footer="0.3"/>
  <pageSetup paperSize="9" orientation="portrait" horizontalDpi="300" verticalDpi="300"/>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B1:CW122"/>
  <sheetViews>
    <sheetView zoomScale="77" zoomScaleNormal="80" workbookViewId="0">
      <pane xSplit="3" ySplit="10" topLeftCell="H11" activePane="bottomRight" state="frozen"/>
      <selection pane="topRight" activeCell="D1" sqref="D1"/>
      <selection pane="bottomLeft" activeCell="A11" sqref="A11"/>
      <selection pane="bottomRight" activeCell="U48" sqref="U48"/>
    </sheetView>
  </sheetViews>
  <sheetFormatPr defaultColWidth="11.453125" defaultRowHeight="14.5" x14ac:dyDescent="0.35"/>
  <cols>
    <col min="2" max="2" width="71.08984375" customWidth="1"/>
    <col min="6" max="6" width="12.1796875" customWidth="1"/>
    <col min="7" max="7" width="10.453125" customWidth="1"/>
    <col min="9" max="9" width="12" customWidth="1"/>
  </cols>
  <sheetData>
    <row r="1" spans="2:29" ht="18" customHeight="1" x14ac:dyDescent="0.35">
      <c r="B1" s="1726" t="s">
        <v>466</v>
      </c>
      <c r="C1" s="1726"/>
      <c r="D1" s="1726"/>
      <c r="E1" s="1726"/>
      <c r="F1" s="1726"/>
      <c r="G1" s="1726"/>
      <c r="H1" s="1726"/>
      <c r="I1" s="1726"/>
      <c r="J1" s="1726"/>
      <c r="K1" s="1726"/>
      <c r="L1" s="1726"/>
      <c r="M1" s="1726"/>
      <c r="N1" s="1726"/>
      <c r="O1" s="1726"/>
      <c r="P1" s="1726"/>
      <c r="Q1" s="1726"/>
      <c r="R1" s="1726"/>
      <c r="S1" s="1726"/>
      <c r="T1" s="1726"/>
      <c r="U1" s="1726"/>
      <c r="V1" s="1726"/>
      <c r="W1" s="1726"/>
      <c r="X1" s="1726"/>
      <c r="Y1" s="1726"/>
      <c r="Z1" s="1726"/>
      <c r="AA1" s="1726"/>
      <c r="AB1" s="1726"/>
      <c r="AC1" s="1726"/>
    </row>
    <row r="2" spans="2:29" ht="34.5" customHeight="1" x14ac:dyDescent="0.35">
      <c r="B2" s="1635" t="s">
        <v>867</v>
      </c>
      <c r="C2" s="1674"/>
      <c r="D2" s="1674"/>
      <c r="E2" s="1674"/>
      <c r="F2" s="1674"/>
      <c r="G2" s="1674"/>
      <c r="H2" s="1674"/>
      <c r="I2" s="1674"/>
      <c r="J2" s="1674"/>
      <c r="K2" s="1674"/>
      <c r="L2" s="1674"/>
      <c r="M2" s="1674"/>
      <c r="N2" s="1674"/>
      <c r="O2" s="1674"/>
      <c r="P2" s="1674"/>
      <c r="Q2" s="1674"/>
      <c r="R2" s="1674"/>
      <c r="S2" s="1674"/>
      <c r="T2" s="1674"/>
      <c r="U2" s="1674"/>
      <c r="V2" s="1674"/>
      <c r="W2" s="1674"/>
      <c r="X2" s="1674"/>
      <c r="Y2" s="1674"/>
      <c r="Z2" s="1674"/>
      <c r="AA2" s="1674"/>
      <c r="AB2" s="1674"/>
      <c r="AC2" s="1674"/>
    </row>
    <row r="3" spans="2:29" ht="3" customHeight="1" x14ac:dyDescent="0.35">
      <c r="B3" s="1674"/>
      <c r="C3" s="1674"/>
      <c r="D3" s="1674"/>
      <c r="E3" s="1674"/>
      <c r="F3" s="1674"/>
      <c r="G3" s="1674"/>
      <c r="H3" s="1674"/>
      <c r="I3" s="1674"/>
      <c r="J3" s="1674"/>
      <c r="K3" s="1674"/>
      <c r="L3" s="1674"/>
      <c r="M3" s="1674"/>
      <c r="N3" s="1674"/>
      <c r="O3" s="1674"/>
      <c r="P3" s="1674"/>
      <c r="Q3" s="1674"/>
      <c r="R3" s="1674"/>
      <c r="S3" s="1674"/>
      <c r="T3" s="1674"/>
      <c r="U3" s="1674"/>
      <c r="V3" s="1674"/>
      <c r="W3" s="1674"/>
      <c r="X3" s="1674"/>
      <c r="Y3" s="1674"/>
      <c r="Z3" s="1674"/>
      <c r="AA3" s="1674"/>
      <c r="AB3" s="1674"/>
      <c r="AC3" s="1674"/>
    </row>
    <row r="4" spans="2:29" ht="10.4" customHeight="1" x14ac:dyDescent="0.35">
      <c r="B4" s="1674"/>
      <c r="C4" s="1674"/>
      <c r="D4" s="1674"/>
      <c r="E4" s="1674"/>
      <c r="F4" s="1674"/>
      <c r="G4" s="1674"/>
      <c r="H4" s="1674"/>
      <c r="I4" s="1674"/>
      <c r="J4" s="1674"/>
      <c r="K4" s="1674"/>
      <c r="L4" s="1674"/>
      <c r="M4" s="1674"/>
      <c r="N4" s="1674"/>
      <c r="O4" s="1674"/>
      <c r="P4" s="1674"/>
      <c r="Q4" s="1674"/>
      <c r="R4" s="1674"/>
      <c r="S4" s="1674"/>
      <c r="T4" s="1674"/>
      <c r="U4" s="1674"/>
      <c r="V4" s="1674"/>
      <c r="W4" s="1674"/>
      <c r="X4" s="1674"/>
      <c r="Y4" s="1674"/>
      <c r="Z4" s="1674"/>
      <c r="AA4" s="1674"/>
      <c r="AB4" s="1674"/>
      <c r="AC4" s="1674"/>
    </row>
    <row r="5" spans="2:29" ht="14.25" customHeight="1" x14ac:dyDescent="0.35">
      <c r="B5" s="1674"/>
      <c r="C5" s="1674"/>
      <c r="D5" s="1674"/>
      <c r="E5" s="1674"/>
      <c r="F5" s="1674"/>
      <c r="G5" s="1674"/>
      <c r="H5" s="1674"/>
      <c r="I5" s="1674"/>
      <c r="J5" s="1674"/>
      <c r="K5" s="1674"/>
      <c r="L5" s="1674"/>
      <c r="M5" s="1674"/>
      <c r="N5" s="1674"/>
      <c r="O5" s="1674"/>
      <c r="P5" s="1674"/>
      <c r="Q5" s="1674"/>
      <c r="R5" s="1674"/>
      <c r="S5" s="1674"/>
      <c r="T5" s="1674"/>
      <c r="U5" s="1674"/>
      <c r="V5" s="1674"/>
      <c r="W5" s="1674"/>
      <c r="X5" s="1674"/>
      <c r="Y5" s="1674"/>
      <c r="Z5" s="1674"/>
      <c r="AA5" s="1674"/>
      <c r="AB5" s="1674"/>
      <c r="AC5" s="1674"/>
    </row>
    <row r="6" spans="2:29" ht="14.25" customHeight="1" x14ac:dyDescent="0.35">
      <c r="B6" s="1674"/>
      <c r="C6" s="1674"/>
      <c r="D6" s="1674"/>
      <c r="E6" s="1674"/>
      <c r="F6" s="1674"/>
      <c r="G6" s="1674"/>
      <c r="H6" s="1674"/>
      <c r="I6" s="1674"/>
      <c r="J6" s="1674"/>
      <c r="K6" s="1674"/>
      <c r="L6" s="1674"/>
      <c r="M6" s="1674"/>
      <c r="N6" s="1674"/>
      <c r="O6" s="1674"/>
      <c r="P6" s="1674"/>
      <c r="Q6" s="1674"/>
      <c r="R6" s="1674"/>
      <c r="S6" s="1674"/>
      <c r="T6" s="1674"/>
      <c r="U6" s="1674"/>
      <c r="V6" s="1674"/>
      <c r="W6" s="1674"/>
      <c r="X6" s="1674"/>
      <c r="Y6" s="1674"/>
      <c r="Z6" s="1674"/>
      <c r="AA6" s="1674"/>
      <c r="AB6" s="1674"/>
      <c r="AC6" s="1674"/>
    </row>
    <row r="7" spans="2:29" x14ac:dyDescent="0.35">
      <c r="B7" s="612" t="s">
        <v>333</v>
      </c>
      <c r="C7" s="184"/>
      <c r="D7" s="184"/>
      <c r="E7" s="184"/>
      <c r="F7" s="184"/>
      <c r="G7" s="184"/>
      <c r="H7" s="185"/>
      <c r="I7" s="185"/>
      <c r="J7" s="185"/>
      <c r="K7" s="185"/>
      <c r="L7" s="185"/>
      <c r="M7" s="185"/>
      <c r="N7" s="185"/>
      <c r="O7" s="185"/>
      <c r="P7" s="185"/>
      <c r="Q7" s="185"/>
      <c r="R7" s="185"/>
      <c r="S7" s="185"/>
      <c r="T7" s="185"/>
      <c r="U7" s="185"/>
    </row>
    <row r="8" spans="2:29" ht="14.9" customHeight="1" x14ac:dyDescent="0.35">
      <c r="B8" s="1180" t="s">
        <v>304</v>
      </c>
      <c r="C8" s="1181"/>
      <c r="D8" s="1184" t="s">
        <v>280</v>
      </c>
      <c r="E8" s="1185"/>
      <c r="F8" s="1185"/>
      <c r="G8" s="1185"/>
      <c r="H8" s="1185"/>
      <c r="I8" s="1185"/>
      <c r="J8" s="1185"/>
      <c r="K8" s="1185"/>
      <c r="L8" s="1185"/>
      <c r="M8" s="1185"/>
      <c r="N8" s="1185"/>
      <c r="O8" s="1185"/>
      <c r="P8" s="1185"/>
      <c r="Q8" s="1186"/>
      <c r="R8" s="1186"/>
      <c r="S8" s="1186"/>
      <c r="T8" s="1323"/>
      <c r="U8" s="1232"/>
      <c r="V8" s="1651" t="s">
        <v>281</v>
      </c>
      <c r="W8" s="1629"/>
      <c r="X8" s="1629"/>
      <c r="Y8" s="1629"/>
      <c r="Z8" s="1629"/>
      <c r="AA8" s="1629"/>
      <c r="AB8" s="1629"/>
      <c r="AC8" s="1630"/>
    </row>
    <row r="9" spans="2:29" ht="14.9" customHeight="1" x14ac:dyDescent="0.35">
      <c r="B9" s="1182"/>
      <c r="C9" s="1183"/>
      <c r="D9" s="127">
        <v>2018</v>
      </c>
      <c r="E9" s="1624">
        <v>2019</v>
      </c>
      <c r="F9" s="1646"/>
      <c r="G9" s="1646"/>
      <c r="H9" s="1661"/>
      <c r="I9" s="1624">
        <v>2020</v>
      </c>
      <c r="J9" s="1646"/>
      <c r="K9" s="1646"/>
      <c r="L9" s="1646"/>
      <c r="M9" s="1624">
        <v>2021</v>
      </c>
      <c r="N9" s="1646"/>
      <c r="O9" s="1646"/>
      <c r="P9" s="1646"/>
      <c r="Q9" s="1624">
        <v>2022</v>
      </c>
      <c r="R9" s="1625"/>
      <c r="S9" s="1625"/>
      <c r="T9" s="1661"/>
      <c r="U9" s="1228"/>
      <c r="V9" s="1229">
        <v>2023</v>
      </c>
      <c r="W9" s="1229"/>
      <c r="X9" s="1230"/>
      <c r="Y9" s="1633">
        <v>2024</v>
      </c>
      <c r="Z9" s="1631"/>
      <c r="AA9" s="1631"/>
      <c r="AB9" s="1632"/>
      <c r="AC9" s="178">
        <v>2025</v>
      </c>
    </row>
    <row r="10" spans="2:29" x14ac:dyDescent="0.35">
      <c r="B10" s="1182"/>
      <c r="C10" s="1183"/>
      <c r="D10" s="118" t="s">
        <v>282</v>
      </c>
      <c r="E10" s="118" t="s">
        <v>283</v>
      </c>
      <c r="F10" s="132" t="s">
        <v>284</v>
      </c>
      <c r="G10" s="132" t="s">
        <v>238</v>
      </c>
      <c r="H10" s="115" t="s">
        <v>282</v>
      </c>
      <c r="I10" s="132" t="s">
        <v>283</v>
      </c>
      <c r="J10" s="132" t="s">
        <v>284</v>
      </c>
      <c r="K10" s="132" t="s">
        <v>238</v>
      </c>
      <c r="L10" s="132" t="s">
        <v>282</v>
      </c>
      <c r="M10" s="118" t="s">
        <v>283</v>
      </c>
      <c r="N10" s="132" t="s">
        <v>284</v>
      </c>
      <c r="O10" s="132" t="s">
        <v>238</v>
      </c>
      <c r="P10" s="132" t="s">
        <v>282</v>
      </c>
      <c r="Q10" s="118" t="s">
        <v>283</v>
      </c>
      <c r="R10" s="132" t="s">
        <v>284</v>
      </c>
      <c r="S10" s="132" t="s">
        <v>238</v>
      </c>
      <c r="T10" s="115" t="s">
        <v>282</v>
      </c>
      <c r="U10" s="1127" t="s">
        <v>283</v>
      </c>
      <c r="V10" s="190" t="s">
        <v>284</v>
      </c>
      <c r="W10" s="190" t="s">
        <v>238</v>
      </c>
      <c r="X10" s="191" t="s">
        <v>282</v>
      </c>
      <c r="Y10" s="189" t="s">
        <v>283</v>
      </c>
      <c r="Z10" s="186" t="s">
        <v>284</v>
      </c>
      <c r="AA10" s="190" t="s">
        <v>238</v>
      </c>
      <c r="AB10" s="190" t="s">
        <v>282</v>
      </c>
      <c r="AC10" s="192" t="s">
        <v>283</v>
      </c>
    </row>
    <row r="11" spans="2:29" x14ac:dyDescent="0.35">
      <c r="B11" s="1727" t="s">
        <v>467</v>
      </c>
      <c r="C11" s="1728"/>
      <c r="D11" s="572"/>
      <c r="E11" s="593"/>
      <c r="F11" s="593"/>
      <c r="G11" s="593"/>
      <c r="H11" s="172"/>
      <c r="I11" s="172"/>
      <c r="J11" s="172"/>
      <c r="K11" s="172"/>
      <c r="L11" s="172"/>
      <c r="M11" s="486"/>
      <c r="N11" s="486"/>
      <c r="O11" s="486"/>
      <c r="P11" s="172"/>
      <c r="Q11" s="172"/>
      <c r="R11" s="172"/>
      <c r="S11" s="172"/>
      <c r="T11" s="703"/>
      <c r="U11" s="1330"/>
      <c r="V11" s="151"/>
      <c r="W11" s="151"/>
      <c r="X11" s="151"/>
      <c r="Y11" s="151"/>
      <c r="Z11" s="151"/>
      <c r="AA11" s="151"/>
      <c r="AB11" s="151"/>
      <c r="AC11" s="152"/>
    </row>
    <row r="12" spans="2:29" ht="17.149999999999999" customHeight="1" x14ac:dyDescent="0.35">
      <c r="B12" s="405" t="s">
        <v>468</v>
      </c>
      <c r="C12" s="163" t="s">
        <v>469</v>
      </c>
      <c r="D12" s="516">
        <f>'Haver Pivoted'!GO31</f>
        <v>2224.3000000000002</v>
      </c>
      <c r="E12" s="471">
        <f>'Haver Pivoted'!GP31</f>
        <v>2303.4</v>
      </c>
      <c r="F12" s="471">
        <f>'Haver Pivoted'!GQ31</f>
        <v>2319.4</v>
      </c>
      <c r="G12" s="471">
        <f>'Haver Pivoted'!GR31</f>
        <v>2333.8000000000002</v>
      </c>
      <c r="H12" s="471">
        <f>'Haver Pivoted'!GS31</f>
        <v>2346.4</v>
      </c>
      <c r="I12" s="471">
        <f>'Haver Pivoted'!GT31</f>
        <v>2407.5</v>
      </c>
      <c r="J12" s="471">
        <f>'Haver Pivoted'!GU31</f>
        <v>4698.7</v>
      </c>
      <c r="K12" s="471">
        <f>'Haver Pivoted'!GV31</f>
        <v>3492.4</v>
      </c>
      <c r="L12" s="471">
        <f>'Haver Pivoted'!GW31</f>
        <v>2881.6</v>
      </c>
      <c r="M12" s="471">
        <f>'Haver Pivoted'!GX31</f>
        <v>5094.8</v>
      </c>
      <c r="N12" s="471">
        <f>'Haver Pivoted'!GY31</f>
        <v>3395.6</v>
      </c>
      <c r="O12" s="471">
        <f>'Haver Pivoted'!GZ31</f>
        <v>3146.3</v>
      </c>
      <c r="P12" s="471">
        <f>'Haver Pivoted'!HA31</f>
        <v>2937.4</v>
      </c>
      <c r="Q12" s="471">
        <f>'Haver Pivoted'!HB31</f>
        <v>2863</v>
      </c>
      <c r="R12" s="471">
        <f>'Haver Pivoted'!HC31</f>
        <v>2846.5</v>
      </c>
      <c r="S12" s="483">
        <f>'Haver Pivoted'!HD31</f>
        <v>2840.1</v>
      </c>
      <c r="T12" s="1311">
        <f>'Haver Pivoted'!HE31</f>
        <v>2882.8</v>
      </c>
      <c r="U12" s="484">
        <f>'Haver Pivoted'!HF31</f>
        <v>2969.5</v>
      </c>
      <c r="V12" s="472">
        <f t="shared" ref="V12:AC12" si="0">SUM(V14:V25)-V24</f>
        <v>3037.7227888150801</v>
      </c>
      <c r="W12" s="472">
        <f t="shared" si="0"/>
        <v>3075.2752868750631</v>
      </c>
      <c r="X12" s="472">
        <f t="shared" si="0"/>
        <v>3102.4223925440601</v>
      </c>
      <c r="Y12" s="472">
        <f t="shared" si="0"/>
        <v>3178.9217694933791</v>
      </c>
      <c r="Z12" s="472">
        <f t="shared" si="0"/>
        <v>3213.1282436279193</v>
      </c>
      <c r="AA12" s="472">
        <f t="shared" si="0"/>
        <v>3246.45870756257</v>
      </c>
      <c r="AB12" s="472">
        <f t="shared" si="0"/>
        <v>3264.0756508607537</v>
      </c>
      <c r="AC12" s="588">
        <f t="shared" si="0"/>
        <v>3313.4644165578798</v>
      </c>
    </row>
    <row r="13" spans="2:29" x14ac:dyDescent="0.35">
      <c r="B13" s="405"/>
      <c r="C13" s="163"/>
      <c r="D13" s="516"/>
      <c r="E13" s="471"/>
      <c r="F13" s="471"/>
      <c r="G13" s="471"/>
      <c r="H13" s="471"/>
      <c r="I13" s="471"/>
      <c r="J13" s="471"/>
      <c r="K13" s="471"/>
      <c r="L13" s="471"/>
      <c r="M13" s="471"/>
      <c r="N13" s="471"/>
      <c r="O13" s="471"/>
      <c r="P13" s="163"/>
      <c r="Q13" s="159"/>
      <c r="R13" s="159"/>
      <c r="S13" s="159"/>
      <c r="T13" s="1208"/>
      <c r="U13" s="1266"/>
      <c r="V13" s="243"/>
      <c r="W13" s="243"/>
      <c r="X13" s="243"/>
      <c r="Y13" s="243"/>
      <c r="Z13" s="243"/>
      <c r="AA13" s="243"/>
      <c r="AB13" s="243"/>
      <c r="AC13" s="241"/>
    </row>
    <row r="14" spans="2:29" ht="35.9" customHeight="1" x14ac:dyDescent="0.35">
      <c r="B14" s="153" t="s">
        <v>470</v>
      </c>
      <c r="C14" s="163"/>
      <c r="D14" s="516">
        <f>'Unemployment Insurance'!D20+'Unemployment Insurance'!D19</f>
        <v>27.8</v>
      </c>
      <c r="E14" s="471">
        <f>'Unemployment Insurance'!E20+'Unemployment Insurance'!E19</f>
        <v>29.4</v>
      </c>
      <c r="F14" s="471">
        <f>'Unemployment Insurance'!F20+'Unemployment Insurance'!F19</f>
        <v>26.9</v>
      </c>
      <c r="G14" s="471">
        <f>'Unemployment Insurance'!G20+'Unemployment Insurance'!G19</f>
        <v>26.4</v>
      </c>
      <c r="H14" s="471">
        <f>'Unemployment Insurance'!H20+'Unemployment Insurance'!H19</f>
        <v>27.7</v>
      </c>
      <c r="I14" s="471">
        <f>'Unemployment Insurance'!I20+'Unemployment Insurance'!I19</f>
        <v>40.700000000000003</v>
      </c>
      <c r="J14" s="471">
        <f>'Unemployment Insurance'!J20+'Unemployment Insurance'!J19</f>
        <v>1007.5</v>
      </c>
      <c r="K14" s="471">
        <f>'Unemployment Insurance'!K20+'Unemployment Insurance'!K19</f>
        <v>792.89999999999986</v>
      </c>
      <c r="L14" s="471">
        <f>'Unemployment Insurance'!L20+'Unemployment Insurance'!L19</f>
        <v>308.5</v>
      </c>
      <c r="M14" s="471">
        <f>'Unemployment Insurance'!M20+'Unemployment Insurance'!M19</f>
        <v>556.20000000000005</v>
      </c>
      <c r="N14" s="471">
        <f>'Unemployment Insurance'!N20+'Unemployment Insurance'!N19</f>
        <v>448.6</v>
      </c>
      <c r="O14" s="471">
        <f>'Unemployment Insurance'!O20+'Unemployment Insurance'!O19</f>
        <v>245.1</v>
      </c>
      <c r="P14" s="471">
        <f>'Unemployment Insurance'!P20+'Unemployment Insurance'!P19</f>
        <v>33.799999999999997</v>
      </c>
      <c r="Q14" s="471">
        <f>'Unemployment Insurance'!Q20+'Unemployment Insurance'!Q19</f>
        <v>23.6</v>
      </c>
      <c r="R14" s="471">
        <f>'Unemployment Insurance'!R20+'Unemployment Insurance'!R19</f>
        <v>18.600000000000001</v>
      </c>
      <c r="S14" s="471">
        <f>'Unemployment Insurance'!S20+'Unemployment Insurance'!S19</f>
        <v>18.5</v>
      </c>
      <c r="T14" s="1319">
        <f>'Unemployment Insurance'!T20+'Unemployment Insurance'!T19</f>
        <v>20.399999999999999</v>
      </c>
      <c r="U14" s="1324">
        <f>'Unemployment Insurance'!U20+'Unemployment Insurance'!U19</f>
        <v>22.8</v>
      </c>
      <c r="V14" s="472">
        <f>'Unemployment Insurance'!V20+'Unemployment Insurance'!V19</f>
        <v>23.451428571428572</v>
      </c>
      <c r="W14" s="472">
        <f>'Unemployment Insurance'!W20+'Unemployment Insurance'!W19</f>
        <v>26.702057142857143</v>
      </c>
      <c r="X14" s="472">
        <f>'Unemployment Insurance'!X20+'Unemployment Insurance'!X19</f>
        <v>29.959199999999999</v>
      </c>
      <c r="Y14" s="472">
        <f>'Unemployment Insurance'!Y20+'Unemployment Insurance'!Y19</f>
        <v>31.913485714285713</v>
      </c>
      <c r="Z14" s="472">
        <f>'Unemployment Insurance'!Z20+'Unemployment Insurance'!Z19</f>
        <v>33.314057142857138</v>
      </c>
      <c r="AA14" s="472">
        <f>'Unemployment Insurance'!AA20+'Unemployment Insurance'!AA19</f>
        <v>33.216342857142855</v>
      </c>
      <c r="AB14" s="472">
        <f>'Unemployment Insurance'!AB20+'Unemployment Insurance'!AB19</f>
        <v>32.200114285714285</v>
      </c>
      <c r="AC14" s="588">
        <f>'Unemployment Insurance'!AC20+'Unemployment Insurance'!AC19</f>
        <v>31.652914285714289</v>
      </c>
    </row>
    <row r="15" spans="2:29" ht="17.899999999999999" customHeight="1" x14ac:dyDescent="0.35">
      <c r="B15" s="153" t="s">
        <v>55</v>
      </c>
      <c r="C15" s="163"/>
      <c r="D15" s="516">
        <f>Medicare!D10</f>
        <v>755.3</v>
      </c>
      <c r="E15" s="471">
        <f>Medicare!E10</f>
        <v>772.6</v>
      </c>
      <c r="F15" s="471">
        <f>Medicare!F10</f>
        <v>785.8</v>
      </c>
      <c r="G15" s="471">
        <f>Medicare!G10</f>
        <v>793.7</v>
      </c>
      <c r="H15" s="471">
        <f>Medicare!H10</f>
        <v>796.3</v>
      </c>
      <c r="I15" s="471">
        <f>Medicare!I10</f>
        <v>795.3</v>
      </c>
      <c r="J15" s="471">
        <f>Medicare!J10</f>
        <v>808</v>
      </c>
      <c r="K15" s="471">
        <f>Medicare!K10</f>
        <v>822.1</v>
      </c>
      <c r="L15" s="471">
        <f>Medicare!L10</f>
        <v>837.5</v>
      </c>
      <c r="M15" s="471">
        <f>Medicare!M10</f>
        <v>857.6</v>
      </c>
      <c r="N15" s="471">
        <f>Medicare!N10</f>
        <v>875.4</v>
      </c>
      <c r="O15" s="471">
        <f>Medicare!O10</f>
        <v>889.5</v>
      </c>
      <c r="P15" s="471">
        <f>Medicare!P10</f>
        <v>900</v>
      </c>
      <c r="Q15" s="471">
        <f>Medicare!Q10</f>
        <v>908</v>
      </c>
      <c r="R15" s="471">
        <f>Medicare!R10</f>
        <v>911.8</v>
      </c>
      <c r="S15" s="471">
        <f>Medicare!S10</f>
        <v>920.3</v>
      </c>
      <c r="T15" s="1319">
        <f>Medicare!T10</f>
        <v>941.6</v>
      </c>
      <c r="U15" s="1324">
        <f>Medicare!U10</f>
        <v>966.5</v>
      </c>
      <c r="V15" s="472">
        <f>Medicare!V10</f>
        <v>993.07136024365218</v>
      </c>
      <c r="W15" s="472">
        <f>Medicare!W10</f>
        <v>1020.3732297322065</v>
      </c>
      <c r="X15" s="472">
        <f>Medicare!X10</f>
        <v>1044.97819254406</v>
      </c>
      <c r="Y15" s="472">
        <f>Medicare!Y10</f>
        <v>1070.1764717790929</v>
      </c>
      <c r="Z15" s="472">
        <f>Medicare!Z10</f>
        <v>1095.9823744850623</v>
      </c>
      <c r="AA15" s="472">
        <f>Medicare!AA10</f>
        <v>1122.4105527054271</v>
      </c>
      <c r="AB15" s="472">
        <f>Medicare!AB10</f>
        <v>1135.7427245750396</v>
      </c>
      <c r="AC15" s="588">
        <f>Medicare!AC10</f>
        <v>1149.2332581121652</v>
      </c>
    </row>
    <row r="16" spans="2:29" ht="18" customHeight="1" x14ac:dyDescent="0.35">
      <c r="B16" s="405" t="s">
        <v>471</v>
      </c>
      <c r="C16" s="163"/>
      <c r="D16" s="196"/>
      <c r="E16" s="159"/>
      <c r="F16" s="159"/>
      <c r="G16" s="159"/>
      <c r="H16" s="471">
        <f>'Rebate Checks (expired)'!H10 +'Rebate Checks (expired)'!H11</f>
        <v>0</v>
      </c>
      <c r="I16" s="471">
        <f>'Rebate Checks (expired)'!I10 +'Rebate Checks (expired)'!I11</f>
        <v>0</v>
      </c>
      <c r="J16" s="471">
        <f>'Rebate Checks (expired)'!J10 +'Rebate Checks (expired)'!J11</f>
        <v>1078.0999999999999</v>
      </c>
      <c r="K16" s="471">
        <f>'Rebate Checks (expired)'!K10 +'Rebate Checks (expired)'!K11</f>
        <v>15.6</v>
      </c>
      <c r="L16" s="471">
        <f>'Rebate Checks (expired)'!L10 +'Rebate Checks (expired)'!L11</f>
        <v>5</v>
      </c>
      <c r="M16" s="471">
        <f>'Rebate Checks (expired)'!M10 +'Rebate Checks (expired)'!M11</f>
        <v>1933.6999999999998</v>
      </c>
      <c r="N16" s="471">
        <f>'Rebate Checks (expired)'!N10 +'Rebate Checks (expired)'!N11</f>
        <v>290.10000000000002</v>
      </c>
      <c r="O16" s="471">
        <f>'Rebate Checks (expired)'!O10 +'Rebate Checks (expired)'!O11</f>
        <v>38.9</v>
      </c>
      <c r="P16" s="471">
        <f>'Rebate Checks (expired)'!P10 +'Rebate Checks (expired)'!P11</f>
        <v>14.2</v>
      </c>
      <c r="Q16" s="471">
        <f>'Rebate Checks (expired)'!Q10 +'Rebate Checks (expired)'!Q11</f>
        <v>0</v>
      </c>
      <c r="R16" s="471">
        <f>'Rebate Checks (expired)'!Q10 +'Rebate Checks (expired)'!R11</f>
        <v>0</v>
      </c>
      <c r="S16" s="471">
        <f>'Rebate Checks (expired)'!S10 +'Rebate Checks (expired)'!S11</f>
        <v>0</v>
      </c>
      <c r="T16" s="1319">
        <f>'Rebate Checks (expired)'!T10 +'Rebate Checks (expired)'!T11</f>
        <v>0</v>
      </c>
      <c r="U16" s="1324">
        <f>'Rebate Checks (expired)'!U10 +'Rebate Checks (expired)'!U11</f>
        <v>0</v>
      </c>
      <c r="V16" s="472">
        <f>'Rebate Checks (expired)'!V10 +'Rebate Checks (expired)'!V11</f>
        <v>0</v>
      </c>
      <c r="W16" s="472">
        <f>'Rebate Checks (expired)'!W10 +'Rebate Checks (expired)'!W11</f>
        <v>0</v>
      </c>
      <c r="X16" s="472">
        <f>'Rebate Checks (expired)'!X10 +'Rebate Checks (expired)'!X11</f>
        <v>0</v>
      </c>
      <c r="Y16" s="472">
        <f>'Rebate Checks (expired)'!Y10 +'Rebate Checks (expired)'!Y11</f>
        <v>0</v>
      </c>
      <c r="Z16" s="472">
        <f>'Rebate Checks (expired)'!Z10 +'Rebate Checks (expired)'!Z11</f>
        <v>0</v>
      </c>
      <c r="AA16" s="472">
        <f>'Rebate Checks (expired)'!AA10 +'Rebate Checks (expired)'!AA11</f>
        <v>0</v>
      </c>
      <c r="AB16" s="472">
        <f>'Rebate Checks (expired)'!AB10 +'Rebate Checks (expired)'!AB11</f>
        <v>0</v>
      </c>
      <c r="AC16" s="588">
        <f>'Rebate Checks (expired)'!AC10 +'Rebate Checks (expired)'!AC11</f>
        <v>0</v>
      </c>
    </row>
    <row r="17" spans="2:101" ht="20.149999999999999" customHeight="1" x14ac:dyDescent="0.35">
      <c r="B17" s="187" t="s">
        <v>474</v>
      </c>
      <c r="C17" s="177"/>
      <c r="D17" s="601"/>
      <c r="E17" s="561"/>
      <c r="F17" s="561"/>
      <c r="G17" s="561"/>
      <c r="H17" s="489"/>
      <c r="I17" s="489"/>
      <c r="J17" s="489"/>
      <c r="K17" s="489"/>
      <c r="L17" s="489"/>
      <c r="M17" s="489">
        <f>'ARP Quarterly'!C5</f>
        <v>0</v>
      </c>
      <c r="N17" s="489">
        <f>'ARP Quarterly'!D5</f>
        <v>33.921840000000024</v>
      </c>
      <c r="O17" s="489">
        <f>'ARP Quarterly'!E5</f>
        <v>44.966160000000031</v>
      </c>
      <c r="P17" s="489">
        <f>'ARP Quarterly'!F5</f>
        <v>52.756999999999998</v>
      </c>
      <c r="Q17" s="489">
        <f>'ARP Quarterly'!G5</f>
        <v>52.756999999999998</v>
      </c>
      <c r="R17" s="489">
        <f>'ARP Quarterly'!H5</f>
        <v>52.756999999999998</v>
      </c>
      <c r="S17" s="489">
        <f>'ARP Quarterly'!I5</f>
        <v>52.756999999999998</v>
      </c>
      <c r="T17" s="1314">
        <v>30</v>
      </c>
      <c r="U17" s="1325">
        <f>'ARP Quarterly'!K5</f>
        <v>12</v>
      </c>
      <c r="V17" s="495">
        <f>'ARP Quarterly'!L5</f>
        <v>12</v>
      </c>
      <c r="W17" s="495">
        <f>'ARP Quarterly'!M5</f>
        <v>12</v>
      </c>
      <c r="X17" s="495">
        <f>'ARP Quarterly'!N5</f>
        <v>4.2219999999999995</v>
      </c>
      <c r="Y17" s="495">
        <f>'ARP Quarterly'!O5</f>
        <v>4.2219999999999995</v>
      </c>
      <c r="Z17" s="495">
        <f>'ARP Quarterly'!P5</f>
        <v>4.2219999999999995</v>
      </c>
      <c r="AA17" s="495">
        <f>'ARP Quarterly'!Q5</f>
        <v>4.2219999999999995</v>
      </c>
      <c r="AB17" s="495">
        <f>'ARP Quarterly'!R5</f>
        <v>2.3719999999999999</v>
      </c>
      <c r="AC17" s="606">
        <f>'ARP Quarterly'!S5</f>
        <v>2.3719999999999999</v>
      </c>
    </row>
    <row r="18" spans="2:101" ht="22.4" customHeight="1" x14ac:dyDescent="0.35">
      <c r="B18" s="153" t="s">
        <v>218</v>
      </c>
      <c r="C18" s="613"/>
      <c r="D18" s="195"/>
      <c r="E18" s="162"/>
      <c r="F18" s="162"/>
      <c r="G18" s="162"/>
      <c r="H18" s="162"/>
      <c r="I18" s="162"/>
      <c r="J18" s="162"/>
      <c r="K18" s="162"/>
      <c r="L18" s="162"/>
      <c r="M18" s="471">
        <f>'ARP Quarterly'!C4</f>
        <v>0</v>
      </c>
      <c r="N18" s="471">
        <f>'ARP Quarterly'!D4</f>
        <v>0</v>
      </c>
      <c r="O18" s="471">
        <f>'ARP Quarterly'!E4</f>
        <v>3.1040000000000418</v>
      </c>
      <c r="P18" s="471">
        <f>'ARP Quarterly'!F4</f>
        <v>19.719000000000005</v>
      </c>
      <c r="Q18" s="471">
        <f>'ARP Quarterly'!G4</f>
        <v>19.719000000000005</v>
      </c>
      <c r="R18" s="471">
        <f>'ARP Quarterly'!H4</f>
        <v>19.719000000000005</v>
      </c>
      <c r="S18" s="471">
        <f>'ARP Quarterly'!I4</f>
        <v>19.719000000000005</v>
      </c>
      <c r="T18" s="1319">
        <f>'ARP Quarterly'!J4</f>
        <v>1.4159999999999999</v>
      </c>
      <c r="U18" s="1324">
        <f>'ARP Quarterly'!K4</f>
        <v>1.4159999999999999</v>
      </c>
      <c r="V18" s="472">
        <f>'ARP Quarterly'!L4</f>
        <v>1.4159999999999999</v>
      </c>
      <c r="W18" s="472">
        <f>'ARP Quarterly'!M4</f>
        <v>1.4159999999999999</v>
      </c>
      <c r="X18" s="472">
        <f>'ARP Quarterly'!N4</f>
        <v>1.4790000000000001</v>
      </c>
      <c r="Y18" s="472">
        <f>'ARP Quarterly'!O4</f>
        <v>1.4790000000000001</v>
      </c>
      <c r="Z18" s="472">
        <f>'ARP Quarterly'!P4</f>
        <v>1.4790000000000001</v>
      </c>
      <c r="AA18" s="472">
        <f>'ARP Quarterly'!Q4</f>
        <v>1.4790000000000001</v>
      </c>
      <c r="AB18" s="472">
        <f>'ARP Quarterly'!R4</f>
        <v>1.63</v>
      </c>
      <c r="AC18" s="588">
        <f>'ARP Quarterly'!S4</f>
        <v>1.63</v>
      </c>
      <c r="AE18" s="613"/>
      <c r="AF18" s="613"/>
      <c r="AG18" s="613"/>
      <c r="AH18" s="613"/>
      <c r="AI18" s="613"/>
      <c r="AJ18" s="613"/>
      <c r="AK18" s="613"/>
      <c r="AL18" s="613"/>
      <c r="AM18" s="613"/>
      <c r="AN18" s="613"/>
      <c r="AO18" s="613"/>
      <c r="AP18" s="613"/>
      <c r="AQ18" s="613"/>
      <c r="AR18" s="613"/>
      <c r="AS18" s="613"/>
      <c r="AT18" s="613"/>
      <c r="AU18" s="613"/>
      <c r="AV18" s="613"/>
      <c r="AW18" s="613"/>
      <c r="AX18" s="613"/>
      <c r="AY18" s="613"/>
      <c r="AZ18" s="613"/>
      <c r="BA18" s="613"/>
      <c r="BB18" s="613"/>
      <c r="BC18" s="613"/>
      <c r="BD18" s="613"/>
      <c r="BE18" s="613"/>
      <c r="BF18" s="613"/>
      <c r="BG18" s="613"/>
      <c r="BH18" s="613"/>
      <c r="BI18" s="613"/>
      <c r="BJ18" s="613"/>
      <c r="BK18" s="613"/>
      <c r="BL18" s="613"/>
      <c r="BM18" s="613"/>
      <c r="BN18" s="613"/>
      <c r="BO18" s="613"/>
      <c r="BP18" s="613"/>
      <c r="BQ18" s="613"/>
      <c r="BR18" s="613"/>
      <c r="BS18" s="613"/>
      <c r="BT18" s="613"/>
      <c r="BU18" s="613"/>
      <c r="BV18" s="613"/>
      <c r="BW18" s="613"/>
      <c r="BX18" s="613"/>
      <c r="BY18" s="613"/>
      <c r="BZ18" s="613"/>
      <c r="CA18" s="613"/>
      <c r="CB18" s="613"/>
      <c r="CC18" s="613"/>
      <c r="CD18" s="613"/>
      <c r="CE18" s="613"/>
      <c r="CF18" s="613"/>
      <c r="CG18" s="613"/>
      <c r="CH18" s="613"/>
      <c r="CI18" s="613"/>
      <c r="CJ18" s="613"/>
      <c r="CK18" s="613"/>
      <c r="CL18" s="613"/>
      <c r="CM18" s="613"/>
      <c r="CN18" s="613"/>
      <c r="CO18" s="613"/>
      <c r="CP18" s="613"/>
      <c r="CQ18" s="613"/>
      <c r="CR18" s="613"/>
      <c r="CS18" s="613"/>
      <c r="CT18" s="613"/>
      <c r="CU18" s="613"/>
      <c r="CV18" s="613"/>
      <c r="CW18" s="613"/>
    </row>
    <row r="19" spans="2:101" ht="19.5" customHeight="1" x14ac:dyDescent="0.35">
      <c r="B19" s="153" t="s">
        <v>49</v>
      </c>
      <c r="C19" s="613"/>
      <c r="D19" s="195">
        <f>'Provider Relief (expired)'!D11</f>
        <v>0</v>
      </c>
      <c r="E19" s="162">
        <f>'Provider Relief (expired)'!E11</f>
        <v>0</v>
      </c>
      <c r="F19" s="162">
        <f>'Provider Relief (expired)'!F11</f>
        <v>0</v>
      </c>
      <c r="G19" s="162">
        <f>'Provider Relief (expired)'!G11</f>
        <v>0</v>
      </c>
      <c r="H19" s="162">
        <f>'Provider Relief (expired)'!H11</f>
        <v>0</v>
      </c>
      <c r="I19" s="162">
        <f>'Provider Relief (expired)'!I11</f>
        <v>0</v>
      </c>
      <c r="J19" s="162">
        <f>'Provider Relief (expired)'!J11</f>
        <v>160.9</v>
      </c>
      <c r="K19" s="162">
        <f>'Provider Relief (expired)'!K11</f>
        <v>58.4</v>
      </c>
      <c r="L19" s="162">
        <f>'Provider Relief (expired)'!L11</f>
        <v>34.5</v>
      </c>
      <c r="M19" s="162">
        <f>'Provider Relief (expired)'!M11</f>
        <v>21.4</v>
      </c>
      <c r="N19" s="162">
        <f>'Provider Relief (expired)'!N11</f>
        <v>13.3</v>
      </c>
      <c r="O19" s="162">
        <f>'Provider Relief (expired)'!O11</f>
        <v>18.7</v>
      </c>
      <c r="P19" s="162">
        <f>'Provider Relief (expired)'!P11</f>
        <v>32.200000000000003</v>
      </c>
      <c r="Q19" s="162">
        <f>'Provider Relief (expired)'!Q11</f>
        <v>26.9</v>
      </c>
      <c r="R19" s="162">
        <f>'Provider Relief (expired)'!R11</f>
        <v>20</v>
      </c>
      <c r="S19" s="162">
        <f>'Provider Relief (expired)'!S11</f>
        <v>8.1</v>
      </c>
      <c r="T19" s="1213">
        <f>'Provider Relief (expired)'!T11</f>
        <v>4.9000000000000004</v>
      </c>
      <c r="U19" s="1326">
        <f>'Provider Relief (expired)'!U11</f>
        <v>0</v>
      </c>
      <c r="V19" s="602">
        <f>'Provider Relief (expired)'!V11</f>
        <v>0</v>
      </c>
      <c r="W19" s="602">
        <f>'Provider Relief (expired)'!W11</f>
        <v>0</v>
      </c>
      <c r="X19" s="602">
        <f>'Provider Relief (expired)'!X11</f>
        <v>0</v>
      </c>
      <c r="Y19" s="602">
        <f>'Provider Relief (expired)'!Y11</f>
        <v>0</v>
      </c>
      <c r="Z19" s="602">
        <f>'Provider Relief (expired)'!Z11</f>
        <v>0</v>
      </c>
      <c r="AA19" s="602">
        <f>'Provider Relief (expired)'!AA11</f>
        <v>0</v>
      </c>
      <c r="AB19" s="602">
        <f>'Provider Relief (expired)'!AB11</f>
        <v>0</v>
      </c>
      <c r="AC19" s="614">
        <f>'Provider Relief (expired)'!AC11</f>
        <v>0</v>
      </c>
      <c r="AE19" s="613"/>
      <c r="AF19" s="613"/>
      <c r="AG19" s="613"/>
      <c r="AH19" s="613"/>
      <c r="AI19" s="613"/>
      <c r="AJ19" s="613"/>
      <c r="AK19" s="613"/>
      <c r="AL19" s="613"/>
      <c r="AM19" s="613"/>
      <c r="AN19" s="613"/>
      <c r="AO19" s="613"/>
      <c r="AP19" s="613"/>
      <c r="AQ19" s="613"/>
      <c r="AR19" s="613"/>
      <c r="AS19" s="613"/>
      <c r="AT19" s="613"/>
      <c r="AU19" s="613"/>
      <c r="AV19" s="613"/>
      <c r="AW19" s="613"/>
      <c r="AX19" s="613"/>
      <c r="AY19" s="613"/>
      <c r="AZ19" s="613"/>
      <c r="BA19" s="613"/>
      <c r="BB19" s="613"/>
      <c r="BC19" s="613"/>
      <c r="BD19" s="613"/>
      <c r="BE19" s="613"/>
      <c r="BF19" s="613"/>
      <c r="BG19" s="613"/>
      <c r="BH19" s="613"/>
      <c r="BI19" s="613"/>
      <c r="BJ19" s="613"/>
      <c r="BK19" s="613"/>
      <c r="BL19" s="613"/>
      <c r="BM19" s="613"/>
      <c r="BN19" s="613"/>
      <c r="BO19" s="613"/>
      <c r="BP19" s="613"/>
      <c r="BQ19" s="613"/>
      <c r="BR19" s="613"/>
      <c r="BS19" s="613"/>
      <c r="BT19" s="613"/>
      <c r="BU19" s="613"/>
      <c r="BV19" s="613"/>
      <c r="BW19" s="613"/>
      <c r="BX19" s="613"/>
      <c r="BY19" s="613"/>
      <c r="BZ19" s="613"/>
      <c r="CA19" s="613"/>
      <c r="CB19" s="613"/>
      <c r="CC19" s="613"/>
      <c r="CD19" s="613"/>
      <c r="CE19" s="613"/>
      <c r="CF19" s="613"/>
      <c r="CG19" s="613"/>
      <c r="CH19" s="613"/>
      <c r="CI19" s="613"/>
      <c r="CJ19" s="613"/>
      <c r="CK19" s="613"/>
      <c r="CL19" s="613"/>
      <c r="CM19" s="613"/>
      <c r="CN19" s="613"/>
      <c r="CO19" s="613"/>
      <c r="CP19" s="613"/>
      <c r="CQ19" s="613"/>
      <c r="CR19" s="613"/>
      <c r="CS19" s="613"/>
      <c r="CT19" s="613"/>
      <c r="CU19" s="613"/>
      <c r="CV19" s="613"/>
      <c r="CW19" s="613"/>
    </row>
    <row r="20" spans="2:101" ht="36.65" customHeight="1" x14ac:dyDescent="0.35">
      <c r="B20" s="153" t="s">
        <v>1445</v>
      </c>
      <c r="C20" s="163"/>
      <c r="D20" s="196">
        <f>D70</f>
        <v>0</v>
      </c>
      <c r="E20" s="159">
        <f t="shared" ref="E20:AC20" si="1">E70</f>
        <v>0</v>
      </c>
      <c r="F20" s="159">
        <f t="shared" si="1"/>
        <v>0</v>
      </c>
      <c r="G20" s="159">
        <f t="shared" si="1"/>
        <v>0</v>
      </c>
      <c r="H20" s="159">
        <f t="shared" si="1"/>
        <v>0</v>
      </c>
      <c r="I20" s="471">
        <f t="shared" si="1"/>
        <v>5.0234999999999914</v>
      </c>
      <c r="J20" s="471">
        <f t="shared" si="1"/>
        <v>45.406499999999987</v>
      </c>
      <c r="K20" s="471">
        <f t="shared" si="1"/>
        <v>50.178499999999993</v>
      </c>
      <c r="L20" s="471">
        <f t="shared" si="1"/>
        <v>60.014499999999991</v>
      </c>
      <c r="M20" s="471">
        <f t="shared" si="1"/>
        <v>86.04249999999999</v>
      </c>
      <c r="N20" s="471">
        <f t="shared" si="1"/>
        <v>100.69149999999999</v>
      </c>
      <c r="O20" s="471">
        <f t="shared" si="1"/>
        <v>95.460499999999996</v>
      </c>
      <c r="P20" s="471">
        <f t="shared" si="1"/>
        <v>100.72550000000001</v>
      </c>
      <c r="Q20" s="471">
        <f t="shared" si="1"/>
        <v>80.643499999999989</v>
      </c>
      <c r="R20" s="471">
        <f t="shared" si="1"/>
        <v>63.702499999999993</v>
      </c>
      <c r="S20" s="471">
        <f t="shared" si="1"/>
        <v>56.879499999999986</v>
      </c>
      <c r="T20" s="1319">
        <f t="shared" si="1"/>
        <v>71.822499999999991</v>
      </c>
      <c r="U20" s="1324">
        <f t="shared" si="1"/>
        <v>66.956500000000005</v>
      </c>
      <c r="V20" s="472">
        <f t="shared" si="1"/>
        <v>66.956500000000005</v>
      </c>
      <c r="W20" s="472">
        <f t="shared" si="1"/>
        <v>66.956500000000005</v>
      </c>
      <c r="X20" s="472">
        <f t="shared" si="1"/>
        <v>66.956500000000005</v>
      </c>
      <c r="Y20" s="472">
        <f t="shared" si="1"/>
        <v>66.956500000000005</v>
      </c>
      <c r="Z20" s="472">
        <f t="shared" si="1"/>
        <v>66.956500000000005</v>
      </c>
      <c r="AA20" s="472">
        <f t="shared" si="1"/>
        <v>66.956500000000005</v>
      </c>
      <c r="AB20" s="472">
        <f t="shared" si="1"/>
        <v>66.956500000000005</v>
      </c>
      <c r="AC20" s="588">
        <f t="shared" si="1"/>
        <v>66.956500000000005</v>
      </c>
      <c r="AE20" s="163"/>
      <c r="AF20" s="163"/>
      <c r="AG20" s="163"/>
      <c r="AH20" s="163"/>
      <c r="AI20" s="163"/>
      <c r="AJ20" s="163"/>
      <c r="AK20" s="163"/>
      <c r="AL20" s="163"/>
      <c r="AM20" s="163"/>
      <c r="AN20" s="163"/>
      <c r="AO20" s="163"/>
      <c r="AP20" s="163"/>
      <c r="AQ20" s="163"/>
      <c r="AR20" s="163"/>
      <c r="AS20" s="163"/>
      <c r="AT20" s="163"/>
      <c r="AU20" s="163"/>
      <c r="AV20" s="163"/>
      <c r="AW20" s="163"/>
      <c r="AX20" s="163"/>
      <c r="AY20" s="163"/>
      <c r="AZ20" s="163"/>
      <c r="BA20" s="163"/>
      <c r="BB20" s="163"/>
      <c r="BC20" s="163"/>
      <c r="BD20" s="163"/>
      <c r="BE20" s="163"/>
      <c r="BF20" s="163"/>
      <c r="BG20" s="163"/>
      <c r="BH20" s="163"/>
      <c r="BI20" s="163"/>
      <c r="BJ20" s="163"/>
      <c r="BK20" s="163"/>
      <c r="BL20" s="163"/>
      <c r="BM20" s="163"/>
      <c r="BN20" s="163"/>
      <c r="BO20" s="163"/>
      <c r="BP20" s="163"/>
      <c r="BQ20" s="163"/>
      <c r="BR20" s="163"/>
      <c r="BS20" s="163"/>
      <c r="BT20" s="163"/>
      <c r="BU20" s="163"/>
      <c r="BV20" s="163"/>
      <c r="BW20" s="163"/>
      <c r="BX20" s="163"/>
      <c r="BY20" s="163"/>
      <c r="BZ20" s="163"/>
      <c r="CA20" s="163"/>
      <c r="CB20" s="163"/>
      <c r="CC20" s="163"/>
      <c r="CD20" s="163"/>
      <c r="CE20" s="163"/>
      <c r="CF20" s="163"/>
      <c r="CG20" s="163"/>
      <c r="CH20" s="163"/>
      <c r="CI20" s="163"/>
      <c r="CJ20" s="163"/>
      <c r="CK20" s="163"/>
      <c r="CL20" s="163"/>
      <c r="CM20" s="163"/>
      <c r="CN20" s="163"/>
      <c r="CO20" s="163"/>
      <c r="CP20" s="163"/>
      <c r="CQ20" s="163"/>
      <c r="CR20" s="163"/>
      <c r="CS20" s="163"/>
      <c r="CT20" s="163"/>
      <c r="CU20" s="163"/>
      <c r="CV20" s="163"/>
    </row>
    <row r="21" spans="2:101" ht="15.65" customHeight="1" x14ac:dyDescent="0.35">
      <c r="B21" s="153" t="s">
        <v>803</v>
      </c>
      <c r="C21" s="163" t="s">
        <v>831</v>
      </c>
      <c r="D21" s="195">
        <v>30</v>
      </c>
      <c r="E21" s="162">
        <v>30</v>
      </c>
      <c r="F21" s="162">
        <v>30</v>
      </c>
      <c r="G21" s="162">
        <v>30</v>
      </c>
      <c r="H21" s="162">
        <v>30</v>
      </c>
      <c r="I21" s="162">
        <v>30</v>
      </c>
      <c r="J21" s="162">
        <v>30</v>
      </c>
      <c r="K21" s="161">
        <v>30.2</v>
      </c>
      <c r="L21" s="161">
        <v>30.2</v>
      </c>
      <c r="M21" s="161">
        <f>'Haver Pivoted'!GX89</f>
        <v>34.4</v>
      </c>
      <c r="N21" s="161">
        <f>'Haver Pivoted'!GY89</f>
        <v>34.4</v>
      </c>
      <c r="O21" s="161">
        <f>'Haver Pivoted'!GZ89</f>
        <v>218.933333333333</v>
      </c>
      <c r="P21" s="161">
        <f>'Haver Pivoted'!HA89</f>
        <v>223.13333333333301</v>
      </c>
      <c r="Q21" s="161">
        <f>'Haver Pivoted'!HB89</f>
        <v>94.3</v>
      </c>
      <c r="R21" s="161">
        <f>'Haver Pivoted'!HC89</f>
        <v>94.3</v>
      </c>
      <c r="S21" s="592">
        <f>'Haver Pivoted'!HD89</f>
        <v>94.3</v>
      </c>
      <c r="T21" s="1237">
        <f>'Haver Pivoted'!HE89</f>
        <v>94.3</v>
      </c>
      <c r="U21" s="1117">
        <f>'Haver Pivoted'!HF89</f>
        <v>0</v>
      </c>
      <c r="V21" s="472">
        <v>34</v>
      </c>
      <c r="W21" s="472">
        <v>34</v>
      </c>
      <c r="X21" s="472">
        <v>34</v>
      </c>
      <c r="Y21" s="472">
        <v>34</v>
      </c>
      <c r="Z21" s="472">
        <v>34</v>
      </c>
      <c r="AA21" s="472">
        <v>34</v>
      </c>
      <c r="AB21" s="472">
        <v>34</v>
      </c>
      <c r="AC21" s="588">
        <v>34</v>
      </c>
    </row>
    <row r="22" spans="2:101" ht="21.65" customHeight="1" x14ac:dyDescent="0.35">
      <c r="B22" s="153" t="s">
        <v>472</v>
      </c>
      <c r="C22" s="163"/>
      <c r="D22" s="196"/>
      <c r="E22" s="159"/>
      <c r="F22" s="159"/>
      <c r="G22" s="159"/>
      <c r="H22" s="471"/>
      <c r="I22" s="471"/>
      <c r="J22" s="471">
        <f>'PPP (expired)'!J53</f>
        <v>57.2</v>
      </c>
      <c r="K22" s="471">
        <f>'PPP (expired)'!K53</f>
        <v>81.2</v>
      </c>
      <c r="L22" s="471">
        <f>'PPP (expired)'!L53</f>
        <v>24.4</v>
      </c>
      <c r="M22" s="471">
        <f>'PPP (expired)'!M53</f>
        <v>11.7</v>
      </c>
      <c r="N22" s="471">
        <f>'PPP (expired)'!N53</f>
        <v>28.5</v>
      </c>
      <c r="O22" s="471">
        <f>'PPP (expired)'!O53</f>
        <v>18.8</v>
      </c>
      <c r="P22" s="471">
        <f>'PPP (expired)'!P53</f>
        <v>1.6</v>
      </c>
      <c r="Q22" s="471">
        <f>'PPP (expired)'!Q53</f>
        <v>0</v>
      </c>
      <c r="R22" s="471">
        <f>'PPP (expired)'!Q61</f>
        <v>0</v>
      </c>
      <c r="S22" s="471">
        <f>'PPP (expired)'!S53</f>
        <v>0</v>
      </c>
      <c r="T22" s="1319">
        <f>'PPP (expired)'!T53</f>
        <v>0</v>
      </c>
      <c r="U22" s="1324">
        <f>'PPP (expired)'!U53</f>
        <v>0</v>
      </c>
      <c r="V22" s="472">
        <f>'PPP (expired)'!V53</f>
        <v>0</v>
      </c>
      <c r="W22" s="472">
        <f>'PPP (expired)'!W53</f>
        <v>0</v>
      </c>
      <c r="X22" s="472">
        <f>'PPP (expired)'!X53</f>
        <v>0</v>
      </c>
      <c r="Y22" s="472">
        <f>'PPP (expired)'!Y53</f>
        <v>0</v>
      </c>
      <c r="Z22" s="472">
        <f>'PPP (expired)'!Z53</f>
        <v>0</v>
      </c>
      <c r="AA22" s="472">
        <f>'PPP (expired)'!AA53</f>
        <v>0</v>
      </c>
      <c r="AB22" s="472">
        <f>'PPP (expired)'!AB53</f>
        <v>0</v>
      </c>
      <c r="AC22" s="588">
        <f>'PPP (expired)'!AC53</f>
        <v>0</v>
      </c>
    </row>
    <row r="23" spans="2:101" ht="21.65" customHeight="1" x14ac:dyDescent="0.35">
      <c r="B23" s="405" t="s">
        <v>804</v>
      </c>
      <c r="C23" s="163"/>
      <c r="D23" s="516">
        <f t="shared" ref="D23:AC23" si="2">D92</f>
        <v>0</v>
      </c>
      <c r="E23" s="471">
        <f t="shared" si="2"/>
        <v>0</v>
      </c>
      <c r="F23" s="471">
        <f t="shared" si="2"/>
        <v>0</v>
      </c>
      <c r="G23" s="471">
        <f t="shared" si="2"/>
        <v>0</v>
      </c>
      <c r="H23" s="471">
        <f t="shared" si="2"/>
        <v>0</v>
      </c>
      <c r="I23" s="471">
        <f t="shared" si="2"/>
        <v>-5.0235000000002401</v>
      </c>
      <c r="J23" s="471">
        <f t="shared" si="2"/>
        <v>-36.906500000000278</v>
      </c>
      <c r="K23" s="471">
        <f t="shared" si="2"/>
        <v>86.321499999999787</v>
      </c>
      <c r="L23" s="471">
        <f t="shared" si="2"/>
        <v>18.985499999999547</v>
      </c>
      <c r="M23" s="471">
        <f t="shared" si="2"/>
        <v>6.8144999999999527</v>
      </c>
      <c r="N23" s="471">
        <f t="shared" si="2"/>
        <v>-23.256340000000137</v>
      </c>
      <c r="O23" s="471">
        <f t="shared" si="2"/>
        <v>-28.106993333332866</v>
      </c>
      <c r="P23" s="471">
        <f t="shared" si="2"/>
        <v>-48.677833333332956</v>
      </c>
      <c r="Q23" s="471">
        <f t="shared" si="2"/>
        <v>-29.785220000000209</v>
      </c>
      <c r="R23" s="471">
        <f t="shared" si="2"/>
        <v>-28.244220000000269</v>
      </c>
      <c r="S23" s="471">
        <f t="shared" si="2"/>
        <v>-31.321220000000267</v>
      </c>
      <c r="T23" s="1319">
        <f t="shared" si="2"/>
        <v>10.495779999999968</v>
      </c>
      <c r="U23" s="1555">
        <f t="shared" si="2"/>
        <v>78.331099999999651</v>
      </c>
      <c r="V23" s="472">
        <f t="shared" si="2"/>
        <v>78.331099999999651</v>
      </c>
      <c r="W23" s="472">
        <f t="shared" si="2"/>
        <v>78.331099999999651</v>
      </c>
      <c r="X23" s="472">
        <f t="shared" si="2"/>
        <v>78.331099999999651</v>
      </c>
      <c r="Y23" s="472">
        <f t="shared" si="2"/>
        <v>78.331099999999651</v>
      </c>
      <c r="Z23" s="472">
        <f t="shared" si="2"/>
        <v>78.331099999999651</v>
      </c>
      <c r="AA23" s="472">
        <f t="shared" si="2"/>
        <v>78.331099999999651</v>
      </c>
      <c r="AB23" s="472">
        <f t="shared" si="2"/>
        <v>78.331099999999651</v>
      </c>
      <c r="AC23" s="588">
        <f t="shared" si="2"/>
        <v>78.331099999999651</v>
      </c>
    </row>
    <row r="24" spans="2:101" ht="21" customHeight="1" x14ac:dyDescent="0.35">
      <c r="B24" s="187" t="s">
        <v>801</v>
      </c>
      <c r="C24" s="177"/>
      <c r="D24" s="601">
        <f t="shared" ref="D24:AC24" si="3">D18+D19</f>
        <v>0</v>
      </c>
      <c r="E24" s="561">
        <f t="shared" si="3"/>
        <v>0</v>
      </c>
      <c r="F24" s="561">
        <f t="shared" si="3"/>
        <v>0</v>
      </c>
      <c r="G24" s="561">
        <f t="shared" si="3"/>
        <v>0</v>
      </c>
      <c r="H24" s="561">
        <f t="shared" si="3"/>
        <v>0</v>
      </c>
      <c r="I24" s="561">
        <f t="shared" si="3"/>
        <v>0</v>
      </c>
      <c r="J24" s="561">
        <f t="shared" si="3"/>
        <v>160.9</v>
      </c>
      <c r="K24" s="561">
        <f t="shared" si="3"/>
        <v>58.4</v>
      </c>
      <c r="L24" s="561">
        <f t="shared" si="3"/>
        <v>34.5</v>
      </c>
      <c r="M24" s="561">
        <f t="shared" si="3"/>
        <v>21.4</v>
      </c>
      <c r="N24" s="561">
        <f t="shared" si="3"/>
        <v>13.3</v>
      </c>
      <c r="O24" s="561">
        <f t="shared" si="3"/>
        <v>21.804000000000041</v>
      </c>
      <c r="P24" s="489">
        <f>P18+P19</f>
        <v>51.919000000000011</v>
      </c>
      <c r="Q24" s="561">
        <f t="shared" si="3"/>
        <v>46.619</v>
      </c>
      <c r="R24" s="561">
        <f t="shared" si="3"/>
        <v>39.719000000000008</v>
      </c>
      <c r="S24" s="561">
        <f t="shared" si="3"/>
        <v>27.819000000000003</v>
      </c>
      <c r="T24" s="1320">
        <f t="shared" si="3"/>
        <v>6.3160000000000007</v>
      </c>
      <c r="U24" s="1327">
        <f t="shared" si="3"/>
        <v>1.4159999999999999</v>
      </c>
      <c r="V24" s="589">
        <f t="shared" si="3"/>
        <v>1.4159999999999999</v>
      </c>
      <c r="W24" s="589">
        <f t="shared" si="3"/>
        <v>1.4159999999999999</v>
      </c>
      <c r="X24" s="589">
        <f t="shared" si="3"/>
        <v>1.4790000000000001</v>
      </c>
      <c r="Y24" s="589">
        <f t="shared" si="3"/>
        <v>1.4790000000000001</v>
      </c>
      <c r="Z24" s="589">
        <f t="shared" si="3"/>
        <v>1.4790000000000001</v>
      </c>
      <c r="AA24" s="589">
        <f t="shared" si="3"/>
        <v>1.4790000000000001</v>
      </c>
      <c r="AB24" s="589">
        <f t="shared" si="3"/>
        <v>1.63</v>
      </c>
      <c r="AC24" s="590">
        <f t="shared" si="3"/>
        <v>1.63</v>
      </c>
    </row>
    <row r="25" spans="2:101" ht="44.9" customHeight="1" x14ac:dyDescent="0.35">
      <c r="B25" s="153" t="s">
        <v>809</v>
      </c>
      <c r="C25" s="163"/>
      <c r="D25" s="516">
        <f t="shared" ref="D25:AC25" si="4">D84</f>
        <v>1411.2</v>
      </c>
      <c r="E25" s="471">
        <f t="shared" si="4"/>
        <v>1471.4</v>
      </c>
      <c r="F25" s="471">
        <f t="shared" si="4"/>
        <v>1476.7</v>
      </c>
      <c r="G25" s="471">
        <f t="shared" si="4"/>
        <v>1483.7</v>
      </c>
      <c r="H25" s="471">
        <f t="shared" si="4"/>
        <v>1492.4000000000003</v>
      </c>
      <c r="I25" s="471">
        <f t="shared" si="4"/>
        <v>1541.5000000000002</v>
      </c>
      <c r="J25" s="471">
        <f t="shared" si="4"/>
        <v>1548.5000000000002</v>
      </c>
      <c r="K25" s="471">
        <f t="shared" si="4"/>
        <v>1555.5000000000002</v>
      </c>
      <c r="L25" s="471">
        <f t="shared" si="4"/>
        <v>1562.5000000000002</v>
      </c>
      <c r="M25" s="471">
        <f t="shared" si="4"/>
        <v>1586.9430000000002</v>
      </c>
      <c r="N25" s="471">
        <f t="shared" si="4"/>
        <v>1593.9430000000002</v>
      </c>
      <c r="O25" s="471">
        <f t="shared" si="4"/>
        <v>1600.9430000000002</v>
      </c>
      <c r="P25" s="471">
        <f>P84</f>
        <v>1607.9430000000002</v>
      </c>
      <c r="Q25" s="471">
        <f t="shared" si="4"/>
        <v>1686.8657200000002</v>
      </c>
      <c r="R25" s="471">
        <f t="shared" si="4"/>
        <v>1693.8657200000002</v>
      </c>
      <c r="S25" s="471">
        <f t="shared" si="4"/>
        <v>1700.8657200000002</v>
      </c>
      <c r="T25" s="1319">
        <f t="shared" si="4"/>
        <v>1707.8657200000002</v>
      </c>
      <c r="U25" s="1324">
        <f t="shared" si="4"/>
        <v>1821.4964000000002</v>
      </c>
      <c r="V25" s="472">
        <f t="shared" si="4"/>
        <v>1828.4964000000002</v>
      </c>
      <c r="W25" s="472">
        <f t="shared" si="4"/>
        <v>1835.4964000000002</v>
      </c>
      <c r="X25" s="472">
        <f t="shared" si="4"/>
        <v>1842.4964000000002</v>
      </c>
      <c r="Y25" s="472">
        <f t="shared" si="4"/>
        <v>1891.8432120000002</v>
      </c>
      <c r="Z25" s="472">
        <f t="shared" si="4"/>
        <v>1898.8432120000002</v>
      </c>
      <c r="AA25" s="472">
        <f t="shared" si="4"/>
        <v>1905.8432120000002</v>
      </c>
      <c r="AB25" s="472">
        <f t="shared" si="4"/>
        <v>1912.8432120000002</v>
      </c>
      <c r="AC25" s="588">
        <f t="shared" si="4"/>
        <v>1949.2886441600003</v>
      </c>
    </row>
    <row r="26" spans="2:101" ht="44.9" customHeight="1" x14ac:dyDescent="0.35">
      <c r="B26" s="339" t="s">
        <v>1193</v>
      </c>
      <c r="D26" s="516"/>
      <c r="E26" s="471"/>
      <c r="F26" s="471"/>
      <c r="G26" s="471"/>
      <c r="H26" s="471"/>
      <c r="I26" s="471"/>
      <c r="J26" s="471"/>
      <c r="K26" s="471"/>
      <c r="L26" s="471"/>
      <c r="M26" s="471"/>
      <c r="N26" s="471"/>
      <c r="O26" s="471"/>
      <c r="P26" s="471"/>
      <c r="Q26" s="471"/>
      <c r="R26" s="471"/>
      <c r="S26" s="584">
        <f>'IRA and CHIPS'!E191</f>
        <v>-0.622</v>
      </c>
      <c r="T26" s="1321">
        <f>'IRA and CHIPS'!F191</f>
        <v>21.89</v>
      </c>
      <c r="U26" s="1328">
        <f>'IRA and CHIPS'!G191</f>
        <v>21.89</v>
      </c>
      <c r="V26" s="585">
        <f>'IRA and CHIPS'!H191</f>
        <v>21.89</v>
      </c>
      <c r="W26" s="585">
        <f>'IRA and CHIPS'!I191</f>
        <v>21.89</v>
      </c>
      <c r="X26" s="585">
        <f>'IRA and CHIPS'!J191</f>
        <v>15.439</v>
      </c>
      <c r="Y26" s="585">
        <f>'IRA and CHIPS'!K191</f>
        <v>15.439</v>
      </c>
      <c r="Z26" s="585">
        <f>'IRA and CHIPS'!L191</f>
        <v>15.439</v>
      </c>
      <c r="AA26" s="585">
        <f>'IRA and CHIPS'!M191</f>
        <v>15.439</v>
      </c>
      <c r="AB26" s="585">
        <f>'IRA and CHIPS'!N191</f>
        <v>16.966999999999999</v>
      </c>
      <c r="AC26" s="586">
        <f>'IRA and CHIPS'!O191</f>
        <v>16.966999999999999</v>
      </c>
    </row>
    <row r="27" spans="2:101" ht="31.4" customHeight="1" x14ac:dyDescent="0.35">
      <c r="B27" s="501" t="s">
        <v>805</v>
      </c>
      <c r="C27" s="177"/>
      <c r="D27" s="489">
        <f t="shared" ref="D27:R27" si="5">D25+SUM(D20:D23)+D26</f>
        <v>1441.2</v>
      </c>
      <c r="E27" s="489">
        <f t="shared" si="5"/>
        <v>1501.4</v>
      </c>
      <c r="F27" s="489">
        <f t="shared" si="5"/>
        <v>1506.7</v>
      </c>
      <c r="G27" s="489">
        <f t="shared" si="5"/>
        <v>1513.7</v>
      </c>
      <c r="H27" s="489">
        <f t="shared" si="5"/>
        <v>1522.4000000000003</v>
      </c>
      <c r="I27" s="489">
        <f t="shared" si="5"/>
        <v>1571.5</v>
      </c>
      <c r="J27" s="489">
        <f t="shared" si="5"/>
        <v>1644.1999999999998</v>
      </c>
      <c r="K27" s="489">
        <f t="shared" si="5"/>
        <v>1803.4</v>
      </c>
      <c r="L27" s="489">
        <f t="shared" si="5"/>
        <v>1696.0999999999997</v>
      </c>
      <c r="M27" s="489">
        <f t="shared" si="5"/>
        <v>1725.9</v>
      </c>
      <c r="N27" s="489">
        <f t="shared" si="5"/>
        <v>1734.2781600000001</v>
      </c>
      <c r="O27" s="489">
        <f t="shared" si="5"/>
        <v>1906.0298400000004</v>
      </c>
      <c r="P27" s="489">
        <f t="shared" si="5"/>
        <v>1884.7240000000002</v>
      </c>
      <c r="Q27" s="489">
        <f t="shared" si="5"/>
        <v>1832.0239999999999</v>
      </c>
      <c r="R27" s="489">
        <f t="shared" si="5"/>
        <v>1823.624</v>
      </c>
      <c r="S27" s="489">
        <f>S25+SUM(S20:S23)+S26</f>
        <v>1820.1019999999999</v>
      </c>
      <c r="T27" s="1322">
        <f>T25+SUM(T20:T23)+T26</f>
        <v>1906.3740000000003</v>
      </c>
      <c r="U27" s="1329">
        <f>U25+SUM(U20:U23)+U26</f>
        <v>1988.674</v>
      </c>
      <c r="V27" s="495">
        <f t="shared" ref="V27" si="6">V25+SUM(V20:V23)+V26</f>
        <v>2029.674</v>
      </c>
      <c r="W27" s="495">
        <f t="shared" ref="W27" si="7">W25+SUM(W20:W23)+W26</f>
        <v>2036.674</v>
      </c>
      <c r="X27" s="495">
        <f t="shared" ref="X27" si="8">X25+SUM(X20:X23)+X26</f>
        <v>2037.223</v>
      </c>
      <c r="Y27" s="495">
        <f t="shared" ref="Y27" si="9">Y25+SUM(Y20:Y23)+Y26</f>
        <v>2086.5698119999997</v>
      </c>
      <c r="Z27" s="495">
        <f t="shared" ref="Z27" si="10">Z25+SUM(Z20:Z23)+Z26</f>
        <v>2093.5698119999997</v>
      </c>
      <c r="AA27" s="495">
        <f t="shared" ref="AA27" si="11">AA25+SUM(AA20:AA23)+AA26</f>
        <v>2100.5698119999997</v>
      </c>
      <c r="AB27" s="495">
        <f t="shared" ref="AB27" si="12">AB25+SUM(AB20:AB23)+AB26</f>
        <v>2109.097812</v>
      </c>
      <c r="AC27" s="495">
        <f t="shared" ref="AC27" si="13">AC25+SUM(AC20:AC23)+AC26</f>
        <v>2145.5432441600001</v>
      </c>
    </row>
    <row r="28" spans="2:101" ht="31.4" customHeight="1" x14ac:dyDescent="0.35">
      <c r="B28" s="1727" t="s">
        <v>475</v>
      </c>
      <c r="C28" s="1728"/>
      <c r="D28" s="491"/>
      <c r="E28" s="492"/>
      <c r="F28" s="492"/>
      <c r="G28" s="492"/>
      <c r="H28" s="492"/>
      <c r="I28" s="492"/>
      <c r="J28" s="492"/>
      <c r="K28" s="492"/>
      <c r="L28" s="492"/>
      <c r="M28" s="492"/>
      <c r="N28" s="492"/>
      <c r="O28" s="492"/>
      <c r="P28" s="492"/>
      <c r="Q28" s="492"/>
      <c r="R28" s="492"/>
      <c r="S28" s="492"/>
      <c r="T28" s="1314"/>
      <c r="U28" s="1331"/>
      <c r="V28" s="495"/>
      <c r="W28" s="495"/>
      <c r="X28" s="495"/>
      <c r="Y28" s="495"/>
      <c r="Z28" s="495"/>
      <c r="AA28" s="495"/>
      <c r="AB28" s="495"/>
      <c r="AC28" s="606"/>
    </row>
    <row r="29" spans="2:101" x14ac:dyDescent="0.35">
      <c r="B29" s="405" t="s">
        <v>811</v>
      </c>
      <c r="C29" s="163" t="s">
        <v>476</v>
      </c>
      <c r="D29" s="196">
        <f>'Haver Pivoted'!GO37</f>
        <v>734.3</v>
      </c>
      <c r="E29" s="159">
        <f>'Haver Pivoted'!GP37</f>
        <v>745.2</v>
      </c>
      <c r="F29" s="159">
        <f>'Haver Pivoted'!GQ37</f>
        <v>763.2</v>
      </c>
      <c r="G29" s="159">
        <f>'Haver Pivoted'!GR37</f>
        <v>773.5</v>
      </c>
      <c r="H29" s="159">
        <f>'Haver Pivoted'!GS37</f>
        <v>773.8</v>
      </c>
      <c r="I29" s="159">
        <f>'Haver Pivoted'!GT37</f>
        <v>762.4</v>
      </c>
      <c r="J29" s="159">
        <f>'Haver Pivoted'!GU37</f>
        <v>813.3</v>
      </c>
      <c r="K29" s="159">
        <f>'Haver Pivoted'!GV37</f>
        <v>851.9</v>
      </c>
      <c r="L29" s="159">
        <f>'Haver Pivoted'!GW37</f>
        <v>840.6</v>
      </c>
      <c r="M29" s="159">
        <f>'Haver Pivoted'!GX37</f>
        <v>868</v>
      </c>
      <c r="N29" s="159">
        <f>'Haver Pivoted'!GY37</f>
        <v>910.1</v>
      </c>
      <c r="O29" s="159">
        <f>'Haver Pivoted'!GZ37</f>
        <v>918.1</v>
      </c>
      <c r="P29" s="159">
        <f>'Haver Pivoted'!HA37</f>
        <v>915.2</v>
      </c>
      <c r="Q29" s="159">
        <f>'Haver Pivoted'!HB37</f>
        <v>934.7</v>
      </c>
      <c r="R29" s="159">
        <f>'Haver Pivoted'!HC37</f>
        <v>962.7</v>
      </c>
      <c r="S29" s="109">
        <f>'Haver Pivoted'!HD37</f>
        <v>982.9</v>
      </c>
      <c r="T29" s="109">
        <f>'Haver Pivoted'!HE37</f>
        <v>1045.9000000000001</v>
      </c>
      <c r="U29" s="1332"/>
      <c r="V29" s="603"/>
      <c r="W29" s="603"/>
      <c r="X29" s="603"/>
      <c r="Y29" s="603"/>
      <c r="Z29" s="603"/>
      <c r="AA29" s="603"/>
      <c r="AB29" s="603"/>
      <c r="AC29" s="620"/>
    </row>
    <row r="30" spans="2:101" x14ac:dyDescent="0.35">
      <c r="B30" s="482" t="s">
        <v>209</v>
      </c>
      <c r="C30" s="163"/>
      <c r="D30" s="516">
        <f>Medicaid!D26</f>
        <v>589.5</v>
      </c>
      <c r="E30" s="471">
        <f>Medicaid!E26</f>
        <v>598.70000000000005</v>
      </c>
      <c r="F30" s="471">
        <f>Medicaid!F26</f>
        <v>614.4</v>
      </c>
      <c r="G30" s="471">
        <f>Medicaid!G26</f>
        <v>622.4</v>
      </c>
      <c r="H30" s="471">
        <f>Medicaid!H26</f>
        <v>620.70000000000005</v>
      </c>
      <c r="I30" s="471">
        <f>Medicaid!I26</f>
        <v>606.6</v>
      </c>
      <c r="J30" s="471">
        <f>Medicaid!J26</f>
        <v>654.70000000000005</v>
      </c>
      <c r="K30" s="471">
        <f>Medicaid!K26</f>
        <v>690.7</v>
      </c>
      <c r="L30" s="471">
        <f>Medicaid!L26</f>
        <v>678.3</v>
      </c>
      <c r="M30" s="471">
        <f>Medicaid!M26</f>
        <v>704.4</v>
      </c>
      <c r="N30" s="471">
        <f>Medicaid!N26</f>
        <v>744.8</v>
      </c>
      <c r="O30" s="471">
        <f>Medicaid!O26</f>
        <v>748.2</v>
      </c>
      <c r="P30" s="471">
        <f>Medicaid!P26</f>
        <v>745</v>
      </c>
      <c r="Q30" s="471">
        <f>Medicaid!Q26</f>
        <v>763.1</v>
      </c>
      <c r="R30" s="471">
        <f>Medicaid!R26</f>
        <v>789.5</v>
      </c>
      <c r="S30" s="109">
        <f>Medicaid!S26</f>
        <v>786.1</v>
      </c>
      <c r="T30" s="1319">
        <f>Medicaid!T26</f>
        <v>796.2</v>
      </c>
      <c r="U30" s="1324">
        <f>Medicaid!U26</f>
        <v>813.1</v>
      </c>
      <c r="V30" s="472">
        <f>Medicaid!V26</f>
        <v>815.38788361526656</v>
      </c>
      <c r="W30" s="472">
        <f>Medicaid!W26</f>
        <v>817.68220482915194</v>
      </c>
      <c r="X30" s="472">
        <f>Medicaid!X26</f>
        <v>806.74647211686954</v>
      </c>
      <c r="Y30" s="472">
        <f>Medicaid!Y26</f>
        <v>795.95699457468652</v>
      </c>
      <c r="Z30" s="472">
        <f>Medicaid!Z26</f>
        <v>785.31181617685274</v>
      </c>
      <c r="AA30" s="472">
        <f>Medicaid!AA26</f>
        <v>774.80900705762838</v>
      </c>
      <c r="AB30" s="472">
        <f>Medicaid!AB26</f>
        <v>764.44666316141809</v>
      </c>
      <c r="AC30" s="588">
        <f>Medicaid!AC26</f>
        <v>754.22290589758461</v>
      </c>
    </row>
    <row r="31" spans="2:101" ht="14.9" customHeight="1" x14ac:dyDescent="0.35">
      <c r="B31" s="501" t="s">
        <v>812</v>
      </c>
      <c r="C31" s="177"/>
      <c r="D31" s="515">
        <f>D29-D30</f>
        <v>144.79999999999995</v>
      </c>
      <c r="E31" s="489">
        <f t="shared" ref="E31:O31" si="14">E29-E30</f>
        <v>146.5</v>
      </c>
      <c r="F31" s="489">
        <f t="shared" si="14"/>
        <v>148.80000000000007</v>
      </c>
      <c r="G31" s="489">
        <f t="shared" si="14"/>
        <v>151.10000000000002</v>
      </c>
      <c r="H31" s="489">
        <f t="shared" si="14"/>
        <v>153.09999999999991</v>
      </c>
      <c r="I31" s="489">
        <f t="shared" si="14"/>
        <v>155.79999999999995</v>
      </c>
      <c r="J31" s="489">
        <f t="shared" si="14"/>
        <v>158.59999999999991</v>
      </c>
      <c r="K31" s="489">
        <f t="shared" si="14"/>
        <v>161.19999999999993</v>
      </c>
      <c r="L31" s="489">
        <f t="shared" si="14"/>
        <v>162.30000000000007</v>
      </c>
      <c r="M31" s="489">
        <f t="shared" si="14"/>
        <v>163.60000000000002</v>
      </c>
      <c r="N31" s="489">
        <f t="shared" si="14"/>
        <v>165.30000000000007</v>
      </c>
      <c r="O31" s="489">
        <f t="shared" si="14"/>
        <v>169.89999999999998</v>
      </c>
      <c r="P31" s="489">
        <f>P29-P30</f>
        <v>170.20000000000005</v>
      </c>
      <c r="Q31" s="489">
        <f>Q29-Q30</f>
        <v>171.60000000000002</v>
      </c>
      <c r="R31" s="489">
        <f>R29-R30</f>
        <v>173.20000000000005</v>
      </c>
      <c r="S31" s="109">
        <f>S29-S30</f>
        <v>196.79999999999995</v>
      </c>
      <c r="T31" s="109">
        <f>T29-T30</f>
        <v>249.70000000000005</v>
      </c>
      <c r="U31" s="1325">
        <f>T31*(1+AVERAGE($F$33:$I$33))+U32</f>
        <v>183.57212584485049</v>
      </c>
      <c r="V31" s="495">
        <f t="shared" ref="V31:AC31" si="15">U31*(1+AVERAGE($F$33:$I$33))</f>
        <v>186.41879934456207</v>
      </c>
      <c r="W31" s="495">
        <f t="shared" si="15"/>
        <v>189.30961652881547</v>
      </c>
      <c r="X31" s="495">
        <f t="shared" si="15"/>
        <v>192.24526193866711</v>
      </c>
      <c r="Y31" s="495">
        <f t="shared" si="15"/>
        <v>195.22643073042826</v>
      </c>
      <c r="Z31" s="495">
        <f t="shared" si="15"/>
        <v>198.25382884027687</v>
      </c>
      <c r="AA31" s="495">
        <f t="shared" si="15"/>
        <v>201.32817315142222</v>
      </c>
      <c r="AB31" s="495">
        <f t="shared" si="15"/>
        <v>204.45019166386174</v>
      </c>
      <c r="AC31" s="606">
        <f t="shared" si="15"/>
        <v>207.62062366677031</v>
      </c>
    </row>
    <row r="32" spans="2:101" ht="14.9" customHeight="1" x14ac:dyDescent="0.35">
      <c r="B32" s="501" t="s">
        <v>1707</v>
      </c>
      <c r="C32" s="177"/>
      <c r="D32" s="515"/>
      <c r="E32" s="489"/>
      <c r="F32" s="489"/>
      <c r="G32" s="489"/>
      <c r="H32" s="489"/>
      <c r="I32" s="489"/>
      <c r="J32" s="489"/>
      <c r="K32" s="489"/>
      <c r="L32" s="489"/>
      <c r="M32" s="489"/>
      <c r="N32" s="489"/>
      <c r="O32" s="489"/>
      <c r="P32" s="489"/>
      <c r="Q32" s="489"/>
      <c r="R32" s="489"/>
      <c r="S32" s="109"/>
      <c r="T32" s="1314"/>
      <c r="U32" s="1325">
        <v>-70</v>
      </c>
      <c r="V32" s="495"/>
      <c r="W32" s="495"/>
      <c r="X32" s="495"/>
      <c r="Y32" s="495"/>
      <c r="Z32" s="495"/>
      <c r="AA32" s="495"/>
      <c r="AB32" s="495"/>
      <c r="AC32" s="606"/>
    </row>
    <row r="33" spans="2:39" x14ac:dyDescent="0.35">
      <c r="B33" s="574" t="s">
        <v>813</v>
      </c>
      <c r="C33" s="230"/>
      <c r="D33" s="517"/>
      <c r="E33" s="499">
        <f>E31/D31-1</f>
        <v>1.1740331491713052E-2</v>
      </c>
      <c r="F33" s="499">
        <f t="shared" ref="F33:N33" si="16">F31/E31-1</f>
        <v>1.5699658703072217E-2</v>
      </c>
      <c r="G33" s="499">
        <f t="shared" si="16"/>
        <v>1.5456989247311537E-2</v>
      </c>
      <c r="H33" s="499">
        <f t="shared" si="16"/>
        <v>1.3236267372600086E-2</v>
      </c>
      <c r="I33" s="499">
        <f t="shared" si="16"/>
        <v>1.7635532331809589E-2</v>
      </c>
      <c r="J33" s="499">
        <f t="shared" si="16"/>
        <v>1.7971758664954818E-2</v>
      </c>
      <c r="K33" s="499">
        <f t="shared" si="16"/>
        <v>1.639344262295106E-2</v>
      </c>
      <c r="L33" s="499">
        <f t="shared" si="16"/>
        <v>6.823821339951186E-3</v>
      </c>
      <c r="M33" s="499">
        <f t="shared" si="16"/>
        <v>8.0098582871224178E-3</v>
      </c>
      <c r="N33" s="499">
        <f t="shared" si="16"/>
        <v>1.0391198044010119E-2</v>
      </c>
      <c r="O33" s="499">
        <f>O31/N31-1</f>
        <v>2.7828191167573513E-2</v>
      </c>
      <c r="P33" s="499">
        <f t="shared" ref="P33:S33" si="17">P31/O31-1</f>
        <v>1.7657445556213958E-3</v>
      </c>
      <c r="Q33" s="499">
        <f t="shared" si="17"/>
        <v>8.2256169212688857E-3</v>
      </c>
      <c r="R33" s="499">
        <f t="shared" si="17"/>
        <v>9.3240093240094524E-3</v>
      </c>
      <c r="S33" s="560">
        <f t="shared" si="17"/>
        <v>0.13625866050808266</v>
      </c>
      <c r="T33" s="476"/>
      <c r="U33" s="1333"/>
      <c r="V33" s="510"/>
      <c r="W33" s="510"/>
      <c r="X33" s="510"/>
      <c r="Y33" s="510"/>
      <c r="Z33" s="510"/>
      <c r="AA33" s="510"/>
      <c r="AB33" s="510"/>
      <c r="AC33" s="511"/>
    </row>
    <row r="36" spans="2:39" x14ac:dyDescent="0.35">
      <c r="B36" s="1725" t="s">
        <v>467</v>
      </c>
      <c r="C36" s="1725"/>
      <c r="U36" s="1095"/>
      <c r="V36" s="1095"/>
      <c r="W36" s="1095"/>
      <c r="X36" s="1095"/>
      <c r="Y36" s="1095"/>
      <c r="Z36" s="1095"/>
      <c r="AA36" s="1095"/>
      <c r="AB36" s="1095"/>
      <c r="AC36" s="1096"/>
    </row>
    <row r="37" spans="2:39" x14ac:dyDescent="0.35">
      <c r="B37" s="1258" t="s">
        <v>468</v>
      </c>
      <c r="C37" s="1189" t="s">
        <v>469</v>
      </c>
      <c r="U37" s="472">
        <v>2937.9573556264077</v>
      </c>
      <c r="V37" s="472">
        <v>2974.7858453423132</v>
      </c>
      <c r="W37" s="472">
        <v>3010.8155901561786</v>
      </c>
      <c r="X37" s="472">
        <v>3035.9490080734463</v>
      </c>
      <c r="Y37" s="472">
        <v>3110.4839788711606</v>
      </c>
      <c r="Z37" s="472">
        <v>3142.4322295139696</v>
      </c>
      <c r="AA37" s="472">
        <v>3175.4113910171304</v>
      </c>
      <c r="AB37" s="472">
        <v>3207.4654840594576</v>
      </c>
      <c r="AC37" s="588">
        <v>3271.5604137185696</v>
      </c>
      <c r="AD37" s="1153">
        <f t="shared" ref="AD37:AD58" si="18">U12-U37</f>
        <v>31.542644373592339</v>
      </c>
      <c r="AE37" s="1153"/>
      <c r="AF37" s="1153"/>
      <c r="AG37" s="1153"/>
      <c r="AH37" s="1153"/>
      <c r="AI37" s="1153"/>
      <c r="AJ37" s="1153"/>
      <c r="AK37" s="1153"/>
      <c r="AL37" s="1153"/>
      <c r="AM37" s="1153"/>
    </row>
    <row r="38" spans="2:39" x14ac:dyDescent="0.35">
      <c r="B38" s="1258"/>
      <c r="C38" s="1189"/>
      <c r="U38" s="1101"/>
      <c r="V38" s="1101"/>
      <c r="W38" s="1101"/>
      <c r="X38" s="1101"/>
      <c r="Y38" s="1101"/>
      <c r="Z38" s="1101"/>
      <c r="AA38" s="1101"/>
      <c r="AB38" s="1101"/>
      <c r="AC38" s="241"/>
      <c r="AD38" s="1153">
        <f t="shared" si="18"/>
        <v>0</v>
      </c>
      <c r="AE38" s="1153"/>
      <c r="AF38" s="1153"/>
      <c r="AG38" s="1153"/>
      <c r="AH38" s="1153"/>
      <c r="AI38" s="1153"/>
      <c r="AJ38" s="1153"/>
      <c r="AK38" s="1153"/>
      <c r="AL38" s="1153"/>
      <c r="AM38" s="1153"/>
    </row>
    <row r="39" spans="2:39" ht="28.5" x14ac:dyDescent="0.35">
      <c r="B39" s="1219" t="s">
        <v>470</v>
      </c>
      <c r="C39" s="1189"/>
      <c r="U39" s="472">
        <v>22.830999999999996</v>
      </c>
      <c r="V39" s="472">
        <v>26.060999999999996</v>
      </c>
      <c r="W39" s="472">
        <v>27.760999999999992</v>
      </c>
      <c r="X39" s="472">
        <v>28.979333333333326</v>
      </c>
      <c r="Y39" s="472">
        <v>28.894333333333329</v>
      </c>
      <c r="Z39" s="472">
        <v>28.010333333333325</v>
      </c>
      <c r="AA39" s="472">
        <v>27.534333333333322</v>
      </c>
      <c r="AB39" s="472">
        <v>27.194333333333322</v>
      </c>
      <c r="AC39" s="588">
        <v>27.063999999999986</v>
      </c>
      <c r="AD39" s="1153">
        <f t="shared" si="18"/>
        <v>-3.0999999999995254E-2</v>
      </c>
      <c r="AE39" s="1153"/>
      <c r="AF39" s="1153"/>
      <c r="AG39" s="1153"/>
      <c r="AH39" s="1153"/>
      <c r="AI39" s="1153"/>
      <c r="AJ39" s="1153"/>
      <c r="AK39" s="1153"/>
      <c r="AL39" s="1153"/>
      <c r="AM39" s="1153"/>
    </row>
    <row r="40" spans="2:39" x14ac:dyDescent="0.35">
      <c r="B40" s="1219" t="s">
        <v>55</v>
      </c>
      <c r="C40" s="1189"/>
      <c r="U40" s="472">
        <v>967.48680062640756</v>
      </c>
      <c r="V40" s="472">
        <v>994.0852903423131</v>
      </c>
      <c r="W40" s="472">
        <v>1021.4150351561788</v>
      </c>
      <c r="X40" s="472">
        <v>1046.0451197401123</v>
      </c>
      <c r="Y40" s="472">
        <v>1071.2691265258266</v>
      </c>
      <c r="Z40" s="472">
        <v>1097.1013771686355</v>
      </c>
      <c r="AA40" s="472">
        <v>1123.5565386717965</v>
      </c>
      <c r="AB40" s="472">
        <v>1150.6496317141234</v>
      </c>
      <c r="AC40" s="588">
        <v>1178.396039178409</v>
      </c>
      <c r="AD40" s="1153">
        <f t="shared" si="18"/>
        <v>-0.9868006264075575</v>
      </c>
      <c r="AE40" s="1153"/>
      <c r="AF40" s="1153"/>
      <c r="AG40" s="1153"/>
      <c r="AH40" s="1153"/>
      <c r="AI40" s="1153"/>
      <c r="AJ40" s="1153"/>
      <c r="AK40" s="1153"/>
      <c r="AL40" s="1153"/>
      <c r="AM40" s="1153"/>
    </row>
    <row r="41" spans="2:39" x14ac:dyDescent="0.35">
      <c r="B41" s="1258" t="s">
        <v>471</v>
      </c>
      <c r="C41" s="1189"/>
      <c r="U41" s="472">
        <v>0</v>
      </c>
      <c r="V41" s="472">
        <v>0</v>
      </c>
      <c r="W41" s="472">
        <v>0</v>
      </c>
      <c r="X41" s="472">
        <v>0</v>
      </c>
      <c r="Y41" s="472">
        <v>0</v>
      </c>
      <c r="Z41" s="472">
        <v>0</v>
      </c>
      <c r="AA41" s="472">
        <v>0</v>
      </c>
      <c r="AB41" s="472">
        <v>0</v>
      </c>
      <c r="AC41" s="588">
        <v>0</v>
      </c>
      <c r="AD41" s="1153">
        <f t="shared" si="18"/>
        <v>0</v>
      </c>
      <c r="AE41" s="1153"/>
      <c r="AF41" s="1153"/>
      <c r="AG41" s="1153"/>
      <c r="AH41" s="1153"/>
      <c r="AI41" s="1153"/>
      <c r="AJ41" s="1153"/>
      <c r="AK41" s="1153"/>
      <c r="AL41" s="1153"/>
      <c r="AM41" s="1153"/>
    </row>
    <row r="42" spans="2:39" x14ac:dyDescent="0.35">
      <c r="B42" s="1215" t="s">
        <v>474</v>
      </c>
      <c r="C42" s="1259"/>
      <c r="U42" s="495">
        <v>12</v>
      </c>
      <c r="V42" s="495">
        <v>12</v>
      </c>
      <c r="W42" s="495">
        <v>12</v>
      </c>
      <c r="X42" s="495">
        <v>4.2219999999999995</v>
      </c>
      <c r="Y42" s="495">
        <v>4.2219999999999995</v>
      </c>
      <c r="Z42" s="495">
        <v>4.2219999999999995</v>
      </c>
      <c r="AA42" s="495">
        <v>4.2219999999999995</v>
      </c>
      <c r="AB42" s="495">
        <v>2.3719999999999999</v>
      </c>
      <c r="AC42" s="606">
        <v>2.3719999999999999</v>
      </c>
      <c r="AD42" s="1153">
        <f t="shared" si="18"/>
        <v>0</v>
      </c>
      <c r="AE42" s="1153"/>
      <c r="AF42" s="1153"/>
      <c r="AG42" s="1153"/>
      <c r="AH42" s="1153"/>
      <c r="AI42" s="1153"/>
      <c r="AJ42" s="1153"/>
      <c r="AK42" s="1153"/>
      <c r="AL42" s="1153"/>
      <c r="AM42" s="1153"/>
    </row>
    <row r="43" spans="2:39" x14ac:dyDescent="0.35">
      <c r="B43" s="1219" t="s">
        <v>218</v>
      </c>
      <c r="C43" s="1260"/>
      <c r="U43" s="472">
        <v>1.4159999999999999</v>
      </c>
      <c r="V43" s="472">
        <v>1.4159999999999999</v>
      </c>
      <c r="W43" s="472">
        <v>1.4159999999999999</v>
      </c>
      <c r="X43" s="472">
        <v>1.4790000000000001</v>
      </c>
      <c r="Y43" s="472">
        <v>1.4790000000000001</v>
      </c>
      <c r="Z43" s="472">
        <v>1.4790000000000001</v>
      </c>
      <c r="AA43" s="472">
        <v>1.4790000000000001</v>
      </c>
      <c r="AB43" s="472">
        <v>1.63</v>
      </c>
      <c r="AC43" s="588">
        <v>1.63</v>
      </c>
      <c r="AD43" s="1153">
        <f t="shared" si="18"/>
        <v>0</v>
      </c>
      <c r="AE43" s="1153"/>
      <c r="AF43" s="1153"/>
      <c r="AG43" s="1153"/>
      <c r="AH43" s="1153"/>
      <c r="AI43" s="1153"/>
      <c r="AJ43" s="1153"/>
      <c r="AK43" s="1153"/>
      <c r="AL43" s="1153"/>
      <c r="AM43" s="1153"/>
    </row>
    <row r="44" spans="2:39" x14ac:dyDescent="0.35">
      <c r="B44" s="1219" t="s">
        <v>49</v>
      </c>
      <c r="C44" s="1260"/>
      <c r="U44" s="602">
        <v>0</v>
      </c>
      <c r="V44" s="602">
        <v>0</v>
      </c>
      <c r="W44" s="602">
        <v>0</v>
      </c>
      <c r="X44" s="602">
        <v>0</v>
      </c>
      <c r="Y44" s="602">
        <v>0</v>
      </c>
      <c r="Z44" s="602">
        <v>0</v>
      </c>
      <c r="AA44" s="602">
        <v>0</v>
      </c>
      <c r="AB44" s="602">
        <v>0</v>
      </c>
      <c r="AC44" s="614">
        <v>0</v>
      </c>
      <c r="AD44" s="1153">
        <f t="shared" si="18"/>
        <v>0</v>
      </c>
      <c r="AE44" s="1153"/>
      <c r="AF44" s="1153"/>
      <c r="AG44" s="1153"/>
      <c r="AH44" s="1153"/>
      <c r="AI44" s="1153"/>
      <c r="AJ44" s="1153"/>
      <c r="AK44" s="1153"/>
      <c r="AL44" s="1153"/>
      <c r="AM44" s="1153"/>
    </row>
    <row r="45" spans="2:39" x14ac:dyDescent="0.35">
      <c r="B45" s="1219" t="s">
        <v>1445</v>
      </c>
      <c r="C45" s="1189"/>
      <c r="U45" s="472">
        <v>68.231374999999986</v>
      </c>
      <c r="V45" s="472">
        <v>68.231374999999986</v>
      </c>
      <c r="W45" s="472">
        <v>68.231374999999986</v>
      </c>
      <c r="X45" s="472">
        <v>68.231374999999986</v>
      </c>
      <c r="Y45" s="472">
        <v>68.231374999999986</v>
      </c>
      <c r="Z45" s="472">
        <v>68.231374999999986</v>
      </c>
      <c r="AA45" s="472">
        <v>68.231374999999986</v>
      </c>
      <c r="AB45" s="472">
        <v>68.231374999999986</v>
      </c>
      <c r="AC45" s="588">
        <v>68.231374999999986</v>
      </c>
      <c r="AD45" s="1195">
        <f t="shared" si="18"/>
        <v>-1.2748749999999802</v>
      </c>
      <c r="AE45" s="1153"/>
      <c r="AF45" s="1153"/>
      <c r="AG45" s="1153"/>
      <c r="AH45" s="1153"/>
      <c r="AI45" s="1153"/>
      <c r="AJ45" s="1153"/>
      <c r="AK45" s="1153"/>
      <c r="AL45" s="1153"/>
      <c r="AM45" s="1153"/>
    </row>
    <row r="46" spans="2:39" x14ac:dyDescent="0.35">
      <c r="B46" s="1219" t="s">
        <v>803</v>
      </c>
      <c r="C46" s="1189" t="s">
        <v>831</v>
      </c>
      <c r="U46" s="1556">
        <v>34</v>
      </c>
      <c r="V46" s="472">
        <v>34</v>
      </c>
      <c r="W46" s="472">
        <v>34</v>
      </c>
      <c r="X46" s="472">
        <v>34</v>
      </c>
      <c r="Y46" s="472">
        <v>34</v>
      </c>
      <c r="Z46" s="472">
        <v>34</v>
      </c>
      <c r="AA46" s="472">
        <v>34</v>
      </c>
      <c r="AB46" s="472">
        <v>34</v>
      </c>
      <c r="AC46" s="588">
        <v>34</v>
      </c>
      <c r="AD46" s="1195">
        <f t="shared" si="18"/>
        <v>-34</v>
      </c>
      <c r="AE46" s="1153"/>
      <c r="AF46" s="1153"/>
      <c r="AG46" s="1153"/>
      <c r="AH46" s="1153"/>
      <c r="AI46" s="1153"/>
      <c r="AJ46" s="1153"/>
      <c r="AK46" s="1153"/>
      <c r="AL46" s="1153"/>
      <c r="AM46" s="1153"/>
    </row>
    <row r="47" spans="2:39" x14ac:dyDescent="0.35">
      <c r="B47" s="1219" t="s">
        <v>472</v>
      </c>
      <c r="C47" s="1189"/>
      <c r="U47" s="472">
        <v>0</v>
      </c>
      <c r="V47" s="472">
        <v>0</v>
      </c>
      <c r="W47" s="472">
        <v>0</v>
      </c>
      <c r="X47" s="472">
        <v>0</v>
      </c>
      <c r="Y47" s="472">
        <v>0</v>
      </c>
      <c r="Z47" s="472">
        <v>0</v>
      </c>
      <c r="AA47" s="472">
        <v>0</v>
      </c>
      <c r="AB47" s="472">
        <v>0</v>
      </c>
      <c r="AC47" s="588">
        <v>0</v>
      </c>
      <c r="AD47" s="1195">
        <f t="shared" si="18"/>
        <v>0</v>
      </c>
      <c r="AE47" s="1153"/>
      <c r="AF47" s="1153"/>
      <c r="AG47" s="1153"/>
      <c r="AH47" s="1153"/>
      <c r="AI47" s="1153"/>
      <c r="AJ47" s="1153"/>
      <c r="AK47" s="1153"/>
      <c r="AL47" s="1153"/>
      <c r="AM47" s="1153"/>
    </row>
    <row r="48" spans="2:39" x14ac:dyDescent="0.35">
      <c r="B48" s="1258" t="s">
        <v>804</v>
      </c>
      <c r="C48" s="1189"/>
      <c r="U48" s="1556">
        <v>10.495779999999968</v>
      </c>
      <c r="V48" s="472">
        <v>10.495779999999968</v>
      </c>
      <c r="W48" s="472">
        <v>10.495779999999968</v>
      </c>
      <c r="X48" s="472">
        <v>10.495779999999968</v>
      </c>
      <c r="Y48" s="472">
        <v>10.495779999999968</v>
      </c>
      <c r="Z48" s="472">
        <v>10.495779999999968</v>
      </c>
      <c r="AA48" s="472">
        <v>10.495779999999968</v>
      </c>
      <c r="AB48" s="472">
        <v>10.495779999999968</v>
      </c>
      <c r="AC48" s="588">
        <v>10.495779999999968</v>
      </c>
      <c r="AD48" s="1195">
        <f t="shared" si="18"/>
        <v>67.835319999999683</v>
      </c>
      <c r="AE48" s="1153"/>
      <c r="AF48" s="1153"/>
      <c r="AG48" s="1153"/>
      <c r="AH48" s="1153"/>
      <c r="AI48" s="1153"/>
      <c r="AJ48" s="1153"/>
      <c r="AK48" s="1153"/>
      <c r="AL48" s="1153"/>
      <c r="AM48" s="1153"/>
    </row>
    <row r="49" spans="2:39" x14ac:dyDescent="0.35">
      <c r="B49" s="1215" t="s">
        <v>801</v>
      </c>
      <c r="C49" s="1259"/>
      <c r="U49" s="589">
        <v>1.4159999999999999</v>
      </c>
      <c r="V49" s="589">
        <v>1.4159999999999999</v>
      </c>
      <c r="W49" s="589">
        <v>1.4159999999999999</v>
      </c>
      <c r="X49" s="589">
        <v>1.4790000000000001</v>
      </c>
      <c r="Y49" s="589">
        <v>1.4790000000000001</v>
      </c>
      <c r="Z49" s="589">
        <v>1.4790000000000001</v>
      </c>
      <c r="AA49" s="589">
        <v>1.4790000000000001</v>
      </c>
      <c r="AB49" s="589">
        <v>1.63</v>
      </c>
      <c r="AC49" s="590">
        <v>1.63</v>
      </c>
      <c r="AD49" s="1196">
        <f t="shared" si="18"/>
        <v>0</v>
      </c>
      <c r="AE49" s="1153"/>
      <c r="AF49" s="1153"/>
      <c r="AG49" s="1153"/>
      <c r="AH49" s="1153"/>
      <c r="AI49" s="1153"/>
      <c r="AJ49" s="1153"/>
      <c r="AK49" s="1153"/>
      <c r="AL49" s="1153"/>
      <c r="AM49" s="1153"/>
    </row>
    <row r="50" spans="2:39" ht="28.5" x14ac:dyDescent="0.35">
      <c r="B50" s="1219" t="s">
        <v>809</v>
      </c>
      <c r="C50" s="1189"/>
      <c r="U50" s="472">
        <v>1821.4964000000002</v>
      </c>
      <c r="V50" s="472">
        <v>1828.4964000000002</v>
      </c>
      <c r="W50" s="472">
        <v>1835.4964000000002</v>
      </c>
      <c r="X50" s="472">
        <v>1842.4964000000002</v>
      </c>
      <c r="Y50" s="472">
        <v>1891.8923640120004</v>
      </c>
      <c r="Z50" s="472">
        <v>1898.8923640120004</v>
      </c>
      <c r="AA50" s="472">
        <v>1905.8923640120004</v>
      </c>
      <c r="AB50" s="472">
        <v>1912.8923640120004</v>
      </c>
      <c r="AC50" s="588">
        <v>1949.3712195401604</v>
      </c>
      <c r="AD50" s="1195">
        <f t="shared" si="18"/>
        <v>0</v>
      </c>
      <c r="AE50" s="1153"/>
      <c r="AF50" s="1153"/>
      <c r="AG50" s="1153"/>
      <c r="AH50" s="1153"/>
      <c r="AI50" s="1153"/>
      <c r="AJ50" s="1153"/>
      <c r="AK50" s="1153"/>
      <c r="AL50" s="1153"/>
      <c r="AM50" s="1153"/>
    </row>
    <row r="51" spans="2:39" x14ac:dyDescent="0.35">
      <c r="B51" s="1261" t="s">
        <v>1193</v>
      </c>
      <c r="C51" s="1262"/>
      <c r="U51" s="585">
        <v>21.89</v>
      </c>
      <c r="V51" s="585">
        <v>21.89</v>
      </c>
      <c r="W51" s="585">
        <v>21.89</v>
      </c>
      <c r="X51" s="585">
        <v>15.439</v>
      </c>
      <c r="Y51" s="585">
        <v>15.439</v>
      </c>
      <c r="Z51" s="585">
        <v>15.439</v>
      </c>
      <c r="AA51" s="585">
        <v>15.439</v>
      </c>
      <c r="AB51" s="585">
        <v>16.966999999999999</v>
      </c>
      <c r="AC51" s="586">
        <v>16.966999999999999</v>
      </c>
      <c r="AD51" s="1195">
        <f t="shared" si="18"/>
        <v>0</v>
      </c>
      <c r="AE51" s="1153"/>
      <c r="AF51" s="1153"/>
      <c r="AG51" s="1153"/>
      <c r="AH51" s="1153"/>
      <c r="AI51" s="1153"/>
      <c r="AJ51" s="1153"/>
      <c r="AK51" s="1153"/>
      <c r="AL51" s="1153"/>
      <c r="AM51" s="1153"/>
    </row>
    <row r="52" spans="2:39" x14ac:dyDescent="0.35">
      <c r="B52" s="1259" t="s">
        <v>805</v>
      </c>
      <c r="C52" s="1259"/>
      <c r="U52" s="495">
        <v>1956.1135550000004</v>
      </c>
      <c r="V52" s="495">
        <v>1963.1135550000004</v>
      </c>
      <c r="W52" s="495">
        <v>1970.1135550000004</v>
      </c>
      <c r="X52" s="495">
        <v>1970.6625550000003</v>
      </c>
      <c r="Y52" s="495">
        <v>2020.0585190120005</v>
      </c>
      <c r="Z52" s="495">
        <v>2027.0585190120005</v>
      </c>
      <c r="AA52" s="495">
        <v>2034.0585190120005</v>
      </c>
      <c r="AB52" s="495">
        <v>2042.5865190120005</v>
      </c>
      <c r="AC52" s="495">
        <v>2079.0653745401605</v>
      </c>
      <c r="AD52" s="1153">
        <f t="shared" si="18"/>
        <v>32.560444999999618</v>
      </c>
      <c r="AE52" s="1153"/>
      <c r="AF52" s="1153"/>
      <c r="AG52" s="1153"/>
      <c r="AH52" s="1153"/>
      <c r="AI52" s="1153"/>
      <c r="AJ52" s="1153"/>
      <c r="AK52" s="1153"/>
      <c r="AL52" s="1153"/>
      <c r="AM52" s="1153"/>
    </row>
    <row r="53" spans="2:39" x14ac:dyDescent="0.35">
      <c r="B53" s="1725" t="s">
        <v>475</v>
      </c>
      <c r="C53" s="1725"/>
      <c r="U53" s="495"/>
      <c r="V53" s="495"/>
      <c r="W53" s="495"/>
      <c r="X53" s="495"/>
      <c r="Y53" s="495"/>
      <c r="Z53" s="495"/>
      <c r="AA53" s="495"/>
      <c r="AB53" s="495"/>
      <c r="AC53" s="606"/>
      <c r="AD53" s="1153">
        <f t="shared" si="18"/>
        <v>0</v>
      </c>
      <c r="AE53" s="1153"/>
      <c r="AF53" s="1153"/>
      <c r="AG53" s="1153"/>
      <c r="AH53" s="1153"/>
      <c r="AI53" s="1153"/>
      <c r="AJ53" s="1153"/>
      <c r="AK53" s="1153"/>
      <c r="AL53" s="1153"/>
      <c r="AM53" s="1153"/>
    </row>
    <row r="54" spans="2:39" x14ac:dyDescent="0.35">
      <c r="B54" s="1258" t="s">
        <v>811</v>
      </c>
      <c r="C54" s="1189" t="s">
        <v>476</v>
      </c>
      <c r="U54" s="603"/>
      <c r="V54" s="603"/>
      <c r="W54" s="603"/>
      <c r="X54" s="603"/>
      <c r="Y54" s="603"/>
      <c r="Z54" s="603"/>
      <c r="AA54" s="603"/>
      <c r="AB54" s="603"/>
      <c r="AC54" s="620"/>
      <c r="AD54" s="1153">
        <f t="shared" si="18"/>
        <v>0</v>
      </c>
      <c r="AE54" s="1153"/>
      <c r="AF54" s="1153"/>
      <c r="AG54" s="1153"/>
      <c r="AH54" s="1153"/>
      <c r="AI54" s="1153"/>
      <c r="AJ54" s="1153"/>
      <c r="AK54" s="1153"/>
      <c r="AL54" s="1153"/>
      <c r="AM54" s="1153"/>
    </row>
    <row r="55" spans="2:39" x14ac:dyDescent="0.35">
      <c r="B55" s="1189" t="s">
        <v>209</v>
      </c>
      <c r="C55" s="1189"/>
      <c r="U55" s="472">
        <v>800.10133999929667</v>
      </c>
      <c r="V55" s="472">
        <v>804.02179636858841</v>
      </c>
      <c r="W55" s="472">
        <v>807.96146277712785</v>
      </c>
      <c r="X55" s="472">
        <v>798.95010152851296</v>
      </c>
      <c r="Y55" s="472">
        <v>790.03924585509458</v>
      </c>
      <c r="Z55" s="472">
        <v>781.22777479741205</v>
      </c>
      <c r="AA55" s="472">
        <v>772.51457989829726</v>
      </c>
      <c r="AB55" s="472">
        <v>763.89856506343403</v>
      </c>
      <c r="AC55" s="588">
        <v>755.3786464234729</v>
      </c>
      <c r="AD55" s="1153">
        <f t="shared" si="18"/>
        <v>12.998660000703353</v>
      </c>
      <c r="AE55" s="1153"/>
      <c r="AF55" s="1153"/>
      <c r="AG55" s="1153"/>
      <c r="AH55" s="1153"/>
      <c r="AI55" s="1153"/>
      <c r="AJ55" s="1153"/>
      <c r="AK55" s="1153"/>
      <c r="AL55" s="1153"/>
      <c r="AM55" s="1153"/>
    </row>
    <row r="56" spans="2:39" x14ac:dyDescent="0.35">
      <c r="B56" s="1259" t="s">
        <v>812</v>
      </c>
      <c r="C56" s="1259"/>
      <c r="U56" s="495">
        <v>183.57212584485049</v>
      </c>
      <c r="V56" s="495">
        <v>186.41879934456207</v>
      </c>
      <c r="W56" s="495">
        <v>189.30961652881547</v>
      </c>
      <c r="X56" s="495">
        <v>192.24526193866711</v>
      </c>
      <c r="Y56" s="495">
        <v>195.22643073042826</v>
      </c>
      <c r="Z56" s="495">
        <v>198.25382884027687</v>
      </c>
      <c r="AA56" s="495">
        <v>201.32817315142222</v>
      </c>
      <c r="AB56" s="495">
        <v>204.45019166386174</v>
      </c>
      <c r="AC56" s="606">
        <v>207.62062366677031</v>
      </c>
      <c r="AD56" s="1153">
        <f t="shared" si="18"/>
        <v>0</v>
      </c>
      <c r="AE56" s="1153"/>
      <c r="AF56" s="1153"/>
      <c r="AG56" s="1153"/>
      <c r="AH56" s="1153"/>
      <c r="AI56" s="1153"/>
      <c r="AJ56" s="1153"/>
      <c r="AK56" s="1153"/>
      <c r="AL56" s="1153"/>
      <c r="AM56" s="1153"/>
    </row>
    <row r="57" spans="2:39" x14ac:dyDescent="0.35">
      <c r="B57" s="1259" t="s">
        <v>1707</v>
      </c>
      <c r="C57" s="1259"/>
      <c r="U57" s="495">
        <v>-70</v>
      </c>
      <c r="V57" s="495"/>
      <c r="W57" s="495"/>
      <c r="X57" s="495"/>
      <c r="Y57" s="495"/>
      <c r="Z57" s="495"/>
      <c r="AA57" s="495"/>
      <c r="AB57" s="495"/>
      <c r="AC57" s="606"/>
      <c r="AD57" s="1153">
        <f t="shared" si="18"/>
        <v>0</v>
      </c>
      <c r="AE57" s="1153"/>
      <c r="AF57" s="1153"/>
      <c r="AG57" s="1153"/>
      <c r="AH57" s="1153"/>
      <c r="AI57" s="1153"/>
      <c r="AJ57" s="1153"/>
      <c r="AK57" s="1153"/>
      <c r="AL57" s="1153"/>
      <c r="AM57" s="1153"/>
    </row>
    <row r="58" spans="2:39" x14ac:dyDescent="0.35">
      <c r="B58" s="1263" t="s">
        <v>813</v>
      </c>
      <c r="C58" s="1189"/>
      <c r="U58" s="510"/>
      <c r="V58" s="510"/>
      <c r="W58" s="510"/>
      <c r="X58" s="510"/>
      <c r="Y58" s="510"/>
      <c r="Z58" s="510"/>
      <c r="AA58" s="510"/>
      <c r="AB58" s="510"/>
      <c r="AC58" s="511"/>
      <c r="AD58" s="1153">
        <f t="shared" si="18"/>
        <v>0</v>
      </c>
      <c r="AE58" s="1153"/>
      <c r="AF58" s="1153"/>
      <c r="AG58" s="1153"/>
      <c r="AH58" s="1153"/>
      <c r="AI58" s="1153"/>
      <c r="AJ58" s="1153"/>
      <c r="AK58" s="1153"/>
      <c r="AL58" s="1153"/>
      <c r="AM58" s="1153"/>
    </row>
    <row r="60" spans="2:39" x14ac:dyDescent="0.35">
      <c r="U60" s="1628" t="s">
        <v>2227</v>
      </c>
      <c r="V60" s="1628"/>
      <c r="W60" s="1628"/>
      <c r="X60" s="1628"/>
    </row>
    <row r="61" spans="2:39" x14ac:dyDescent="0.35">
      <c r="U61" s="1628"/>
      <c r="V61" s="1628"/>
      <c r="W61" s="1628"/>
      <c r="X61" s="1628"/>
    </row>
    <row r="62" spans="2:39" x14ac:dyDescent="0.35">
      <c r="U62" s="1628"/>
      <c r="V62" s="1628"/>
      <c r="W62" s="1628"/>
      <c r="X62" s="1628"/>
    </row>
    <row r="64" spans="2:39" x14ac:dyDescent="0.35">
      <c r="P64" s="401"/>
      <c r="Q64" s="401"/>
    </row>
    <row r="65" spans="2:29" x14ac:dyDescent="0.35">
      <c r="B65" s="431" t="s">
        <v>352</v>
      </c>
      <c r="D65" s="471"/>
      <c r="E65" s="471"/>
      <c r="F65" s="471"/>
      <c r="G65" s="471"/>
      <c r="H65" s="471"/>
      <c r="I65" s="471"/>
      <c r="J65" s="471"/>
      <c r="K65" s="471"/>
      <c r="L65" s="471"/>
      <c r="M65" s="471"/>
      <c r="N65" s="471"/>
      <c r="O65" s="471"/>
      <c r="P65" s="471"/>
      <c r="Q65" s="471"/>
      <c r="R65" s="471"/>
      <c r="S65" s="471"/>
      <c r="T65" s="471"/>
      <c r="U65" s="471"/>
      <c r="V65" s="471"/>
      <c r="W65" s="471"/>
      <c r="X65" s="471"/>
      <c r="Y65" s="471"/>
      <c r="Z65" s="471"/>
      <c r="AA65" s="471"/>
      <c r="AB65" s="471"/>
      <c r="AC65" s="471"/>
    </row>
    <row r="66" spans="2:29" ht="45.75" customHeight="1" x14ac:dyDescent="0.35">
      <c r="B66" s="1729" t="s">
        <v>479</v>
      </c>
      <c r="C66" s="1729"/>
      <c r="D66" s="1729"/>
      <c r="E66" s="1729"/>
      <c r="F66" s="1729"/>
      <c r="G66" s="1729"/>
      <c r="H66" s="1729"/>
      <c r="I66" s="1729"/>
      <c r="J66" s="1729"/>
      <c r="K66" s="1729"/>
      <c r="L66" s="1729"/>
      <c r="M66" s="1729"/>
      <c r="N66" s="1729"/>
      <c r="O66" s="1729"/>
      <c r="P66" s="1729"/>
      <c r="Q66" s="1729"/>
      <c r="R66" s="1729"/>
      <c r="S66" s="1729"/>
      <c r="T66" s="1729"/>
      <c r="U66" s="1729"/>
      <c r="V66" s="1729"/>
      <c r="W66" s="1729"/>
      <c r="X66" s="1729"/>
      <c r="Y66" s="1729"/>
      <c r="Z66" s="1729"/>
      <c r="AA66" s="1729"/>
      <c r="AB66" s="1729"/>
      <c r="AC66" s="1729"/>
    </row>
    <row r="67" spans="2:29" ht="14.9" customHeight="1" x14ac:dyDescent="0.35">
      <c r="B67" s="1641" t="s">
        <v>480</v>
      </c>
      <c r="C67" s="1642"/>
      <c r="D67" s="1655" t="s">
        <v>280</v>
      </c>
      <c r="E67" s="1656"/>
      <c r="F67" s="1656"/>
      <c r="G67" s="1656"/>
      <c r="H67" s="1656"/>
      <c r="I67" s="1656"/>
      <c r="J67" s="1656"/>
      <c r="K67" s="1656"/>
      <c r="L67" s="1656"/>
      <c r="M67" s="1656"/>
      <c r="N67" s="1656"/>
      <c r="O67" s="1656"/>
      <c r="P67" s="1656"/>
      <c r="Q67" s="1683"/>
      <c r="R67" s="1683"/>
      <c r="S67" s="1683"/>
      <c r="T67" s="1684"/>
      <c r="U67" s="1232"/>
      <c r="V67" s="1651" t="s">
        <v>281</v>
      </c>
      <c r="W67" s="1629"/>
      <c r="X67" s="1629"/>
      <c r="Y67" s="1629"/>
      <c r="Z67" s="1629"/>
      <c r="AA67" s="1629"/>
      <c r="AB67" s="1629"/>
      <c r="AC67" s="1630"/>
    </row>
    <row r="68" spans="2:29" x14ac:dyDescent="0.35">
      <c r="B68" s="1641"/>
      <c r="C68" s="1642"/>
      <c r="D68" s="127">
        <v>2018</v>
      </c>
      <c r="E68" s="1624">
        <v>2019</v>
      </c>
      <c r="F68" s="1646"/>
      <c r="G68" s="1646"/>
      <c r="H68" s="1661"/>
      <c r="I68" s="1624">
        <v>2020</v>
      </c>
      <c r="J68" s="1646"/>
      <c r="K68" s="1646"/>
      <c r="L68" s="1646"/>
      <c r="M68" s="1624">
        <v>2021</v>
      </c>
      <c r="N68" s="1646"/>
      <c r="O68" s="1646"/>
      <c r="P68" s="1646"/>
      <c r="Q68" s="1624">
        <v>2022</v>
      </c>
      <c r="R68" s="1625"/>
      <c r="S68" s="1625"/>
      <c r="T68" s="1661"/>
      <c r="U68" s="1228"/>
      <c r="V68" s="1229">
        <v>2023</v>
      </c>
      <c r="W68" s="1229"/>
      <c r="X68" s="1230"/>
      <c r="Y68" s="1633">
        <v>2024</v>
      </c>
      <c r="Z68" s="1631"/>
      <c r="AA68" s="1631"/>
      <c r="AB68" s="1632"/>
      <c r="AC68" s="178">
        <v>2025</v>
      </c>
    </row>
    <row r="69" spans="2:29" x14ac:dyDescent="0.35">
      <c r="B69" s="1643"/>
      <c r="C69" s="1644"/>
      <c r="D69" s="118" t="s">
        <v>282</v>
      </c>
      <c r="E69" s="118" t="s">
        <v>283</v>
      </c>
      <c r="F69" s="132" t="s">
        <v>284</v>
      </c>
      <c r="G69" s="132" t="s">
        <v>238</v>
      </c>
      <c r="H69" s="115" t="s">
        <v>282</v>
      </c>
      <c r="I69" s="132" t="s">
        <v>283</v>
      </c>
      <c r="J69" s="132" t="s">
        <v>284</v>
      </c>
      <c r="K69" s="132" t="s">
        <v>238</v>
      </c>
      <c r="L69" s="132" t="s">
        <v>282</v>
      </c>
      <c r="M69" s="118" t="s">
        <v>283</v>
      </c>
      <c r="N69" s="132" t="s">
        <v>284</v>
      </c>
      <c r="O69" s="132" t="s">
        <v>238</v>
      </c>
      <c r="P69" s="132" t="s">
        <v>282</v>
      </c>
      <c r="Q69" s="118" t="s">
        <v>283</v>
      </c>
      <c r="R69" s="132" t="s">
        <v>284</v>
      </c>
      <c r="S69" s="132" t="s">
        <v>238</v>
      </c>
      <c r="T69" s="115" t="s">
        <v>282</v>
      </c>
      <c r="U69" s="1127" t="s">
        <v>283</v>
      </c>
      <c r="V69" s="190" t="s">
        <v>284</v>
      </c>
      <c r="W69" s="190" t="s">
        <v>238</v>
      </c>
      <c r="X69" s="191" t="s">
        <v>282</v>
      </c>
      <c r="Y69" s="189" t="s">
        <v>283</v>
      </c>
      <c r="Z69" s="186" t="s">
        <v>284</v>
      </c>
      <c r="AA69" s="190" t="s">
        <v>238</v>
      </c>
      <c r="AB69" s="190" t="s">
        <v>282</v>
      </c>
      <c r="AC69" s="192" t="s">
        <v>283</v>
      </c>
    </row>
    <row r="70" spans="2:29" x14ac:dyDescent="0.35">
      <c r="B70" s="482" t="s">
        <v>1446</v>
      </c>
      <c r="D70" s="171"/>
      <c r="E70" s="172"/>
      <c r="F70" s="172"/>
      <c r="G70" s="172"/>
      <c r="H70" s="172"/>
      <c r="I70" s="486">
        <f>(I71-AVERAGE($E71:$H71))</f>
        <v>5.0234999999999914</v>
      </c>
      <c r="J70" s="486">
        <f t="shared" ref="J70:N70" si="19">(J71-AVERAGE($E71:$H71))</f>
        <v>45.406499999999987</v>
      </c>
      <c r="K70" s="486">
        <f t="shared" si="19"/>
        <v>50.178499999999993</v>
      </c>
      <c r="L70" s="486">
        <f t="shared" si="19"/>
        <v>60.014499999999991</v>
      </c>
      <c r="M70" s="486">
        <f t="shared" si="19"/>
        <v>86.04249999999999</v>
      </c>
      <c r="N70" s="486">
        <f t="shared" si="19"/>
        <v>100.69149999999999</v>
      </c>
      <c r="O70" s="486">
        <f t="shared" ref="O70:U70" si="20">(O71-AVERAGE($E71:$H71))</f>
        <v>95.460499999999996</v>
      </c>
      <c r="P70" s="486">
        <f t="shared" si="20"/>
        <v>100.72550000000001</v>
      </c>
      <c r="Q70" s="486">
        <f t="shared" si="20"/>
        <v>80.643499999999989</v>
      </c>
      <c r="R70" s="486">
        <f t="shared" si="20"/>
        <v>63.702499999999993</v>
      </c>
      <c r="S70" s="487">
        <f t="shared" si="20"/>
        <v>56.879499999999986</v>
      </c>
      <c r="T70" s="1192">
        <f t="shared" si="20"/>
        <v>71.822499999999991</v>
      </c>
      <c r="U70" s="1193">
        <f t="shared" si="20"/>
        <v>66.956500000000005</v>
      </c>
      <c r="V70" s="605">
        <f>U70</f>
        <v>66.956500000000005</v>
      </c>
      <c r="W70" s="605">
        <f t="shared" ref="W70:AC70" si="21">V70</f>
        <v>66.956500000000005</v>
      </c>
      <c r="X70" s="605">
        <f t="shared" si="21"/>
        <v>66.956500000000005</v>
      </c>
      <c r="Y70" s="605">
        <f t="shared" si="21"/>
        <v>66.956500000000005</v>
      </c>
      <c r="Z70" s="605">
        <f t="shared" si="21"/>
        <v>66.956500000000005</v>
      </c>
      <c r="AA70" s="605">
        <f t="shared" si="21"/>
        <v>66.956500000000005</v>
      </c>
      <c r="AB70" s="605">
        <f t="shared" si="21"/>
        <v>66.956500000000005</v>
      </c>
      <c r="AC70" s="605">
        <f t="shared" si="21"/>
        <v>66.956500000000005</v>
      </c>
    </row>
    <row r="71" spans="2:29" x14ac:dyDescent="0.35">
      <c r="B71" s="482" t="s">
        <v>160</v>
      </c>
      <c r="C71" s="163" t="s">
        <v>481</v>
      </c>
      <c r="D71" s="196">
        <f>'Haver Pivoted'!GO66</f>
        <v>57.347000000000001</v>
      </c>
      <c r="E71" s="159">
        <f>'Haver Pivoted'!GP66</f>
        <v>56.009</v>
      </c>
      <c r="F71" s="159">
        <f>'Haver Pivoted'!GQ66</f>
        <v>54.273000000000003</v>
      </c>
      <c r="G71" s="159">
        <f>'Haver Pivoted'!GR66</f>
        <v>54.103999999999999</v>
      </c>
      <c r="H71" s="159">
        <f>'Haver Pivoted'!GS66</f>
        <v>54.46</v>
      </c>
      <c r="I71" s="159">
        <f>'Haver Pivoted'!GT66</f>
        <v>59.734999999999999</v>
      </c>
      <c r="J71" s="159">
        <f>'Haver Pivoted'!GU66</f>
        <v>100.11799999999999</v>
      </c>
      <c r="K71" s="159">
        <f>'Haver Pivoted'!GV66</f>
        <v>104.89</v>
      </c>
      <c r="L71" s="159">
        <f>'Haver Pivoted'!GW66</f>
        <v>114.726</v>
      </c>
      <c r="M71" s="159">
        <f>'Haver Pivoted'!GX66</f>
        <v>140.75399999999999</v>
      </c>
      <c r="N71" s="159">
        <f>'Haver Pivoted'!GY66</f>
        <v>155.40299999999999</v>
      </c>
      <c r="O71" s="159">
        <f>'Haver Pivoted'!GZ66</f>
        <v>150.172</v>
      </c>
      <c r="P71" s="159">
        <f>'Haver Pivoted'!HA66</f>
        <v>155.43700000000001</v>
      </c>
      <c r="Q71" s="159">
        <f>'Haver Pivoted'!HB66</f>
        <v>135.35499999999999</v>
      </c>
      <c r="R71" s="159">
        <f>'Haver Pivoted'!HC66</f>
        <v>118.414</v>
      </c>
      <c r="S71" s="132">
        <f>'Haver Pivoted'!HD66</f>
        <v>111.59099999999999</v>
      </c>
      <c r="T71" s="1205">
        <f>'Haver Pivoted'!HE66</f>
        <v>126.53400000000001</v>
      </c>
      <c r="U71" s="1127">
        <f>'Haver Pivoted'!HF66</f>
        <v>121.66800000000001</v>
      </c>
      <c r="V71" s="243"/>
      <c r="W71" s="243"/>
      <c r="X71" s="243"/>
      <c r="Y71" s="243"/>
      <c r="Z71" s="243"/>
      <c r="AA71" s="243"/>
      <c r="AB71" s="243"/>
      <c r="AC71" s="241"/>
    </row>
    <row r="72" spans="2:29" ht="29.15" customHeight="1" x14ac:dyDescent="0.35">
      <c r="B72" s="229" t="s">
        <v>482</v>
      </c>
      <c r="C72" s="230"/>
      <c r="D72" s="583"/>
      <c r="E72" s="475"/>
      <c r="F72" s="475"/>
      <c r="G72" s="475"/>
      <c r="H72" s="475"/>
      <c r="I72" s="475"/>
      <c r="J72" s="475">
        <f t="shared" ref="J72:U72" si="22">J71-$H71</f>
        <v>45.657999999999994</v>
      </c>
      <c r="K72" s="475">
        <f t="shared" si="22"/>
        <v>50.43</v>
      </c>
      <c r="L72" s="475">
        <f t="shared" si="22"/>
        <v>60.265999999999998</v>
      </c>
      <c r="M72" s="475">
        <f t="shared" si="22"/>
        <v>86.293999999999983</v>
      </c>
      <c r="N72" s="475">
        <f>N71-$H71</f>
        <v>100.94299999999998</v>
      </c>
      <c r="O72" s="475">
        <f>O71-$H71</f>
        <v>95.711999999999989</v>
      </c>
      <c r="P72" s="475">
        <f t="shared" si="22"/>
        <v>100.977</v>
      </c>
      <c r="Q72" s="475">
        <f t="shared" si="22"/>
        <v>80.894999999999982</v>
      </c>
      <c r="R72" s="475">
        <f t="shared" si="22"/>
        <v>63.954000000000001</v>
      </c>
      <c r="S72" s="559">
        <f t="shared" si="22"/>
        <v>57.130999999999993</v>
      </c>
      <c r="T72" s="559">
        <f t="shared" si="22"/>
        <v>72.074000000000012</v>
      </c>
      <c r="U72" s="557">
        <f t="shared" si="22"/>
        <v>67.207999999999998</v>
      </c>
      <c r="V72" s="190"/>
      <c r="W72" s="190"/>
      <c r="X72" s="190"/>
      <c r="Y72" s="190"/>
      <c r="Z72" s="190"/>
      <c r="AA72" s="190"/>
      <c r="AB72" s="190"/>
      <c r="AC72" s="191"/>
    </row>
    <row r="73" spans="2:29" ht="29.15" customHeight="1" x14ac:dyDescent="0.35">
      <c r="B73" s="163"/>
      <c r="C73" s="163"/>
      <c r="D73" s="159"/>
      <c r="E73" s="159"/>
      <c r="F73" s="159"/>
      <c r="G73" s="159"/>
      <c r="H73" s="159"/>
      <c r="I73" s="159"/>
      <c r="J73" s="159"/>
      <c r="K73" s="159"/>
      <c r="L73" s="159"/>
      <c r="M73" s="159"/>
      <c r="N73" s="159"/>
      <c r="O73" s="159"/>
      <c r="P73" s="159"/>
      <c r="Q73" s="159"/>
      <c r="R73" s="159"/>
      <c r="S73" s="159"/>
      <c r="T73" s="159"/>
      <c r="U73" s="159"/>
      <c r="V73" s="159"/>
      <c r="W73" s="159"/>
      <c r="X73" s="159"/>
      <c r="Y73" s="159"/>
      <c r="Z73" s="159"/>
      <c r="AA73" s="159"/>
      <c r="AB73" s="159"/>
      <c r="AC73" s="159"/>
    </row>
    <row r="74" spans="2:29" ht="29.15" customHeight="1" x14ac:dyDescent="0.35">
      <c r="B74" s="163"/>
      <c r="C74" s="163"/>
      <c r="D74" s="159"/>
      <c r="E74" s="159"/>
      <c r="F74" s="159"/>
      <c r="G74" s="159"/>
      <c r="H74" s="159"/>
      <c r="I74" s="159"/>
      <c r="J74" s="159"/>
      <c r="K74" s="159"/>
      <c r="L74" s="159"/>
      <c r="M74" s="159"/>
      <c r="N74" s="159"/>
      <c r="O74" s="159"/>
      <c r="P74" s="159"/>
      <c r="Q74" s="159"/>
      <c r="R74" s="159"/>
      <c r="S74" s="159"/>
      <c r="T74" s="159"/>
      <c r="U74" s="159"/>
      <c r="V74" s="159"/>
      <c r="W74" s="159"/>
      <c r="X74" s="159"/>
      <c r="Y74" s="159"/>
      <c r="Z74" s="159"/>
      <c r="AA74" s="159"/>
      <c r="AB74" s="159"/>
      <c r="AC74" s="159"/>
    </row>
    <row r="75" spans="2:29" ht="29.15" customHeight="1" x14ac:dyDescent="0.35">
      <c r="B75" s="163"/>
      <c r="C75" s="163"/>
      <c r="D75" s="159"/>
      <c r="E75" s="159"/>
      <c r="F75" s="159"/>
      <c r="G75" s="159"/>
      <c r="H75" s="159"/>
      <c r="I75" s="159"/>
      <c r="J75" s="159"/>
      <c r="K75" s="159"/>
      <c r="L75" s="159"/>
      <c r="M75" s="159"/>
      <c r="N75" s="159"/>
      <c r="O75" s="159"/>
      <c r="P75" s="159"/>
      <c r="Q75" s="159"/>
      <c r="R75" s="159"/>
      <c r="S75" s="159"/>
      <c r="T75" s="159"/>
      <c r="U75" s="159"/>
      <c r="V75" s="159"/>
      <c r="W75" s="159"/>
      <c r="X75" s="159"/>
      <c r="Y75" s="159"/>
      <c r="Z75" s="159"/>
      <c r="AA75" s="159"/>
      <c r="AB75" s="159"/>
      <c r="AC75" s="159"/>
    </row>
    <row r="76" spans="2:29" ht="35.9" customHeight="1" x14ac:dyDescent="0.35"/>
    <row r="77" spans="2:29" x14ac:dyDescent="0.35">
      <c r="B77" s="431" t="s">
        <v>365</v>
      </c>
    </row>
    <row r="78" spans="2:29" x14ac:dyDescent="0.35">
      <c r="B78" s="1730" t="s">
        <v>810</v>
      </c>
      <c r="C78" s="1731"/>
      <c r="D78" s="1655" t="s">
        <v>280</v>
      </c>
      <c r="E78" s="1656"/>
      <c r="F78" s="1656"/>
      <c r="G78" s="1656"/>
      <c r="H78" s="1656"/>
      <c r="I78" s="1656"/>
      <c r="J78" s="1656"/>
      <c r="K78" s="1656"/>
      <c r="L78" s="1656"/>
      <c r="M78" s="1656"/>
      <c r="N78" s="1656"/>
      <c r="O78" s="1656"/>
      <c r="P78" s="1656"/>
      <c r="Q78" s="1683"/>
      <c r="R78" s="1683"/>
      <c r="S78" s="1683"/>
      <c r="T78" s="1684"/>
      <c r="U78" s="1232"/>
      <c r="V78" s="1651" t="s">
        <v>281</v>
      </c>
      <c r="W78" s="1629"/>
      <c r="X78" s="1629"/>
      <c r="Y78" s="1629"/>
      <c r="Z78" s="1629"/>
      <c r="AA78" s="1629"/>
      <c r="AB78" s="1629"/>
      <c r="AC78" s="1630"/>
    </row>
    <row r="79" spans="2:29" x14ac:dyDescent="0.35">
      <c r="B79" s="1732"/>
      <c r="C79" s="1733"/>
      <c r="D79" s="127">
        <v>2018</v>
      </c>
      <c r="E79" s="1624">
        <v>2019</v>
      </c>
      <c r="F79" s="1646"/>
      <c r="G79" s="1646"/>
      <c r="H79" s="1661"/>
      <c r="I79" s="1624">
        <v>2020</v>
      </c>
      <c r="J79" s="1646"/>
      <c r="K79" s="1646"/>
      <c r="L79" s="1646"/>
      <c r="M79" s="1624">
        <v>2021</v>
      </c>
      <c r="N79" s="1646"/>
      <c r="O79" s="1646"/>
      <c r="P79" s="1646"/>
      <c r="Q79" s="1624">
        <v>2022</v>
      </c>
      <c r="R79" s="1625"/>
      <c r="S79" s="1625"/>
      <c r="T79" s="1661"/>
      <c r="U79" s="1228"/>
      <c r="V79" s="1229">
        <v>2023</v>
      </c>
      <c r="W79" s="1229"/>
      <c r="X79" s="1230"/>
      <c r="Y79" s="1633">
        <v>2024</v>
      </c>
      <c r="Z79" s="1631"/>
      <c r="AA79" s="1631"/>
      <c r="AB79" s="1632"/>
      <c r="AC79" s="178">
        <v>2025</v>
      </c>
    </row>
    <row r="80" spans="2:29" x14ac:dyDescent="0.35">
      <c r="B80" s="1732"/>
      <c r="C80" s="1733"/>
      <c r="D80" s="118" t="s">
        <v>282</v>
      </c>
      <c r="E80" s="118" t="s">
        <v>283</v>
      </c>
      <c r="F80" s="132" t="s">
        <v>284</v>
      </c>
      <c r="G80" s="132" t="s">
        <v>238</v>
      </c>
      <c r="H80" s="115" t="s">
        <v>282</v>
      </c>
      <c r="I80" s="132" t="s">
        <v>283</v>
      </c>
      <c r="J80" s="132" t="s">
        <v>284</v>
      </c>
      <c r="K80" s="132" t="s">
        <v>238</v>
      </c>
      <c r="L80" s="132" t="s">
        <v>282</v>
      </c>
      <c r="M80" s="118" t="s">
        <v>283</v>
      </c>
      <c r="N80" s="132" t="s">
        <v>284</v>
      </c>
      <c r="O80" s="132" t="s">
        <v>238</v>
      </c>
      <c r="P80" s="132" t="s">
        <v>282</v>
      </c>
      <c r="Q80" s="118" t="s">
        <v>283</v>
      </c>
      <c r="R80" s="132" t="s">
        <v>284</v>
      </c>
      <c r="S80" s="132" t="s">
        <v>238</v>
      </c>
      <c r="T80" s="115" t="s">
        <v>282</v>
      </c>
      <c r="U80" s="1127" t="s">
        <v>283</v>
      </c>
      <c r="V80" s="190" t="s">
        <v>284</v>
      </c>
      <c r="W80" s="190" t="s">
        <v>238</v>
      </c>
      <c r="X80" s="191" t="s">
        <v>282</v>
      </c>
      <c r="Y80" s="189" t="s">
        <v>283</v>
      </c>
      <c r="Z80" s="186" t="s">
        <v>284</v>
      </c>
      <c r="AA80" s="190" t="s">
        <v>238</v>
      </c>
      <c r="AB80" s="190" t="s">
        <v>282</v>
      </c>
      <c r="AC80" s="192" t="s">
        <v>283</v>
      </c>
    </row>
    <row r="81" spans="2:30" ht="25.75" customHeight="1" x14ac:dyDescent="0.35">
      <c r="B81" s="500" t="s">
        <v>468</v>
      </c>
      <c r="C81" s="400" t="s">
        <v>469</v>
      </c>
      <c r="D81" s="247">
        <f>'Haver Pivoted'!GO31</f>
        <v>2224.3000000000002</v>
      </c>
      <c r="E81" s="248">
        <f>'Haver Pivoted'!GP31</f>
        <v>2303.4</v>
      </c>
      <c r="F81" s="248">
        <f>'Haver Pivoted'!GQ31</f>
        <v>2319.4</v>
      </c>
      <c r="G81" s="248">
        <f>'Haver Pivoted'!GR31</f>
        <v>2333.8000000000002</v>
      </c>
      <c r="H81" s="248">
        <f>'Haver Pivoted'!GS31</f>
        <v>2346.4</v>
      </c>
      <c r="I81" s="248">
        <f>'Haver Pivoted'!GT31</f>
        <v>2407.5</v>
      </c>
      <c r="J81" s="248">
        <f>'Haver Pivoted'!GU31</f>
        <v>4698.7</v>
      </c>
      <c r="K81" s="248">
        <f>'Haver Pivoted'!GV31</f>
        <v>3492.4</v>
      </c>
      <c r="L81" s="248">
        <f>'Haver Pivoted'!GW31</f>
        <v>2881.6</v>
      </c>
      <c r="M81" s="248">
        <f>'Haver Pivoted'!GX31</f>
        <v>5094.8</v>
      </c>
      <c r="N81" s="248">
        <f>'Haver Pivoted'!GY31</f>
        <v>3395.6</v>
      </c>
      <c r="O81" s="248">
        <f>'Haver Pivoted'!GZ31</f>
        <v>3146.3</v>
      </c>
      <c r="P81" s="248">
        <f>'Haver Pivoted'!HA31</f>
        <v>2937.4</v>
      </c>
      <c r="Q81" s="248">
        <f>'Haver Pivoted'!HB31</f>
        <v>2863</v>
      </c>
      <c r="R81" s="248">
        <f>'Haver Pivoted'!HC31</f>
        <v>2846.5</v>
      </c>
      <c r="S81" s="249">
        <f>'Haver Pivoted'!HD31</f>
        <v>2840.1</v>
      </c>
      <c r="T81" s="1277">
        <f>'Haver Pivoted'!HE31</f>
        <v>2882.8</v>
      </c>
      <c r="U81" s="250">
        <f>'Haver Pivoted'!HF31</f>
        <v>2969.5</v>
      </c>
      <c r="V81" s="1334"/>
      <c r="W81" s="1334"/>
      <c r="X81" s="1334"/>
      <c r="Y81" s="1334"/>
      <c r="Z81" s="1334"/>
      <c r="AA81" s="1334"/>
      <c r="AB81" s="1334"/>
      <c r="AC81" s="649"/>
    </row>
    <row r="82" spans="2:30" ht="25.75" customHeight="1" x14ac:dyDescent="0.35">
      <c r="B82" s="392" t="s">
        <v>806</v>
      </c>
      <c r="C82" s="163"/>
      <c r="D82" s="353">
        <f t="shared" ref="D82:U82" si="23">SUM(D14:D22)</f>
        <v>813.09999999999991</v>
      </c>
      <c r="E82" s="376">
        <f t="shared" si="23"/>
        <v>832</v>
      </c>
      <c r="F82" s="376">
        <f t="shared" si="23"/>
        <v>842.69999999999993</v>
      </c>
      <c r="G82" s="376">
        <f t="shared" si="23"/>
        <v>850.1</v>
      </c>
      <c r="H82" s="376">
        <f t="shared" si="23"/>
        <v>854</v>
      </c>
      <c r="I82" s="376">
        <f t="shared" si="23"/>
        <v>871.02350000000001</v>
      </c>
      <c r="J82" s="376">
        <f t="shared" si="23"/>
        <v>3187.1064999999999</v>
      </c>
      <c r="K82" s="376">
        <f t="shared" si="23"/>
        <v>1850.5785000000001</v>
      </c>
      <c r="L82" s="376">
        <f t="shared" si="23"/>
        <v>1300.1145000000001</v>
      </c>
      <c r="M82" s="376">
        <f t="shared" si="23"/>
        <v>3501.0425</v>
      </c>
      <c r="N82" s="376">
        <f t="shared" si="23"/>
        <v>1824.9133399999998</v>
      </c>
      <c r="O82" s="376">
        <f t="shared" si="23"/>
        <v>1573.4639933333328</v>
      </c>
      <c r="P82" s="376">
        <f t="shared" si="23"/>
        <v>1378.1348333333328</v>
      </c>
      <c r="Q82" s="376">
        <f t="shared" si="23"/>
        <v>1205.9195</v>
      </c>
      <c r="R82" s="376">
        <f t="shared" si="23"/>
        <v>1180.8785</v>
      </c>
      <c r="S82" s="1348">
        <f t="shared" si="23"/>
        <v>1170.5554999999999</v>
      </c>
      <c r="T82" s="1349">
        <f t="shared" si="23"/>
        <v>1164.4385</v>
      </c>
      <c r="U82" s="1350">
        <f t="shared" si="23"/>
        <v>1069.6725000000001</v>
      </c>
      <c r="V82" s="377"/>
      <c r="W82" s="377"/>
      <c r="X82" s="377"/>
      <c r="Y82" s="377"/>
      <c r="Z82" s="377"/>
      <c r="AA82" s="377"/>
      <c r="AB82" s="377"/>
      <c r="AC82" s="378"/>
    </row>
    <row r="83" spans="2:30" ht="25.75" customHeight="1" x14ac:dyDescent="0.35">
      <c r="B83" s="392" t="s">
        <v>807</v>
      </c>
      <c r="C83" s="163"/>
      <c r="D83" s="353">
        <f>D81-D82</f>
        <v>1411.2000000000003</v>
      </c>
      <c r="E83" s="376">
        <f t="shared" ref="E83:O83" si="24">E81-E82</f>
        <v>1471.4</v>
      </c>
      <c r="F83" s="376">
        <f t="shared" si="24"/>
        <v>1476.7000000000003</v>
      </c>
      <c r="G83" s="376">
        <f t="shared" si="24"/>
        <v>1483.7000000000003</v>
      </c>
      <c r="H83" s="376">
        <f t="shared" si="24"/>
        <v>1492.4</v>
      </c>
      <c r="I83" s="376">
        <f t="shared" si="24"/>
        <v>1536.4765</v>
      </c>
      <c r="J83" s="376">
        <f t="shared" si="24"/>
        <v>1511.5934999999999</v>
      </c>
      <c r="K83" s="376">
        <f t="shared" si="24"/>
        <v>1641.8215</v>
      </c>
      <c r="L83" s="376">
        <f t="shared" si="24"/>
        <v>1581.4854999999998</v>
      </c>
      <c r="M83" s="376">
        <f t="shared" si="24"/>
        <v>1593.7575000000002</v>
      </c>
      <c r="N83" s="376">
        <f t="shared" si="24"/>
        <v>1570.6866600000001</v>
      </c>
      <c r="O83" s="376">
        <f t="shared" si="24"/>
        <v>1572.8360066666673</v>
      </c>
      <c r="P83" s="376">
        <f t="shared" ref="P83:T83" si="25">P81-P82</f>
        <v>1559.2651666666673</v>
      </c>
      <c r="Q83" s="376">
        <f t="shared" si="25"/>
        <v>1657.0805</v>
      </c>
      <c r="R83" s="376">
        <f t="shared" si="25"/>
        <v>1665.6215</v>
      </c>
      <c r="S83" s="1348">
        <f t="shared" si="25"/>
        <v>1669.5445</v>
      </c>
      <c r="T83" s="1349">
        <f t="shared" si="25"/>
        <v>1718.3615000000002</v>
      </c>
      <c r="U83" s="1350">
        <f>U81-U82</f>
        <v>1899.8274999999999</v>
      </c>
      <c r="V83" s="377"/>
      <c r="W83" s="377"/>
      <c r="X83" s="377"/>
      <c r="Y83" s="377"/>
      <c r="Z83" s="377"/>
      <c r="AA83" s="377"/>
      <c r="AB83" s="377"/>
      <c r="AC83" s="378"/>
    </row>
    <row r="84" spans="2:30" ht="20.399999999999999" customHeight="1" x14ac:dyDescent="0.35">
      <c r="B84" s="1335" t="s">
        <v>808</v>
      </c>
      <c r="C84" s="1336"/>
      <c r="D84" s="1351">
        <f t="shared" ref="D84:I84" si="26">D12-D14-D15-D21</f>
        <v>1411.2</v>
      </c>
      <c r="E84" s="1352">
        <f t="shared" si="26"/>
        <v>1471.4</v>
      </c>
      <c r="F84" s="1352">
        <f t="shared" si="26"/>
        <v>1476.7</v>
      </c>
      <c r="G84" s="1352">
        <f t="shared" si="26"/>
        <v>1483.7</v>
      </c>
      <c r="H84" s="1352">
        <f t="shared" si="26"/>
        <v>1492.4000000000003</v>
      </c>
      <c r="I84" s="1352">
        <f t="shared" si="26"/>
        <v>1541.5000000000002</v>
      </c>
      <c r="J84" s="1353">
        <f>I84+($H$84-$E$84)/3</f>
        <v>1548.5000000000002</v>
      </c>
      <c r="K84" s="1353">
        <f>J84+($H$84-$E$84)/3</f>
        <v>1555.5000000000002</v>
      </c>
      <c r="L84" s="1353">
        <f>K84+($H$84-$E$84)/3</f>
        <v>1562.5000000000002</v>
      </c>
      <c r="M84" s="1354">
        <f>L84+($H$84-$E$84)/3 +(M88-L88)</f>
        <v>1586.9430000000002</v>
      </c>
      <c r="N84" s="1353">
        <f>M84+($H$84-$E$84)/3</f>
        <v>1593.9430000000002</v>
      </c>
      <c r="O84" s="1353">
        <f>N84+($H$84-$E$84)/3</f>
        <v>1600.9430000000002</v>
      </c>
      <c r="P84" s="1353">
        <f>O84+($H$84-$E$84)/3</f>
        <v>1607.9430000000002</v>
      </c>
      <c r="Q84" s="1354">
        <f>P84+($H$84-$E$84)/3 + 0.06*Q88</f>
        <v>1686.8657200000002</v>
      </c>
      <c r="R84" s="1353">
        <f>Q84+($H$84-$E$84)/3</f>
        <v>1693.8657200000002</v>
      </c>
      <c r="S84" s="1353">
        <f>R84+($H$84-$E$84)/3</f>
        <v>1700.8657200000002</v>
      </c>
      <c r="T84" s="1353">
        <f>S84+($H$84-$E$84)/3</f>
        <v>1707.8657200000002</v>
      </c>
      <c r="U84" s="1355">
        <f>T84+U85</f>
        <v>1821.4964000000002</v>
      </c>
      <c r="V84" s="1337">
        <f t="shared" ref="V84:AC84" si="27">U84+V85</f>
        <v>1828.4964000000002</v>
      </c>
      <c r="W84" s="1337">
        <f t="shared" si="27"/>
        <v>1835.4964000000002</v>
      </c>
      <c r="X84" s="1337">
        <f t="shared" si="27"/>
        <v>1842.4964000000002</v>
      </c>
      <c r="Y84" s="1337">
        <f t="shared" si="27"/>
        <v>1891.8432120000002</v>
      </c>
      <c r="Z84" s="1337">
        <f t="shared" si="27"/>
        <v>1898.8432120000002</v>
      </c>
      <c r="AA84" s="1337">
        <f t="shared" si="27"/>
        <v>1905.8432120000002</v>
      </c>
      <c r="AB84" s="1337">
        <f t="shared" si="27"/>
        <v>1912.8432120000002</v>
      </c>
      <c r="AC84" s="1338">
        <f t="shared" si="27"/>
        <v>1949.2886441600003</v>
      </c>
    </row>
    <row r="85" spans="2:30" ht="20.399999999999999" customHeight="1" x14ac:dyDescent="0.35">
      <c r="B85" s="1339" t="s">
        <v>1891</v>
      </c>
      <c r="C85" s="1189"/>
      <c r="D85" s="353"/>
      <c r="E85" s="1301"/>
      <c r="F85" s="1301"/>
      <c r="G85" s="1301"/>
      <c r="H85" s="1301"/>
      <c r="I85" s="1301"/>
      <c r="J85" s="1356"/>
      <c r="K85" s="1356"/>
      <c r="L85" s="1356"/>
      <c r="M85" s="1357"/>
      <c r="N85" s="1356"/>
      <c r="O85" s="1356"/>
      <c r="P85" s="1356"/>
      <c r="Q85" s="1357"/>
      <c r="R85" s="1356"/>
      <c r="S85" s="1356"/>
      <c r="T85" s="1356"/>
      <c r="U85" s="1358">
        <f>U86+U87</f>
        <v>113.63068000000007</v>
      </c>
      <c r="V85" s="1359">
        <f t="shared" ref="V85:AC85" si="28">V86+V91*V88</f>
        <v>7.0000000000000755</v>
      </c>
      <c r="W85" s="1359">
        <f t="shared" si="28"/>
        <v>7.0000000000000755</v>
      </c>
      <c r="X85" s="1359">
        <f t="shared" si="28"/>
        <v>7.0000000000000755</v>
      </c>
      <c r="Y85" s="1359">
        <f t="shared" si="28"/>
        <v>49.346812000000078</v>
      </c>
      <c r="Z85" s="1359">
        <f t="shared" si="28"/>
        <v>7.0000000000000755</v>
      </c>
      <c r="AA85" s="1359">
        <f t="shared" si="28"/>
        <v>7.0000000000000755</v>
      </c>
      <c r="AB85" s="1359">
        <f t="shared" si="28"/>
        <v>7.0000000000000755</v>
      </c>
      <c r="AC85" s="1360">
        <f t="shared" si="28"/>
        <v>36.445432160000074</v>
      </c>
    </row>
    <row r="86" spans="2:30" ht="28.25" customHeight="1" x14ac:dyDescent="0.35">
      <c r="B86" s="1340" t="s">
        <v>1888</v>
      </c>
      <c r="C86" s="1189"/>
      <c r="D86" s="353"/>
      <c r="E86" s="1301"/>
      <c r="F86" s="1301"/>
      <c r="G86" s="1301"/>
      <c r="H86" s="1301"/>
      <c r="I86" s="1301"/>
      <c r="J86" s="1356"/>
      <c r="K86" s="1356"/>
      <c r="L86" s="1356"/>
      <c r="M86" s="1357"/>
      <c r="N86" s="1356"/>
      <c r="O86" s="1356"/>
      <c r="P86" s="1356"/>
      <c r="Q86" s="1357"/>
      <c r="R86" s="1356"/>
      <c r="S86" s="1356"/>
      <c r="T86" s="1356"/>
      <c r="U86" s="1358">
        <f>($H$84-$E$84)/3</f>
        <v>7.0000000000000755</v>
      </c>
      <c r="V86" s="1359">
        <f>U86</f>
        <v>7.0000000000000755</v>
      </c>
      <c r="W86" s="1359">
        <f t="shared" ref="W86:AC86" si="29">V86</f>
        <v>7.0000000000000755</v>
      </c>
      <c r="X86" s="1359">
        <f t="shared" si="29"/>
        <v>7.0000000000000755</v>
      </c>
      <c r="Y86" s="1359">
        <f t="shared" si="29"/>
        <v>7.0000000000000755</v>
      </c>
      <c r="Z86" s="1359">
        <f t="shared" si="29"/>
        <v>7.0000000000000755</v>
      </c>
      <c r="AA86" s="1359">
        <f t="shared" si="29"/>
        <v>7.0000000000000755</v>
      </c>
      <c r="AB86" s="1359">
        <f t="shared" si="29"/>
        <v>7.0000000000000755</v>
      </c>
      <c r="AC86" s="1360">
        <f t="shared" si="29"/>
        <v>7.0000000000000755</v>
      </c>
    </row>
    <row r="87" spans="2:30" ht="30.65" customHeight="1" x14ac:dyDescent="0.35">
      <c r="B87" s="1341" t="s">
        <v>1889</v>
      </c>
      <c r="C87" s="1342"/>
      <c r="D87" s="1361"/>
      <c r="E87" s="1362"/>
      <c r="F87" s="1362"/>
      <c r="G87" s="1362"/>
      <c r="H87" s="1362"/>
      <c r="I87" s="1362"/>
      <c r="J87" s="1363"/>
      <c r="K87" s="1363"/>
      <c r="L87" s="1363"/>
      <c r="M87" s="1364"/>
      <c r="N87" s="1363"/>
      <c r="O87" s="1363"/>
      <c r="P87" s="1363"/>
      <c r="Q87" s="1364"/>
      <c r="R87" s="1363"/>
      <c r="S87" s="1363"/>
      <c r="T87" s="1363"/>
      <c r="U87" s="1365">
        <f>U91*T88</f>
        <v>106.63068</v>
      </c>
      <c r="V87" s="1366">
        <f t="shared" ref="V87:AC87" si="30">V91*U88</f>
        <v>0</v>
      </c>
      <c r="W87" s="1366">
        <f t="shared" si="30"/>
        <v>0</v>
      </c>
      <c r="X87" s="1366">
        <f t="shared" si="30"/>
        <v>0</v>
      </c>
      <c r="Y87" s="1366">
        <f>Y91*X88</f>
        <v>40.880400000000002</v>
      </c>
      <c r="Z87" s="1366">
        <f t="shared" si="30"/>
        <v>0</v>
      </c>
      <c r="AA87" s="1366">
        <f t="shared" si="30"/>
        <v>0</v>
      </c>
      <c r="AB87" s="1366">
        <f t="shared" si="30"/>
        <v>0</v>
      </c>
      <c r="AC87" s="1367">
        <f t="shared" si="30"/>
        <v>28.711208000000003</v>
      </c>
    </row>
    <row r="88" spans="2:30" ht="17.399999999999999" customHeight="1" x14ac:dyDescent="0.35">
      <c r="B88" s="482" t="s">
        <v>477</v>
      </c>
      <c r="C88" s="163" t="s">
        <v>478</v>
      </c>
      <c r="D88" s="353">
        <f>'Haver Pivoted'!GO88/1000</f>
        <v>983.88599999999997</v>
      </c>
      <c r="E88" s="376">
        <f>'Haver Pivoted'!GP88/1000</f>
        <v>1019.2089999999999</v>
      </c>
      <c r="F88" s="376">
        <f>'Haver Pivoted'!GQ88/1000</f>
        <v>1026.6220000000001</v>
      </c>
      <c r="G88" s="376">
        <f>'Haver Pivoted'!GR88/1000</f>
        <v>1034.357</v>
      </c>
      <c r="H88" s="376">
        <f>'Haver Pivoted'!GS88/1000</f>
        <v>1042.7819999999999</v>
      </c>
      <c r="I88" s="376">
        <f>'Haver Pivoted'!GT88/1000</f>
        <v>1068.2280000000001</v>
      </c>
      <c r="J88" s="376">
        <f>'Haver Pivoted'!GU88/1000</f>
        <v>1074.912</v>
      </c>
      <c r="K88" s="376">
        <f>'Haver Pivoted'!GV88/1000</f>
        <v>1080.3399999999999</v>
      </c>
      <c r="L88" s="376">
        <f>'Haver Pivoted'!GW88/1000</f>
        <v>1088.2329999999999</v>
      </c>
      <c r="M88" s="376">
        <f>'Haver Pivoted'!GX88/1000</f>
        <v>1105.6759999999999</v>
      </c>
      <c r="N88" s="376">
        <f>'Haver Pivoted'!GY88/1000</f>
        <v>1109.3710000000001</v>
      </c>
      <c r="O88" s="376">
        <f>'Haver Pivoted'!GZ88/1000</f>
        <v>1116.8150000000001</v>
      </c>
      <c r="P88" s="376">
        <f>'Haver Pivoted'!HA88/1000</f>
        <v>1126.539</v>
      </c>
      <c r="Q88" s="376">
        <f>'Haver Pivoted'!HB88/1000</f>
        <v>1198.712</v>
      </c>
      <c r="R88" s="376">
        <f>'Haver Pivoted'!HC88/1000</f>
        <v>1206.8920000000001</v>
      </c>
      <c r="S88" s="1348">
        <f>'Haver Pivoted'!HD88/1000</f>
        <v>1214.6369999999999</v>
      </c>
      <c r="T88" s="1349">
        <f>'Haver Pivoted'!HE88/1000</f>
        <v>1225.6400000000001</v>
      </c>
      <c r="U88" s="1350">
        <f>'Haver Pivoted'!HF88/1000</f>
        <v>1338.68</v>
      </c>
      <c r="V88" s="377">
        <f t="shared" ref="V88:AC88" si="31">U88+V89</f>
        <v>1346.68</v>
      </c>
      <c r="W88" s="377">
        <f t="shared" si="31"/>
        <v>1354.68</v>
      </c>
      <c r="X88" s="377">
        <f t="shared" si="31"/>
        <v>1362.68</v>
      </c>
      <c r="Y88" s="377">
        <f t="shared" si="31"/>
        <v>1411.5604000000001</v>
      </c>
      <c r="Z88" s="377">
        <f t="shared" si="31"/>
        <v>1419.5604000000001</v>
      </c>
      <c r="AA88" s="377">
        <f t="shared" si="31"/>
        <v>1427.5604000000001</v>
      </c>
      <c r="AB88" s="377">
        <f t="shared" si="31"/>
        <v>1435.5604000000001</v>
      </c>
      <c r="AC88" s="377">
        <f t="shared" si="31"/>
        <v>1472.271608</v>
      </c>
    </row>
    <row r="89" spans="2:30" ht="17.399999999999999" customHeight="1" x14ac:dyDescent="0.35">
      <c r="B89" s="338" t="s">
        <v>1890</v>
      </c>
      <c r="C89" s="163"/>
      <c r="D89" s="353"/>
      <c r="E89" s="376"/>
      <c r="F89" s="376"/>
      <c r="G89" s="376"/>
      <c r="H89" s="376"/>
      <c r="I89" s="376"/>
      <c r="J89" s="376"/>
      <c r="K89" s="376"/>
      <c r="L89" s="376"/>
      <c r="M89" s="376"/>
      <c r="N89" s="376"/>
      <c r="O89" s="376"/>
      <c r="P89" s="376"/>
      <c r="Q89" s="376"/>
      <c r="R89" s="376"/>
      <c r="S89" s="1348"/>
      <c r="T89" s="1349"/>
      <c r="U89" s="1350">
        <f>U87+U90</f>
        <v>114.63068</v>
      </c>
      <c r="V89" s="377">
        <f>V87+V90</f>
        <v>8</v>
      </c>
      <c r="W89" s="377">
        <f t="shared" ref="W89:AC89" si="32">W87+W90</f>
        <v>8</v>
      </c>
      <c r="X89" s="377">
        <f t="shared" si="32"/>
        <v>8</v>
      </c>
      <c r="Y89" s="377">
        <f>Y87+Y90</f>
        <v>48.880400000000002</v>
      </c>
      <c r="Z89" s="377">
        <f t="shared" si="32"/>
        <v>8</v>
      </c>
      <c r="AA89" s="377">
        <f t="shared" si="32"/>
        <v>8</v>
      </c>
      <c r="AB89" s="377">
        <f t="shared" si="32"/>
        <v>8</v>
      </c>
      <c r="AC89" s="377">
        <f t="shared" si="32"/>
        <v>36.711207999999999</v>
      </c>
    </row>
    <row r="90" spans="2:30" ht="17.399999999999999" customHeight="1" x14ac:dyDescent="0.35">
      <c r="B90" s="325" t="s">
        <v>1893</v>
      </c>
      <c r="C90" s="163"/>
      <c r="D90" s="353"/>
      <c r="E90" s="376"/>
      <c r="F90" s="376"/>
      <c r="G90" s="376"/>
      <c r="H90" s="376"/>
      <c r="I90" s="376"/>
      <c r="J90" s="376"/>
      <c r="K90" s="376"/>
      <c r="L90" s="376"/>
      <c r="M90" s="376"/>
      <c r="N90" s="376"/>
      <c r="O90" s="376"/>
      <c r="P90" s="376"/>
      <c r="Q90" s="376"/>
      <c r="R90" s="376"/>
      <c r="S90" s="1348"/>
      <c r="T90" s="1349"/>
      <c r="U90" s="1350">
        <v>8</v>
      </c>
      <c r="V90" s="377">
        <v>8</v>
      </c>
      <c r="W90" s="377">
        <v>8</v>
      </c>
      <c r="X90" s="377">
        <v>8</v>
      </c>
      <c r="Y90" s="377">
        <v>8</v>
      </c>
      <c r="Z90" s="377">
        <v>8</v>
      </c>
      <c r="AA90" s="377">
        <v>8</v>
      </c>
      <c r="AB90" s="377">
        <v>8</v>
      </c>
      <c r="AC90" s="377">
        <v>8</v>
      </c>
    </row>
    <row r="91" spans="2:30" ht="39" customHeight="1" x14ac:dyDescent="0.35">
      <c r="B91" s="325" t="s">
        <v>1894</v>
      </c>
      <c r="C91" s="163"/>
      <c r="D91" s="353"/>
      <c r="E91" s="376"/>
      <c r="F91" s="376"/>
      <c r="G91" s="376"/>
      <c r="H91" s="376"/>
      <c r="I91" s="1362"/>
      <c r="J91" s="1362"/>
      <c r="K91" s="1362"/>
      <c r="L91" s="1362"/>
      <c r="M91" s="1362"/>
      <c r="N91" s="1362"/>
      <c r="O91" s="1362"/>
      <c r="P91" s="1362"/>
      <c r="Q91" s="1362"/>
      <c r="R91" s="1362"/>
      <c r="S91" s="1368"/>
      <c r="T91" s="1368"/>
      <c r="U91" s="1372">
        <v>8.6999999999999994E-2</v>
      </c>
      <c r="V91" s="1373">
        <v>0</v>
      </c>
      <c r="W91" s="1373">
        <v>0</v>
      </c>
      <c r="X91" s="1373">
        <v>0</v>
      </c>
      <c r="Y91" s="1373">
        <v>0.03</v>
      </c>
      <c r="Z91" s="1373">
        <v>0</v>
      </c>
      <c r="AA91" s="1373">
        <v>0</v>
      </c>
      <c r="AB91" s="1373">
        <v>0</v>
      </c>
      <c r="AC91" s="1374">
        <v>0.02</v>
      </c>
      <c r="AD91" s="1344"/>
    </row>
    <row r="92" spans="2:30" ht="49.75" customHeight="1" x14ac:dyDescent="0.35">
      <c r="B92" s="434" t="s">
        <v>1444</v>
      </c>
      <c r="C92" s="230"/>
      <c r="D92" s="1369">
        <f t="shared" ref="D92:T92" si="33">D83-D84</f>
        <v>0</v>
      </c>
      <c r="E92" s="631">
        <f t="shared" si="33"/>
        <v>0</v>
      </c>
      <c r="F92" s="631">
        <f t="shared" si="33"/>
        <v>0</v>
      </c>
      <c r="G92" s="631">
        <f t="shared" si="33"/>
        <v>0</v>
      </c>
      <c r="H92" s="631">
        <f t="shared" si="33"/>
        <v>0</v>
      </c>
      <c r="I92" s="631">
        <f t="shared" si="33"/>
        <v>-5.0235000000002401</v>
      </c>
      <c r="J92" s="631">
        <f t="shared" si="33"/>
        <v>-36.906500000000278</v>
      </c>
      <c r="K92" s="631">
        <f t="shared" si="33"/>
        <v>86.321499999999787</v>
      </c>
      <c r="L92" s="631">
        <f t="shared" si="33"/>
        <v>18.985499999999547</v>
      </c>
      <c r="M92" s="631">
        <f t="shared" si="33"/>
        <v>6.8144999999999527</v>
      </c>
      <c r="N92" s="631">
        <f t="shared" si="33"/>
        <v>-23.256340000000137</v>
      </c>
      <c r="O92" s="631">
        <f t="shared" si="33"/>
        <v>-28.106993333332866</v>
      </c>
      <c r="P92" s="631">
        <f t="shared" si="33"/>
        <v>-48.677833333332956</v>
      </c>
      <c r="Q92" s="631">
        <f t="shared" si="33"/>
        <v>-29.785220000000209</v>
      </c>
      <c r="R92" s="631">
        <f t="shared" si="33"/>
        <v>-28.244220000000269</v>
      </c>
      <c r="S92" s="1370">
        <f t="shared" si="33"/>
        <v>-31.321220000000267</v>
      </c>
      <c r="T92" s="1370">
        <f t="shared" si="33"/>
        <v>10.495779999999968</v>
      </c>
      <c r="U92" s="1371">
        <f t="shared" ref="U92" si="34">U83-U84</f>
        <v>78.331099999999651</v>
      </c>
      <c r="V92" s="654">
        <f t="shared" ref="V92:AC92" si="35">U92</f>
        <v>78.331099999999651</v>
      </c>
      <c r="W92" s="654">
        <f t="shared" si="35"/>
        <v>78.331099999999651</v>
      </c>
      <c r="X92" s="654">
        <f t="shared" si="35"/>
        <v>78.331099999999651</v>
      </c>
      <c r="Y92" s="654">
        <f t="shared" si="35"/>
        <v>78.331099999999651</v>
      </c>
      <c r="Z92" s="654">
        <f t="shared" si="35"/>
        <v>78.331099999999651</v>
      </c>
      <c r="AA92" s="654">
        <f t="shared" si="35"/>
        <v>78.331099999999651</v>
      </c>
      <c r="AB92" s="654">
        <f t="shared" si="35"/>
        <v>78.331099999999651</v>
      </c>
      <c r="AC92" s="654">
        <f t="shared" si="35"/>
        <v>78.331099999999651</v>
      </c>
    </row>
    <row r="93" spans="2:30" ht="29.5" customHeight="1" x14ac:dyDescent="0.35">
      <c r="B93" s="1188"/>
      <c r="C93" s="1189"/>
      <c r="D93" s="1190"/>
      <c r="E93" s="1190"/>
      <c r="F93" s="1190"/>
      <c r="G93" s="1190"/>
      <c r="H93" s="1190"/>
      <c r="I93" s="1190"/>
      <c r="J93" s="1190"/>
      <c r="K93" s="1190"/>
      <c r="L93" s="1190"/>
      <c r="M93" s="1190"/>
      <c r="N93" s="1190"/>
      <c r="O93" s="1190"/>
      <c r="P93" s="1190"/>
      <c r="Q93" s="1190"/>
      <c r="R93" s="1190"/>
      <c r="S93" s="1343"/>
      <c r="T93" s="1343"/>
      <c r="U93" s="1343"/>
      <c r="V93" s="1343"/>
      <c r="W93" s="1343"/>
      <c r="X93" s="1343"/>
      <c r="Y93" s="1343"/>
      <c r="Z93" s="1343"/>
      <c r="AA93" s="1343"/>
      <c r="AB93" s="1343"/>
      <c r="AC93" s="1343"/>
    </row>
    <row r="94" spans="2:30" ht="16.75" customHeight="1" x14ac:dyDescent="0.35">
      <c r="B94" s="1345" t="s">
        <v>468</v>
      </c>
      <c r="C94" s="400"/>
      <c r="S94" s="1192">
        <v>2840.1</v>
      </c>
      <c r="T94" s="1193">
        <v>2882.8</v>
      </c>
      <c r="U94" s="604"/>
      <c r="V94" s="604"/>
      <c r="W94" s="604"/>
      <c r="X94" s="604"/>
      <c r="Y94" s="604"/>
      <c r="Z94" s="604"/>
      <c r="AA94" s="604"/>
      <c r="AB94" s="604"/>
      <c r="AC94" s="1194"/>
    </row>
    <row r="95" spans="2:30" ht="16.75" customHeight="1" x14ac:dyDescent="0.35">
      <c r="B95" s="1346" t="s">
        <v>806</v>
      </c>
      <c r="C95" s="163"/>
      <c r="S95" s="596">
        <v>1170.5554999999999</v>
      </c>
      <c r="T95" s="599">
        <v>1164.4385</v>
      </c>
      <c r="U95" s="603"/>
      <c r="V95" s="603"/>
      <c r="W95" s="603"/>
      <c r="X95" s="603"/>
      <c r="Y95" s="603"/>
      <c r="Z95" s="603"/>
      <c r="AA95" s="603"/>
      <c r="AB95" s="603"/>
      <c r="AC95" s="620"/>
    </row>
    <row r="96" spans="2:30" ht="16.75" customHeight="1" x14ac:dyDescent="0.35">
      <c r="B96" s="1346" t="s">
        <v>807</v>
      </c>
      <c r="C96" s="163"/>
      <c r="S96" s="596">
        <v>1669.5445</v>
      </c>
      <c r="T96" s="599">
        <v>1718.3615000000002</v>
      </c>
      <c r="U96" s="603"/>
      <c r="V96" s="603"/>
      <c r="W96" s="603"/>
      <c r="X96" s="603"/>
      <c r="Y96" s="603"/>
      <c r="Z96" s="603"/>
      <c r="AA96" s="603"/>
      <c r="AB96" s="603"/>
      <c r="AC96" s="620"/>
    </row>
    <row r="97" spans="2:30" ht="16.75" customHeight="1" x14ac:dyDescent="0.35">
      <c r="B97" s="1346" t="s">
        <v>808</v>
      </c>
      <c r="C97" s="163"/>
      <c r="S97" s="597">
        <v>1700.8657200000002</v>
      </c>
      <c r="T97" s="621">
        <v>1707.8657200000002</v>
      </c>
      <c r="U97" s="377">
        <v>1821.4964000000002</v>
      </c>
      <c r="V97" s="377">
        <v>1828.4964000000002</v>
      </c>
      <c r="W97" s="377">
        <v>1835.4964000000002</v>
      </c>
      <c r="X97" s="377">
        <v>1842.4964000000002</v>
      </c>
      <c r="Y97" s="377">
        <v>1891.8923640120004</v>
      </c>
      <c r="Z97" s="377">
        <v>1898.8923640120004</v>
      </c>
      <c r="AA97" s="377">
        <v>1905.8923640120004</v>
      </c>
      <c r="AB97" s="377">
        <v>1912.8923640120004</v>
      </c>
      <c r="AC97" s="377">
        <v>1949.3712195401604</v>
      </c>
      <c r="AD97" s="1153">
        <f>U84-U97</f>
        <v>0</v>
      </c>
    </row>
    <row r="98" spans="2:30" ht="16.75" customHeight="1" x14ac:dyDescent="0.35">
      <c r="B98" s="405" t="s">
        <v>1891</v>
      </c>
      <c r="C98" s="163"/>
      <c r="S98" s="597"/>
      <c r="T98" s="621"/>
      <c r="U98" s="224">
        <v>113.63068000000007</v>
      </c>
      <c r="V98" s="224">
        <v>7.0000000000000755</v>
      </c>
      <c r="W98" s="224">
        <v>7.0000000000000755</v>
      </c>
      <c r="X98" s="224">
        <v>7.0000000000000755</v>
      </c>
      <c r="Y98" s="224">
        <v>49.395964012000078</v>
      </c>
      <c r="Z98" s="224">
        <v>7.0000000000000755</v>
      </c>
      <c r="AA98" s="224">
        <v>7.0000000000000755</v>
      </c>
      <c r="AB98" s="224">
        <v>7.0000000000000755</v>
      </c>
      <c r="AC98" s="224">
        <v>36.478855528160082</v>
      </c>
      <c r="AD98" s="1153">
        <f t="shared" ref="AD98:AD105" si="36">U85-U98</f>
        <v>0</v>
      </c>
    </row>
    <row r="99" spans="2:30" ht="16.75" customHeight="1" x14ac:dyDescent="0.35">
      <c r="B99" s="405" t="s">
        <v>2216</v>
      </c>
      <c r="C99" s="163"/>
      <c r="S99" s="597"/>
      <c r="T99" s="621"/>
      <c r="U99" s="224">
        <v>7.0000000000000755</v>
      </c>
      <c r="V99" s="224">
        <v>7.0000000000000755</v>
      </c>
      <c r="W99" s="224">
        <v>7.0000000000000755</v>
      </c>
      <c r="X99" s="224">
        <v>7.0000000000000755</v>
      </c>
      <c r="Y99" s="224">
        <v>7.0000000000000755</v>
      </c>
      <c r="Z99" s="224">
        <v>7.0000000000000755</v>
      </c>
      <c r="AA99" s="224">
        <v>7.0000000000000755</v>
      </c>
      <c r="AB99" s="224">
        <v>7.0000000000000755</v>
      </c>
      <c r="AC99" s="224">
        <v>7.0000000000000755</v>
      </c>
      <c r="AD99" s="1153">
        <f t="shared" si="36"/>
        <v>0</v>
      </c>
    </row>
    <row r="100" spans="2:30" ht="16.75" customHeight="1" x14ac:dyDescent="0.35">
      <c r="B100" s="405" t="s">
        <v>2217</v>
      </c>
      <c r="C100" s="163"/>
      <c r="S100" s="597"/>
      <c r="T100" s="621"/>
      <c r="U100" s="224">
        <v>106.63068</v>
      </c>
      <c r="V100" s="224">
        <v>0</v>
      </c>
      <c r="W100" s="224">
        <v>0</v>
      </c>
      <c r="X100" s="224">
        <v>0</v>
      </c>
      <c r="Y100" s="224">
        <v>40.928120400000005</v>
      </c>
      <c r="Z100" s="224">
        <v>0</v>
      </c>
      <c r="AA100" s="224">
        <v>0</v>
      </c>
      <c r="AB100" s="224">
        <v>0</v>
      </c>
      <c r="AC100" s="224">
        <v>28.743976008000001</v>
      </c>
      <c r="AD100" s="1153">
        <f t="shared" si="36"/>
        <v>0</v>
      </c>
    </row>
    <row r="101" spans="2:30" ht="16.75" customHeight="1" x14ac:dyDescent="0.35">
      <c r="B101" s="1346" t="s">
        <v>477</v>
      </c>
      <c r="C101" s="163"/>
      <c r="S101" s="591">
        <v>1214.6369999999999</v>
      </c>
      <c r="T101" s="600">
        <v>1225.6400000000001</v>
      </c>
      <c r="U101" s="377">
        <v>1340.2706800000001</v>
      </c>
      <c r="V101" s="377">
        <v>1348.2706800000001</v>
      </c>
      <c r="W101" s="377">
        <v>1356.2706800000001</v>
      </c>
      <c r="X101" s="377">
        <v>1364.2706800000001</v>
      </c>
      <c r="Y101" s="377">
        <v>1413.1988004</v>
      </c>
      <c r="Z101" s="377">
        <v>1421.1988004</v>
      </c>
      <c r="AA101" s="377">
        <v>1429.1988004</v>
      </c>
      <c r="AB101" s="377">
        <v>1437.1988004</v>
      </c>
      <c r="AC101" s="377">
        <v>1473.9427764080001</v>
      </c>
      <c r="AD101" s="1153">
        <f t="shared" si="36"/>
        <v>-1.5906800000000203</v>
      </c>
    </row>
    <row r="102" spans="2:30" ht="16.75" customHeight="1" x14ac:dyDescent="0.35">
      <c r="B102" s="405" t="s">
        <v>1890</v>
      </c>
      <c r="C102" s="163"/>
      <c r="S102" s="591"/>
      <c r="T102" s="600"/>
      <c r="U102" s="377">
        <v>114.63068</v>
      </c>
      <c r="V102" s="377">
        <v>8</v>
      </c>
      <c r="W102" s="377">
        <v>8</v>
      </c>
      <c r="X102" s="377">
        <v>8</v>
      </c>
      <c r="Y102" s="377">
        <v>48.928120400000005</v>
      </c>
      <c r="Z102" s="377">
        <v>8</v>
      </c>
      <c r="AA102" s="377">
        <v>8</v>
      </c>
      <c r="AB102" s="377">
        <v>8</v>
      </c>
      <c r="AC102" s="377">
        <v>36.743976008000004</v>
      </c>
      <c r="AD102" s="1153">
        <f t="shared" si="36"/>
        <v>0</v>
      </c>
    </row>
    <row r="103" spans="2:30" ht="16.75" customHeight="1" x14ac:dyDescent="0.35">
      <c r="B103" s="405" t="s">
        <v>2218</v>
      </c>
      <c r="C103" s="163"/>
      <c r="S103" s="591"/>
      <c r="T103" s="600"/>
      <c r="U103" s="224">
        <v>8</v>
      </c>
      <c r="V103" s="224">
        <v>8</v>
      </c>
      <c r="W103" s="224">
        <v>8</v>
      </c>
      <c r="X103" s="224">
        <v>8</v>
      </c>
      <c r="Y103" s="224">
        <v>8</v>
      </c>
      <c r="Z103" s="224">
        <v>8</v>
      </c>
      <c r="AA103" s="224">
        <v>8</v>
      </c>
      <c r="AB103" s="224">
        <v>8</v>
      </c>
      <c r="AC103" s="224">
        <v>8</v>
      </c>
      <c r="AD103" s="1153">
        <f t="shared" si="36"/>
        <v>0</v>
      </c>
    </row>
    <row r="104" spans="2:30" ht="16.75" customHeight="1" x14ac:dyDescent="0.35">
      <c r="B104" s="405" t="s">
        <v>2219</v>
      </c>
      <c r="C104" s="163"/>
      <c r="S104" s="591"/>
      <c r="T104" s="600"/>
      <c r="U104" s="580">
        <v>8.6999999999999994E-2</v>
      </c>
      <c r="V104" s="580">
        <v>0</v>
      </c>
      <c r="W104" s="580">
        <v>0</v>
      </c>
      <c r="X104" s="580">
        <v>0</v>
      </c>
      <c r="Y104" s="580">
        <v>0.03</v>
      </c>
      <c r="Z104" s="580">
        <v>0</v>
      </c>
      <c r="AA104" s="580">
        <v>0</v>
      </c>
      <c r="AB104" s="580">
        <v>0</v>
      </c>
      <c r="AC104" s="581">
        <v>0.02</v>
      </c>
      <c r="AD104" s="1153">
        <f t="shared" si="36"/>
        <v>0</v>
      </c>
    </row>
    <row r="105" spans="2:30" ht="16.75" customHeight="1" x14ac:dyDescent="0.35">
      <c r="B105" s="1347" t="s">
        <v>1444</v>
      </c>
      <c r="C105" s="230"/>
      <c r="S105" s="598">
        <v>-31.321220000000267</v>
      </c>
      <c r="T105" s="582">
        <v>10.495779999999968</v>
      </c>
      <c r="U105" s="615">
        <v>10.495779999999968</v>
      </c>
      <c r="V105" s="615">
        <v>10.495779999999968</v>
      </c>
      <c r="W105" s="615">
        <v>10.495779999999968</v>
      </c>
      <c r="X105" s="615">
        <v>10.495779999999968</v>
      </c>
      <c r="Y105" s="615">
        <v>10.495779999999968</v>
      </c>
      <c r="Z105" s="615">
        <v>10.495779999999968</v>
      </c>
      <c r="AA105" s="615">
        <v>10.495779999999968</v>
      </c>
      <c r="AB105" s="615">
        <v>10.495779999999968</v>
      </c>
      <c r="AC105" s="615">
        <v>10.495779999999968</v>
      </c>
      <c r="AD105" s="1153">
        <f t="shared" si="36"/>
        <v>67.835319999999683</v>
      </c>
    </row>
    <row r="106" spans="2:30" ht="22.5" customHeight="1" x14ac:dyDescent="0.35">
      <c r="B106" s="1188"/>
      <c r="C106" s="1189"/>
      <c r="D106" s="1190"/>
      <c r="E106" s="1190"/>
      <c r="F106" s="1190"/>
      <c r="G106" s="1190"/>
      <c r="H106" s="1190"/>
      <c r="I106" s="1190"/>
      <c r="J106" s="1190"/>
      <c r="K106" s="1190"/>
      <c r="L106" s="1190"/>
      <c r="M106" s="1190"/>
      <c r="N106" s="1190"/>
      <c r="O106" s="1190"/>
      <c r="P106" s="1190"/>
      <c r="Q106" s="1190"/>
      <c r="R106" s="1190"/>
      <c r="S106" s="1343"/>
      <c r="T106" s="1343"/>
      <c r="U106" s="1343"/>
      <c r="V106" s="1343"/>
      <c r="W106" s="1343"/>
      <c r="X106" s="1343"/>
      <c r="Y106" s="1343"/>
      <c r="Z106" s="1343"/>
      <c r="AA106" s="1343"/>
      <c r="AB106" s="1343"/>
      <c r="AC106" s="1343"/>
    </row>
    <row r="107" spans="2:30" ht="22.5" customHeight="1" x14ac:dyDescent="0.35">
      <c r="B107" s="225"/>
      <c r="C107" s="163"/>
      <c r="D107" s="188"/>
      <c r="E107" s="188"/>
      <c r="F107" s="188"/>
      <c r="G107" s="188"/>
      <c r="H107" s="188"/>
      <c r="I107" s="188"/>
      <c r="J107" s="188"/>
      <c r="K107" s="188"/>
      <c r="L107" s="188"/>
      <c r="M107" s="188"/>
      <c r="N107" s="188"/>
      <c r="O107" s="188"/>
      <c r="P107" s="188"/>
      <c r="Q107" s="188"/>
      <c r="R107" s="188"/>
      <c r="S107" s="188"/>
      <c r="T107" s="188"/>
      <c r="U107" s="188"/>
      <c r="V107" s="188"/>
      <c r="W107" s="188"/>
      <c r="X107" s="188"/>
      <c r="Y107" s="188"/>
      <c r="Z107" s="188"/>
      <c r="AA107" s="188"/>
      <c r="AB107" s="188"/>
      <c r="AC107" s="188"/>
    </row>
    <row r="108" spans="2:30" ht="38.5" customHeight="1" x14ac:dyDescent="0.35">
      <c r="B108" s="409"/>
      <c r="C108" s="576">
        <v>2022</v>
      </c>
      <c r="D108" s="577">
        <v>2023</v>
      </c>
      <c r="E108" s="577">
        <v>2024</v>
      </c>
      <c r="F108" s="578">
        <v>2025</v>
      </c>
      <c r="G108" s="188"/>
      <c r="H108" s="188"/>
      <c r="I108" s="188"/>
      <c r="J108" s="188"/>
      <c r="K108" s="188"/>
      <c r="L108" s="188"/>
      <c r="M108" s="188"/>
      <c r="N108" s="188"/>
      <c r="O108" s="188"/>
      <c r="P108" s="188"/>
      <c r="Q108" s="188"/>
      <c r="R108" s="188"/>
      <c r="S108" s="188"/>
      <c r="T108" s="188"/>
      <c r="U108" s="188"/>
      <c r="V108" s="188"/>
      <c r="W108" s="188"/>
      <c r="X108" s="188"/>
      <c r="Y108" s="188"/>
      <c r="Z108" s="188"/>
      <c r="AA108" s="188"/>
      <c r="AB108" s="188"/>
      <c r="AC108" s="188"/>
    </row>
    <row r="109" spans="2:30" ht="38.5" customHeight="1" x14ac:dyDescent="0.35">
      <c r="B109" s="434" t="s">
        <v>1887</v>
      </c>
      <c r="C109" s="575">
        <v>1212.5500000000002</v>
      </c>
      <c r="D109" s="575">
        <v>1335.8330000000001</v>
      </c>
      <c r="E109" s="575">
        <v>1449.568</v>
      </c>
      <c r="F109" s="579">
        <v>1546.5429999999999</v>
      </c>
      <c r="G109" s="188"/>
      <c r="H109" s="188"/>
      <c r="I109" s="188"/>
      <c r="J109" s="188"/>
      <c r="K109" s="188"/>
      <c r="L109" s="188"/>
      <c r="M109" s="188"/>
      <c r="N109" s="188"/>
      <c r="O109" s="188"/>
      <c r="P109" s="188"/>
      <c r="Q109" s="188"/>
      <c r="R109" s="188"/>
      <c r="S109" s="188"/>
      <c r="T109" s="188"/>
      <c r="U109" s="188"/>
      <c r="V109" s="188"/>
      <c r="W109" s="188"/>
      <c r="X109" s="188"/>
      <c r="Y109" s="188"/>
      <c r="Z109" s="188"/>
      <c r="AA109" s="188"/>
      <c r="AB109" s="188"/>
      <c r="AC109" s="188"/>
    </row>
    <row r="110" spans="2:30" ht="69" customHeight="1" x14ac:dyDescent="0.35">
      <c r="B110" s="225"/>
      <c r="C110" s="163"/>
      <c r="D110" s="188"/>
      <c r="E110" s="188"/>
      <c r="F110" s="188"/>
      <c r="G110" s="188"/>
      <c r="H110" s="188"/>
      <c r="I110" s="188"/>
      <c r="J110" s="188"/>
      <c r="K110" s="188"/>
      <c r="L110" s="188"/>
      <c r="M110" s="188"/>
      <c r="N110" s="188"/>
      <c r="O110" s="188"/>
      <c r="P110" s="188"/>
      <c r="Q110" s="188"/>
      <c r="R110" s="188"/>
      <c r="S110" s="188"/>
      <c r="T110" s="188"/>
      <c r="U110" s="188"/>
      <c r="V110" s="188"/>
      <c r="W110" s="188"/>
      <c r="X110" s="188"/>
      <c r="Y110" s="188"/>
      <c r="Z110" s="188"/>
      <c r="AA110" s="188"/>
      <c r="AB110" s="188"/>
      <c r="AC110" s="188"/>
    </row>
    <row r="111" spans="2:30" x14ac:dyDescent="0.35">
      <c r="B111" s="74" t="s">
        <v>1443</v>
      </c>
      <c r="D111" s="163"/>
      <c r="E111" s="163"/>
      <c r="F111" s="163"/>
      <c r="G111" s="163"/>
      <c r="H111" s="163"/>
      <c r="I111" s="163"/>
      <c r="J111" s="163"/>
      <c r="K111" s="163"/>
      <c r="L111" s="163"/>
      <c r="M111" s="188"/>
      <c r="N111" s="188"/>
      <c r="O111" s="188"/>
      <c r="P111" s="163"/>
    </row>
    <row r="112" spans="2:30" x14ac:dyDescent="0.35">
      <c r="B112" s="500" t="s">
        <v>814</v>
      </c>
      <c r="C112" s="610"/>
      <c r="D112" s="616">
        <v>2021</v>
      </c>
      <c r="E112" s="616">
        <v>2022</v>
      </c>
      <c r="F112" s="616">
        <v>2023</v>
      </c>
      <c r="G112" s="617">
        <v>2024</v>
      </c>
      <c r="R112" s="498"/>
    </row>
    <row r="113" spans="2:7" x14ac:dyDescent="0.35">
      <c r="B113" s="554" t="s">
        <v>815</v>
      </c>
      <c r="C113" s="624"/>
      <c r="D113" s="607">
        <v>3605.8330000000001</v>
      </c>
      <c r="E113" s="607">
        <v>2900</v>
      </c>
      <c r="F113" s="607">
        <f>E113*1.02</f>
        <v>2958</v>
      </c>
      <c r="G113" s="608">
        <f>F113*1.06</f>
        <v>3135.48</v>
      </c>
    </row>
    <row r="114" spans="2:7" x14ac:dyDescent="0.35">
      <c r="B114" s="554" t="s">
        <v>818</v>
      </c>
      <c r="C114" s="609"/>
      <c r="D114" s="587">
        <f>AVERAGE(Medicare!L10:O10)</f>
        <v>865</v>
      </c>
      <c r="E114" s="587">
        <f>AVERAGE(Medicare!P10:S10)</f>
        <v>910.02500000000009</v>
      </c>
      <c r="F114" s="587">
        <f>AVERAGE(Medicare!T10:W10)</f>
        <v>980.3861474939647</v>
      </c>
      <c r="G114" s="622">
        <f>AVERAGE(Medicare!X10:AA10)</f>
        <v>1083.3868978784108</v>
      </c>
    </row>
    <row r="115" spans="2:7" ht="13.4" customHeight="1" x14ac:dyDescent="0.35">
      <c r="B115" s="554" t="s">
        <v>816</v>
      </c>
      <c r="C115" s="609"/>
      <c r="D115" s="587">
        <f>D113-D114</f>
        <v>2740.8330000000001</v>
      </c>
      <c r="E115" s="587">
        <f t="shared" ref="E115:G115" si="37">E113-E114</f>
        <v>1989.9749999999999</v>
      </c>
      <c r="F115" s="587">
        <f t="shared" si="37"/>
        <v>1977.6138525060353</v>
      </c>
      <c r="G115" s="622">
        <f t="shared" si="37"/>
        <v>2052.0931021215893</v>
      </c>
    </row>
    <row r="116" spans="2:7" x14ac:dyDescent="0.35">
      <c r="B116" s="554" t="s">
        <v>819</v>
      </c>
      <c r="C116" s="609"/>
      <c r="D116" s="587">
        <f>AVERAGE(L12:O12)</f>
        <v>3629.5749999999998</v>
      </c>
      <c r="E116" s="587">
        <f>AVERAGE(P12:S12)</f>
        <v>2871.75</v>
      </c>
      <c r="F116" s="587">
        <f>AVERAGE(T12:W12)</f>
        <v>2991.3245189225358</v>
      </c>
      <c r="G116" s="622">
        <f>AVERAGE(X12:AA12)</f>
        <v>3185.2327783069823</v>
      </c>
    </row>
    <row r="117" spans="2:7" x14ac:dyDescent="0.35">
      <c r="B117" s="554" t="s">
        <v>818</v>
      </c>
      <c r="C117" s="609"/>
      <c r="D117" s="587">
        <f>AVERAGE(Medicare!L10:O10)</f>
        <v>865</v>
      </c>
      <c r="E117" s="587">
        <f>AVERAGE(Medicare!P10:S10)</f>
        <v>910.02500000000009</v>
      </c>
      <c r="F117" s="587">
        <f>AVERAGE(Medicare!T10:W10)</f>
        <v>980.3861474939647</v>
      </c>
      <c r="G117" s="622">
        <f>AVERAGE(Medicare!X10:AA10)</f>
        <v>1083.3868978784108</v>
      </c>
    </row>
    <row r="118" spans="2:7" x14ac:dyDescent="0.35">
      <c r="B118" s="554" t="s">
        <v>537</v>
      </c>
      <c r="C118" s="609"/>
      <c r="D118" s="587">
        <f>AVERAGE(L25:O25)</f>
        <v>1586.0822500000002</v>
      </c>
      <c r="E118" s="587">
        <f>AVERAGE(P25:S25)</f>
        <v>1672.3850400000001</v>
      </c>
      <c r="F118" s="587">
        <f>AVERAGE(T25:W25)</f>
        <v>1798.3387300000002</v>
      </c>
      <c r="G118" s="622">
        <f>AVERAGE(X25:AA25)</f>
        <v>1884.7565090000003</v>
      </c>
    </row>
    <row r="119" spans="2:7" ht="27.65" customHeight="1" x14ac:dyDescent="0.35">
      <c r="B119" s="611" t="s">
        <v>817</v>
      </c>
      <c r="C119" s="229"/>
      <c r="D119" s="543"/>
      <c r="E119" s="618">
        <v>1.157</v>
      </c>
      <c r="F119" s="618">
        <v>1.0109999999999999</v>
      </c>
      <c r="G119" s="623">
        <v>1.0529999999999999</v>
      </c>
    </row>
    <row r="120" spans="2:7" x14ac:dyDescent="0.35">
      <c r="B120" s="163" t="s">
        <v>820</v>
      </c>
      <c r="D120" s="619">
        <f>D116-D113</f>
        <v>23.741999999999734</v>
      </c>
      <c r="E120" s="619">
        <f>E116-E113</f>
        <v>-28.25</v>
      </c>
      <c r="F120" s="619">
        <f>F116-F113</f>
        <v>33.324518922535844</v>
      </c>
      <c r="G120" s="619">
        <f t="shared" ref="G120" si="38">G116-G113</f>
        <v>49.752778306982236</v>
      </c>
    </row>
    <row r="122" spans="2:7" x14ac:dyDescent="0.35">
      <c r="B122" t="s">
        <v>815</v>
      </c>
      <c r="D122">
        <v>3605.8330000000001</v>
      </c>
      <c r="E122">
        <v>2832.5949999999998</v>
      </c>
      <c r="F122">
        <v>2833.72</v>
      </c>
      <c r="G122">
        <v>2976.7339999999999</v>
      </c>
    </row>
  </sheetData>
  <mergeCells count="30">
    <mergeCell ref="U60:X62"/>
    <mergeCell ref="Y79:AB79"/>
    <mergeCell ref="B11:C11"/>
    <mergeCell ref="B66:AC66"/>
    <mergeCell ref="B67:C69"/>
    <mergeCell ref="E68:H68"/>
    <mergeCell ref="I68:L68"/>
    <mergeCell ref="B28:C28"/>
    <mergeCell ref="Y68:AB68"/>
    <mergeCell ref="B78:C80"/>
    <mergeCell ref="E79:H79"/>
    <mergeCell ref="I79:L79"/>
    <mergeCell ref="M68:P68"/>
    <mergeCell ref="M79:P79"/>
    <mergeCell ref="Q79:T79"/>
    <mergeCell ref="B36:C36"/>
    <mergeCell ref="B53:C53"/>
    <mergeCell ref="B1:AC1"/>
    <mergeCell ref="B2:AC6"/>
    <mergeCell ref="E9:H9"/>
    <mergeCell ref="I9:L9"/>
    <mergeCell ref="Y9:AB9"/>
    <mergeCell ref="M9:P9"/>
    <mergeCell ref="Q9:T9"/>
    <mergeCell ref="V8:AC8"/>
    <mergeCell ref="D67:T67"/>
    <mergeCell ref="Q68:T68"/>
    <mergeCell ref="D78:T78"/>
    <mergeCell ref="V67:AC67"/>
    <mergeCell ref="V78:AC78"/>
  </mergeCells>
  <pageMargins left="0.7" right="0.7" top="0.75" bottom="0.75" header="0.3" footer="0.3"/>
  <pageSetup paperSize="9" orientation="portrait" horizontalDpi="300" verticalDpi="300" r:id="rId1"/>
  <drawing r:id="rId2"/>
  <legacyDrawing r:id="rId3"/>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B1:AV76"/>
  <sheetViews>
    <sheetView zoomScale="77" workbookViewId="0">
      <selection activeCell="V33" sqref="V33"/>
    </sheetView>
  </sheetViews>
  <sheetFormatPr defaultColWidth="11.453125" defaultRowHeight="14.5" x14ac:dyDescent="0.35"/>
  <cols>
    <col min="2" max="2" width="26.453125" customWidth="1"/>
    <col min="3" max="3" width="13.1796875" customWidth="1"/>
    <col min="20" max="29" width="11.54296875" customWidth="1"/>
    <col min="30" max="32" width="12.1796875" customWidth="1"/>
  </cols>
  <sheetData>
    <row r="1" spans="2:32" x14ac:dyDescent="0.35">
      <c r="B1" s="1634" t="s">
        <v>1719</v>
      </c>
      <c r="C1" s="1634"/>
      <c r="D1" s="1634"/>
      <c r="E1" s="1634"/>
      <c r="F1" s="1634"/>
      <c r="G1" s="1634"/>
      <c r="H1" s="1634"/>
      <c r="I1" s="1634"/>
      <c r="J1" s="1634"/>
      <c r="K1" s="1634"/>
      <c r="L1" s="1634"/>
      <c r="M1" s="1634"/>
      <c r="N1" s="1634"/>
      <c r="O1" s="1634"/>
      <c r="P1" s="1634"/>
      <c r="Q1" s="1634"/>
      <c r="R1" s="1634"/>
      <c r="S1" s="1634"/>
      <c r="T1" s="1634"/>
      <c r="U1" s="1634"/>
      <c r="V1" s="1634"/>
      <c r="W1" s="1634"/>
      <c r="X1" s="1634"/>
      <c r="Y1" s="1634"/>
      <c r="Z1" s="1634"/>
      <c r="AA1" s="1634"/>
      <c r="AB1" s="1634"/>
      <c r="AC1" s="1634"/>
    </row>
    <row r="2" spans="2:32" x14ac:dyDescent="0.35">
      <c r="B2" s="1674" t="s">
        <v>1720</v>
      </c>
      <c r="C2" s="1674"/>
      <c r="D2" s="1674"/>
      <c r="E2" s="1674"/>
      <c r="F2" s="1674"/>
      <c r="G2" s="1674"/>
      <c r="H2" s="1674"/>
      <c r="I2" s="1674"/>
      <c r="J2" s="1674"/>
      <c r="K2" s="1674"/>
      <c r="L2" s="1674"/>
      <c r="M2" s="1674"/>
      <c r="N2" s="1674"/>
      <c r="O2" s="1674"/>
      <c r="P2" s="1674"/>
      <c r="Q2" s="1674"/>
      <c r="R2" s="1674"/>
      <c r="S2" s="1674"/>
      <c r="T2" s="1674"/>
      <c r="U2" s="1674"/>
      <c r="V2" s="1674"/>
      <c r="W2" s="1674"/>
      <c r="X2" s="1674"/>
      <c r="Y2" s="1674"/>
      <c r="Z2" s="1674"/>
      <c r="AA2" s="1674"/>
      <c r="AB2" s="1674"/>
      <c r="AC2" s="1674"/>
    </row>
    <row r="3" spans="2:32" x14ac:dyDescent="0.35">
      <c r="B3" s="1674"/>
      <c r="C3" s="1674"/>
      <c r="D3" s="1674"/>
      <c r="E3" s="1674"/>
      <c r="F3" s="1674"/>
      <c r="G3" s="1674"/>
      <c r="H3" s="1674"/>
      <c r="I3" s="1674"/>
      <c r="J3" s="1674"/>
      <c r="K3" s="1674"/>
      <c r="L3" s="1674"/>
      <c r="M3" s="1674"/>
      <c r="N3" s="1674"/>
      <c r="O3" s="1674"/>
      <c r="P3" s="1674"/>
      <c r="Q3" s="1674"/>
      <c r="R3" s="1674"/>
      <c r="S3" s="1674"/>
      <c r="T3" s="1674"/>
      <c r="U3" s="1674"/>
      <c r="V3" s="1674"/>
      <c r="W3" s="1674"/>
      <c r="X3" s="1674"/>
      <c r="Y3" s="1674"/>
      <c r="Z3" s="1674"/>
      <c r="AA3" s="1674"/>
      <c r="AB3" s="1674"/>
      <c r="AC3" s="1674"/>
    </row>
    <row r="4" spans="2:32" x14ac:dyDescent="0.35">
      <c r="B4" s="1674"/>
      <c r="C4" s="1674"/>
      <c r="D4" s="1674"/>
      <c r="E4" s="1674"/>
      <c r="F4" s="1674"/>
      <c r="G4" s="1674"/>
      <c r="H4" s="1674"/>
      <c r="I4" s="1674"/>
      <c r="J4" s="1674"/>
      <c r="K4" s="1674"/>
      <c r="L4" s="1674"/>
      <c r="M4" s="1674"/>
      <c r="N4" s="1674"/>
      <c r="O4" s="1674"/>
      <c r="P4" s="1674"/>
      <c r="Q4" s="1674"/>
      <c r="R4" s="1674"/>
      <c r="S4" s="1674"/>
      <c r="T4" s="1674"/>
      <c r="U4" s="1674"/>
      <c r="V4" s="1674"/>
      <c r="W4" s="1674"/>
      <c r="X4" s="1674"/>
      <c r="Y4" s="1674"/>
      <c r="Z4" s="1674"/>
      <c r="AA4" s="1674"/>
      <c r="AB4" s="1674"/>
      <c r="AC4" s="1674"/>
    </row>
    <row r="5" spans="2:32" x14ac:dyDescent="0.35">
      <c r="B5" s="160"/>
      <c r="C5" s="160"/>
      <c r="D5" s="160"/>
      <c r="E5" s="160"/>
      <c r="F5" s="160"/>
      <c r="G5" s="160"/>
      <c r="H5" s="160"/>
      <c r="I5" s="160"/>
      <c r="J5" s="160"/>
      <c r="K5" s="160"/>
      <c r="L5" s="160"/>
      <c r="M5" s="160"/>
      <c r="N5" s="160"/>
      <c r="O5" s="160"/>
      <c r="P5" s="160"/>
      <c r="Q5" s="160"/>
      <c r="R5" s="160"/>
      <c r="S5" s="160"/>
      <c r="T5" s="160"/>
      <c r="U5" s="160"/>
      <c r="V5" s="160"/>
      <c r="W5" s="160"/>
      <c r="X5" s="160"/>
      <c r="Y5" s="160"/>
      <c r="Z5" s="160"/>
      <c r="AA5" s="160"/>
      <c r="AB5" s="160"/>
      <c r="AC5" s="160"/>
    </row>
    <row r="6" spans="2:32" x14ac:dyDescent="0.35">
      <c r="B6" s="35"/>
      <c r="C6" s="873"/>
      <c r="D6" s="848"/>
      <c r="E6" s="848"/>
      <c r="F6" s="848"/>
      <c r="G6" s="848"/>
      <c r="H6" s="848"/>
      <c r="I6" s="848"/>
      <c r="J6" s="848"/>
      <c r="K6" s="848"/>
      <c r="L6" s="848"/>
      <c r="M6" s="848"/>
      <c r="N6" s="848"/>
      <c r="O6" s="848"/>
      <c r="P6" s="848"/>
      <c r="Q6" s="848"/>
      <c r="R6" s="848"/>
      <c r="S6" s="848"/>
      <c r="T6" s="848"/>
      <c r="U6" s="848"/>
      <c r="V6" s="848"/>
      <c r="W6" s="848"/>
      <c r="X6" s="848"/>
      <c r="Y6" s="848"/>
      <c r="Z6" s="848"/>
      <c r="AA6" s="848"/>
      <c r="AB6" s="848"/>
      <c r="AC6" s="848"/>
      <c r="AD6" s="848"/>
      <c r="AE6" s="848"/>
      <c r="AF6" s="848"/>
    </row>
    <row r="7" spans="2:32" ht="14.5" customHeight="1" x14ac:dyDescent="0.35">
      <c r="B7" s="1734" t="s">
        <v>1745</v>
      </c>
      <c r="C7" s="1734"/>
      <c r="D7" s="1734"/>
      <c r="E7" s="1734"/>
      <c r="F7" s="1734"/>
      <c r="G7" s="160"/>
      <c r="H7" s="160"/>
      <c r="I7" s="160"/>
      <c r="J7" s="160"/>
      <c r="K7" s="160"/>
      <c r="L7" s="160"/>
      <c r="M7" s="160"/>
      <c r="N7" s="160"/>
      <c r="O7" s="160"/>
      <c r="P7" s="160"/>
      <c r="Q7" s="160"/>
      <c r="R7" s="160"/>
      <c r="S7" s="160"/>
      <c r="T7" s="1132"/>
      <c r="U7" s="1132"/>
      <c r="V7" s="160"/>
      <c r="W7" s="160"/>
      <c r="X7" s="160"/>
      <c r="Y7" s="160"/>
      <c r="Z7" s="160"/>
      <c r="AA7" s="160"/>
      <c r="AB7" s="160"/>
      <c r="AC7" s="160"/>
    </row>
    <row r="8" spans="2:32" x14ac:dyDescent="0.35">
      <c r="B8" s="1653" t="s">
        <v>1734</v>
      </c>
      <c r="C8" s="1654"/>
      <c r="D8" s="1649" t="s">
        <v>280</v>
      </c>
      <c r="E8" s="1650"/>
      <c r="F8" s="1650"/>
      <c r="G8" s="1650"/>
      <c r="H8" s="1650"/>
      <c r="I8" s="1650"/>
      <c r="J8" s="1650"/>
      <c r="K8" s="1650"/>
      <c r="L8" s="1650"/>
      <c r="M8" s="1650"/>
      <c r="N8" s="1650"/>
      <c r="O8" s="1650"/>
      <c r="P8" s="1650"/>
      <c r="Q8" s="1683"/>
      <c r="R8" s="1683"/>
      <c r="S8" s="1130"/>
      <c r="T8" s="1272"/>
      <c r="U8" s="1469"/>
      <c r="V8" s="1233" t="s">
        <v>1805</v>
      </c>
      <c r="W8" s="1233"/>
      <c r="X8" s="1233"/>
      <c r="Y8" s="1233"/>
      <c r="Z8" s="1233"/>
      <c r="AA8" s="1233"/>
      <c r="AB8" s="1233"/>
      <c r="AC8" s="1233"/>
      <c r="AD8" s="1233"/>
      <c r="AE8" s="1233"/>
      <c r="AF8" s="1234"/>
    </row>
    <row r="9" spans="2:32" x14ac:dyDescent="0.35">
      <c r="B9" s="1641"/>
      <c r="C9" s="1642"/>
      <c r="D9" s="118">
        <v>2018</v>
      </c>
      <c r="E9" s="1636">
        <v>2019</v>
      </c>
      <c r="F9" s="1666"/>
      <c r="G9" s="1666"/>
      <c r="H9" s="1638"/>
      <c r="I9" s="1636">
        <v>2020</v>
      </c>
      <c r="J9" s="1666"/>
      <c r="K9" s="1666"/>
      <c r="L9" s="1666"/>
      <c r="M9" s="1636">
        <v>2021</v>
      </c>
      <c r="N9" s="1666"/>
      <c r="O9" s="1666"/>
      <c r="P9" s="1666"/>
      <c r="Q9" s="1738">
        <v>2022</v>
      </c>
      <c r="R9" s="1724"/>
      <c r="S9" s="801"/>
      <c r="T9" s="1204"/>
      <c r="U9" s="1471"/>
      <c r="V9" s="1229">
        <v>2023</v>
      </c>
      <c r="W9" s="1470"/>
      <c r="X9" s="1470"/>
      <c r="Y9" s="1652">
        <v>2024</v>
      </c>
      <c r="Z9" s="1664"/>
      <c r="AA9" s="1664"/>
      <c r="AB9" s="1665"/>
      <c r="AC9" s="1652">
        <v>2025</v>
      </c>
      <c r="AD9" s="1664"/>
      <c r="AE9" s="1664"/>
      <c r="AF9" s="1665"/>
    </row>
    <row r="10" spans="2:32" x14ac:dyDescent="0.35">
      <c r="B10" s="1643"/>
      <c r="C10" s="1644"/>
      <c r="D10" s="118" t="s">
        <v>282</v>
      </c>
      <c r="E10" s="118" t="s">
        <v>283</v>
      </c>
      <c r="F10" s="132" t="s">
        <v>284</v>
      </c>
      <c r="G10" s="132" t="s">
        <v>238</v>
      </c>
      <c r="H10" s="115" t="s">
        <v>282</v>
      </c>
      <c r="I10" s="132" t="s">
        <v>283</v>
      </c>
      <c r="J10" s="132" t="s">
        <v>284</v>
      </c>
      <c r="K10" s="132" t="s">
        <v>238</v>
      </c>
      <c r="L10" s="132" t="s">
        <v>282</v>
      </c>
      <c r="M10" s="118" t="s">
        <v>283</v>
      </c>
      <c r="N10" s="132" t="s">
        <v>284</v>
      </c>
      <c r="O10" s="132" t="s">
        <v>238</v>
      </c>
      <c r="P10" s="132" t="s">
        <v>282</v>
      </c>
      <c r="Q10" s="118" t="s">
        <v>283</v>
      </c>
      <c r="R10" s="132" t="s">
        <v>284</v>
      </c>
      <c r="S10" s="1205" t="s">
        <v>238</v>
      </c>
      <c r="T10" s="1127" t="s">
        <v>282</v>
      </c>
      <c r="U10" s="1300" t="s">
        <v>283</v>
      </c>
      <c r="V10" s="1273" t="s">
        <v>284</v>
      </c>
      <c r="W10" s="243" t="s">
        <v>238</v>
      </c>
      <c r="X10" s="243" t="s">
        <v>282</v>
      </c>
      <c r="Y10" s="301" t="s">
        <v>283</v>
      </c>
      <c r="Z10" s="226" t="s">
        <v>284</v>
      </c>
      <c r="AA10" s="243" t="s">
        <v>238</v>
      </c>
      <c r="AB10" s="241" t="s">
        <v>282</v>
      </c>
      <c r="AC10" s="324" t="s">
        <v>283</v>
      </c>
      <c r="AD10" s="243" t="s">
        <v>284</v>
      </c>
      <c r="AE10" s="243" t="s">
        <v>238</v>
      </c>
      <c r="AF10" s="241" t="s">
        <v>282</v>
      </c>
    </row>
    <row r="11" spans="2:32" x14ac:dyDescent="0.35">
      <c r="B11" s="1735" t="s">
        <v>1744</v>
      </c>
      <c r="C11" s="1736"/>
      <c r="D11" s="1736"/>
      <c r="E11" s="1736"/>
      <c r="F11" s="1736"/>
      <c r="G11" s="1736"/>
      <c r="H11" s="1736"/>
      <c r="I11" s="1736"/>
      <c r="J11" s="1736"/>
      <c r="K11" s="1736"/>
      <c r="L11" s="1736"/>
      <c r="M11" s="1736"/>
      <c r="N11" s="1736"/>
      <c r="O11" s="1736"/>
      <c r="P11" s="1736"/>
      <c r="Q11" s="1736"/>
      <c r="R11" s="1736"/>
      <c r="S11" s="1736"/>
      <c r="T11" s="1736"/>
      <c r="U11" s="1736"/>
      <c r="V11" s="1736"/>
      <c r="W11" s="1736"/>
      <c r="X11" s="1736"/>
      <c r="Y11" s="1736"/>
      <c r="Z11" s="1736"/>
      <c r="AA11" s="1736"/>
      <c r="AB11" s="1736"/>
      <c r="AC11" s="1736"/>
      <c r="AD11" s="1736"/>
      <c r="AE11" s="1736"/>
      <c r="AF11" s="1737"/>
    </row>
    <row r="12" spans="2:32" x14ac:dyDescent="0.35">
      <c r="B12" s="851" t="s">
        <v>1723</v>
      </c>
      <c r="C12" s="852"/>
      <c r="D12" s="849">
        <f t="shared" ref="D12:S12" si="0">D45</f>
        <v>1.5156509117148609E-2</v>
      </c>
      <c r="E12" s="849">
        <f t="shared" si="0"/>
        <v>8.3593342288621475E-3</v>
      </c>
      <c r="F12" s="849">
        <f t="shared" si="0"/>
        <v>2.4734353401225873E-2</v>
      </c>
      <c r="G12" s="849">
        <f t="shared" si="0"/>
        <v>1.0490970472330163E-2</v>
      </c>
      <c r="H12" s="849">
        <f t="shared" si="0"/>
        <v>1.4569048707785859E-2</v>
      </c>
      <c r="I12" s="849">
        <f t="shared" si="0"/>
        <v>1.4662498774455912E-2</v>
      </c>
      <c r="J12" s="849">
        <f t="shared" si="0"/>
        <v>-1.794085945788193E-2</v>
      </c>
      <c r="K12" s="849">
        <f t="shared" si="0"/>
        <v>3.3775526155126689E-2</v>
      </c>
      <c r="L12" s="849">
        <f t="shared" si="0"/>
        <v>1.6442937470855457E-2</v>
      </c>
      <c r="M12" s="849">
        <f t="shared" si="0"/>
        <v>4.5025943450949013E-2</v>
      </c>
      <c r="N12" s="849">
        <f t="shared" si="0"/>
        <v>6.444180274366329E-2</v>
      </c>
      <c r="O12" s="849">
        <f t="shared" si="0"/>
        <v>5.5998846943190017E-2</v>
      </c>
      <c r="P12" s="849">
        <f t="shared" si="0"/>
        <v>6.1859650545573519E-2</v>
      </c>
      <c r="Q12" s="849">
        <f t="shared" si="0"/>
        <v>7.4784916271317448E-2</v>
      </c>
      <c r="R12" s="849">
        <f t="shared" si="0"/>
        <v>7.2922192171477107E-2</v>
      </c>
      <c r="S12" s="849">
        <f t="shared" si="0"/>
        <v>4.3177876601944165E-2</v>
      </c>
      <c r="T12" s="876">
        <f>T45</f>
        <v>3.7424183382891885E-2</v>
      </c>
      <c r="U12" s="1473">
        <f>U45+U13</f>
        <v>4.1626587212286736E-2</v>
      </c>
      <c r="V12" s="849">
        <f t="shared" ref="V12:AF12" si="1">V45+V13</f>
        <v>3.3692799617050628E-2</v>
      </c>
      <c r="W12" s="849">
        <f t="shared" si="1"/>
        <v>3.3167790258204821E-2</v>
      </c>
      <c r="X12" s="849">
        <f t="shared" si="1"/>
        <v>2.9707222134434552E-2</v>
      </c>
      <c r="Y12" s="849">
        <f t="shared" si="1"/>
        <v>2.6454849931970781E-2</v>
      </c>
      <c r="Z12" s="849">
        <f t="shared" si="1"/>
        <v>2.4178630417615032E-2</v>
      </c>
      <c r="AA12" s="849">
        <f t="shared" si="1"/>
        <v>2.3052401549803703E-2</v>
      </c>
      <c r="AB12" s="849">
        <f t="shared" si="1"/>
        <v>2.2407286089961342E-2</v>
      </c>
      <c r="AC12" s="849">
        <f t="shared" si="1"/>
        <v>2.2473232090692186E-2</v>
      </c>
      <c r="AD12" s="849">
        <f t="shared" si="1"/>
        <v>2.2071462401670683E-2</v>
      </c>
      <c r="AE12" s="849">
        <f t="shared" si="1"/>
        <v>2.1752174739111618E-2</v>
      </c>
      <c r="AF12" s="850">
        <f t="shared" si="1"/>
        <v>2.1591374086621817E-2</v>
      </c>
    </row>
    <row r="13" spans="2:32" x14ac:dyDescent="0.35">
      <c r="B13" s="858" t="s">
        <v>1800</v>
      </c>
      <c r="C13" s="853"/>
      <c r="D13" s="854"/>
      <c r="E13" s="855"/>
      <c r="F13" s="855"/>
      <c r="G13" s="855"/>
      <c r="H13" s="855"/>
      <c r="I13" s="855"/>
      <c r="J13" s="855"/>
      <c r="K13" s="855"/>
      <c r="L13" s="855"/>
      <c r="M13" s="855"/>
      <c r="N13" s="855"/>
      <c r="O13" s="855"/>
      <c r="P13" s="855"/>
      <c r="Q13" s="855"/>
      <c r="R13" s="855"/>
      <c r="S13" s="855"/>
      <c r="T13" s="855"/>
      <c r="U13" s="856"/>
      <c r="V13" s="855"/>
      <c r="W13" s="855"/>
      <c r="X13" s="855"/>
      <c r="Y13" s="855"/>
      <c r="Z13" s="855"/>
      <c r="AA13" s="855"/>
      <c r="AB13" s="855"/>
      <c r="AC13" s="855"/>
      <c r="AD13" s="855"/>
      <c r="AE13" s="855"/>
      <c r="AF13" s="856"/>
    </row>
    <row r="14" spans="2:32" x14ac:dyDescent="0.35">
      <c r="B14" s="699" t="s">
        <v>1724</v>
      </c>
      <c r="C14" s="852"/>
      <c r="D14" s="848">
        <f t="shared" ref="D14:S14" si="2">D46</f>
        <v>2.9652502701153827E-2</v>
      </c>
      <c r="E14" s="848">
        <f t="shared" si="2"/>
        <v>4.3357912415273203E-2</v>
      </c>
      <c r="F14" s="848">
        <f t="shared" si="2"/>
        <v>-2.634393397263235E-2</v>
      </c>
      <c r="G14" s="848">
        <f t="shared" si="2"/>
        <v>1.0018821110834297E-2</v>
      </c>
      <c r="H14" s="848">
        <f t="shared" si="2"/>
        <v>1.6245763277308534E-2</v>
      </c>
      <c r="I14" s="848">
        <f t="shared" si="2"/>
        <v>1.3591255249431944E-2</v>
      </c>
      <c r="J14" s="848">
        <f t="shared" si="2"/>
        <v>3.3104511883148557E-3</v>
      </c>
      <c r="K14" s="848">
        <f t="shared" si="2"/>
        <v>2.5959727144998501E-2</v>
      </c>
      <c r="L14" s="848">
        <f t="shared" si="2"/>
        <v>2.4447407360365325E-2</v>
      </c>
      <c r="M14" s="848">
        <f t="shared" si="2"/>
        <v>4.0827649049088865E-2</v>
      </c>
      <c r="N14" s="848">
        <f t="shared" si="2"/>
        <v>4.1247362410053112E-2</v>
      </c>
      <c r="O14" s="848">
        <f t="shared" si="2"/>
        <v>4.4017858095279694E-2</v>
      </c>
      <c r="P14" s="848">
        <f t="shared" si="2"/>
        <v>4.3432299825096221E-2</v>
      </c>
      <c r="Q14" s="848">
        <f t="shared" si="2"/>
        <v>5.6798579453040565E-2</v>
      </c>
      <c r="R14" s="848">
        <f t="shared" si="2"/>
        <v>5.9959109255099508E-2</v>
      </c>
      <c r="S14" s="848">
        <f t="shared" si="2"/>
        <v>4.8205722331254197E-2</v>
      </c>
      <c r="T14" s="1472">
        <f>T46</f>
        <v>3.1513836354732261E-2</v>
      </c>
      <c r="U14" s="878">
        <f>U46+U15</f>
        <v>3.2429632619026538E-2</v>
      </c>
      <c r="V14" s="848">
        <f t="shared" ref="V14:AF14" si="3">V46+V15</f>
        <v>2.3505953506363975E-2</v>
      </c>
      <c r="W14" s="848">
        <f t="shared" si="3"/>
        <v>2.5343185973087934E-2</v>
      </c>
      <c r="X14" s="848">
        <f t="shared" si="3"/>
        <v>2.5512101094298911E-2</v>
      </c>
      <c r="Y14" s="848">
        <f t="shared" si="3"/>
        <v>2.940897202642212E-2</v>
      </c>
      <c r="Z14" s="848">
        <f t="shared" si="3"/>
        <v>2.823164052632654E-2</v>
      </c>
      <c r="AA14" s="848">
        <f t="shared" si="3"/>
        <v>2.7484808362226332E-2</v>
      </c>
      <c r="AB14" s="848">
        <f t="shared" si="3"/>
        <v>2.6738284169484539E-2</v>
      </c>
      <c r="AC14" s="848">
        <f t="shared" si="3"/>
        <v>2.4037894596453224E-2</v>
      </c>
      <c r="AD14" s="848">
        <f t="shared" si="3"/>
        <v>2.4492235467838519E-2</v>
      </c>
      <c r="AE14" s="848">
        <f t="shared" si="3"/>
        <v>2.4419305134427693E-2</v>
      </c>
      <c r="AF14" s="878">
        <f t="shared" si="3"/>
        <v>2.4121029556380291E-2</v>
      </c>
    </row>
    <row r="15" spans="2:32" x14ac:dyDescent="0.35">
      <c r="B15" s="124" t="s">
        <v>1801</v>
      </c>
      <c r="C15" s="853"/>
      <c r="D15" s="854"/>
      <c r="E15" s="855"/>
      <c r="F15" s="855"/>
      <c r="G15" s="855"/>
      <c r="H15" s="855"/>
      <c r="I15" s="855"/>
      <c r="J15" s="855"/>
      <c r="K15" s="855"/>
      <c r="L15" s="855"/>
      <c r="M15" s="855"/>
      <c r="N15" s="855"/>
      <c r="O15" s="855"/>
      <c r="P15" s="855"/>
      <c r="Q15" s="855"/>
      <c r="R15" s="855"/>
      <c r="S15" s="855"/>
      <c r="T15" s="855"/>
      <c r="U15" s="856"/>
      <c r="V15" s="855"/>
      <c r="W15" s="855"/>
      <c r="X15" s="855"/>
      <c r="Y15" s="855"/>
      <c r="Z15" s="855"/>
      <c r="AA15" s="855"/>
      <c r="AB15" s="855"/>
      <c r="AC15" s="855"/>
      <c r="AD15" s="855"/>
      <c r="AE15" s="855"/>
      <c r="AF15" s="856"/>
    </row>
    <row r="16" spans="2:32" x14ac:dyDescent="0.35">
      <c r="B16" s="699" t="s">
        <v>1725</v>
      </c>
      <c r="C16" s="852"/>
      <c r="D16" s="848">
        <f t="shared" ref="D16:T16" si="4">D47</f>
        <v>2.0739486303195998E-2</v>
      </c>
      <c r="E16" s="848">
        <f t="shared" si="4"/>
        <v>-1.0909955372547464E-2</v>
      </c>
      <c r="F16" s="848">
        <f t="shared" si="4"/>
        <v>2.9915559028399707E-2</v>
      </c>
      <c r="G16" s="848">
        <f t="shared" si="4"/>
        <v>1.0527559706478895E-2</v>
      </c>
      <c r="H16" s="848">
        <f t="shared" si="4"/>
        <v>1.4919704890896002E-2</v>
      </c>
      <c r="I16" s="848">
        <f t="shared" si="4"/>
        <v>4.3158369252632278E-2</v>
      </c>
      <c r="J16" s="848">
        <f t="shared" si="4"/>
        <v>-2.2930962354547058E-3</v>
      </c>
      <c r="K16" s="848">
        <f t="shared" si="4"/>
        <v>3.587837095953339E-2</v>
      </c>
      <c r="L16" s="848">
        <f t="shared" si="4"/>
        <v>4.5534894387470937E-2</v>
      </c>
      <c r="M16" s="848">
        <f t="shared" si="4"/>
        <v>8.7714323909891423E-2</v>
      </c>
      <c r="N16" s="848">
        <f t="shared" si="4"/>
        <v>8.4888593948209357E-2</v>
      </c>
      <c r="O16" s="848">
        <f t="shared" si="4"/>
        <v>6.9703587118332688E-2</v>
      </c>
      <c r="P16" s="848">
        <f t="shared" si="4"/>
        <v>9.0463399615994478E-2</v>
      </c>
      <c r="Q16" s="848">
        <f t="shared" si="4"/>
        <v>0.10558682780244433</v>
      </c>
      <c r="R16" s="848">
        <f t="shared" si="4"/>
        <v>0.14979890704557142</v>
      </c>
      <c r="S16" s="848">
        <f t="shared" si="4"/>
        <v>2.9055945911607095E-2</v>
      </c>
      <c r="T16" s="1472">
        <f t="shared" si="4"/>
        <v>3.8778201417324798E-2</v>
      </c>
      <c r="U16" s="1557">
        <f>U47+U17</f>
        <v>5.7581977776326454E-3</v>
      </c>
      <c r="V16" s="848">
        <f t="shared" ref="V16:AF16" si="5">V47+V17</f>
        <v>3.2439960780993538E-2</v>
      </c>
      <c r="W16" s="848">
        <f t="shared" si="5"/>
        <v>3.4971806389749727E-2</v>
      </c>
      <c r="X16" s="848">
        <f t="shared" si="5"/>
        <v>3.4409055377128128E-2</v>
      </c>
      <c r="Y16" s="848">
        <f t="shared" si="5"/>
        <v>3.1280978879036248E-2</v>
      </c>
      <c r="Z16" s="848">
        <f t="shared" si="5"/>
        <v>2.8069377631034564E-2</v>
      </c>
      <c r="AA16" s="848">
        <f t="shared" si="5"/>
        <v>2.7079936500734814E-2</v>
      </c>
      <c r="AB16" s="848">
        <f t="shared" si="5"/>
        <v>2.6642026237504224E-2</v>
      </c>
      <c r="AC16" s="848">
        <f t="shared" si="5"/>
        <v>2.7649904239910983E-2</v>
      </c>
      <c r="AD16" s="848">
        <f t="shared" si="5"/>
        <v>2.7332985680263322E-2</v>
      </c>
      <c r="AE16" s="848">
        <f t="shared" si="5"/>
        <v>2.7468596479684804E-2</v>
      </c>
      <c r="AF16" s="878">
        <f t="shared" si="5"/>
        <v>2.7135528596684111E-2</v>
      </c>
    </row>
    <row r="17" spans="2:33" x14ac:dyDescent="0.35">
      <c r="B17" s="124" t="s">
        <v>1802</v>
      </c>
      <c r="C17" s="853"/>
      <c r="D17" s="854"/>
      <c r="E17" s="855"/>
      <c r="F17" s="855"/>
      <c r="G17" s="855"/>
      <c r="H17" s="855"/>
      <c r="I17" s="855"/>
      <c r="J17" s="855"/>
      <c r="K17" s="855"/>
      <c r="L17" s="855"/>
      <c r="M17" s="855"/>
      <c r="N17" s="855"/>
      <c r="O17" s="855"/>
      <c r="P17" s="855"/>
      <c r="Q17" s="855"/>
      <c r="R17" s="855"/>
      <c r="S17" s="855"/>
      <c r="T17" s="855"/>
      <c r="U17" s="856"/>
      <c r="V17" s="855"/>
      <c r="W17" s="855"/>
      <c r="X17" s="855"/>
      <c r="Y17" s="855"/>
      <c r="Z17" s="855"/>
      <c r="AA17" s="855"/>
      <c r="AB17" s="855"/>
      <c r="AC17" s="855"/>
      <c r="AD17" s="855"/>
      <c r="AE17" s="855"/>
      <c r="AF17" s="856"/>
    </row>
    <row r="18" spans="2:33" x14ac:dyDescent="0.35">
      <c r="B18" s="699" t="s">
        <v>1726</v>
      </c>
      <c r="C18" s="852"/>
      <c r="D18" s="848">
        <f t="shared" ref="D18:T18" si="6">D48</f>
        <v>1.6036274889288604E-2</v>
      </c>
      <c r="E18" s="848">
        <f t="shared" si="6"/>
        <v>-1.6750426853228473E-2</v>
      </c>
      <c r="F18" s="848">
        <f t="shared" si="6"/>
        <v>2.5813818283004775E-2</v>
      </c>
      <c r="G18" s="848">
        <f t="shared" si="6"/>
        <v>8.6124156242581851E-3</v>
      </c>
      <c r="H18" s="848">
        <f t="shared" si="6"/>
        <v>1.6996215944869331E-2</v>
      </c>
      <c r="I18" s="848">
        <f t="shared" si="6"/>
        <v>5.0660572456327158E-2</v>
      </c>
      <c r="J18" s="848">
        <f t="shared" si="6"/>
        <v>-1.0613393340251909E-3</v>
      </c>
      <c r="K18" s="848">
        <f t="shared" si="6"/>
        <v>3.4596703938156059E-2</v>
      </c>
      <c r="L18" s="848">
        <f t="shared" si="6"/>
        <v>5.1547958936444926E-2</v>
      </c>
      <c r="M18" s="848">
        <f t="shared" si="6"/>
        <v>9.2834286401326738E-2</v>
      </c>
      <c r="N18" s="848">
        <f t="shared" si="6"/>
        <v>8.057551462066237E-2</v>
      </c>
      <c r="O18" s="848">
        <f t="shared" si="6"/>
        <v>6.4680375979367932E-2</v>
      </c>
      <c r="P18" s="848">
        <f t="shared" si="6"/>
        <v>8.4136934840179034E-2</v>
      </c>
      <c r="Q18" s="848">
        <f t="shared" si="6"/>
        <v>0.10120576467409093</v>
      </c>
      <c r="R18" s="848">
        <f t="shared" si="6"/>
        <v>0.15221841372862355</v>
      </c>
      <c r="S18" s="848">
        <f t="shared" si="6"/>
        <v>1.6422651906601304E-2</v>
      </c>
      <c r="T18" s="1472">
        <f t="shared" si="6"/>
        <v>3.6078451145617141E-2</v>
      </c>
      <c r="U18" s="1557">
        <f>U48+U19</f>
        <v>-2.3368941769098539E-3</v>
      </c>
      <c r="V18" s="848">
        <f t="shared" ref="V18:AF18" si="7">V48+V19</f>
        <v>3.2439960780993538E-2</v>
      </c>
      <c r="W18" s="848">
        <f t="shared" si="7"/>
        <v>3.4971806389749727E-2</v>
      </c>
      <c r="X18" s="848">
        <f t="shared" si="7"/>
        <v>3.4409055377128128E-2</v>
      </c>
      <c r="Y18" s="848">
        <f t="shared" si="7"/>
        <v>3.1280978879036248E-2</v>
      </c>
      <c r="Z18" s="848">
        <f t="shared" si="7"/>
        <v>2.8069377631034564E-2</v>
      </c>
      <c r="AA18" s="848">
        <f t="shared" si="7"/>
        <v>2.7079936500734814E-2</v>
      </c>
      <c r="AB18" s="848">
        <f t="shared" si="7"/>
        <v>2.6642026237504224E-2</v>
      </c>
      <c r="AC18" s="848">
        <f t="shared" si="7"/>
        <v>2.7649904239910983E-2</v>
      </c>
      <c r="AD18" s="848">
        <f t="shared" si="7"/>
        <v>2.7332985680263322E-2</v>
      </c>
      <c r="AE18" s="848">
        <f t="shared" si="7"/>
        <v>2.7468596479684804E-2</v>
      </c>
      <c r="AF18" s="878">
        <f t="shared" si="7"/>
        <v>2.7135528596684111E-2</v>
      </c>
    </row>
    <row r="19" spans="2:33" x14ac:dyDescent="0.35">
      <c r="B19" s="124" t="s">
        <v>1803</v>
      </c>
      <c r="C19" s="853"/>
      <c r="D19" s="854"/>
      <c r="E19" s="855"/>
      <c r="F19" s="855"/>
      <c r="G19" s="855"/>
      <c r="H19" s="855"/>
      <c r="I19" s="855"/>
      <c r="J19" s="855"/>
      <c r="K19" s="855"/>
      <c r="L19" s="855"/>
      <c r="M19" s="855"/>
      <c r="N19" s="855"/>
      <c r="O19" s="855"/>
      <c r="P19" s="855"/>
      <c r="Q19" s="855"/>
      <c r="R19" s="855"/>
      <c r="S19" s="855"/>
      <c r="T19" s="855"/>
      <c r="U19" s="856"/>
      <c r="V19" s="855"/>
      <c r="W19" s="855"/>
      <c r="X19" s="855"/>
      <c r="Y19" s="855"/>
      <c r="Z19" s="855"/>
      <c r="AA19" s="855"/>
      <c r="AB19" s="855"/>
      <c r="AC19" s="855"/>
      <c r="AD19" s="855"/>
      <c r="AE19" s="855"/>
      <c r="AF19" s="856"/>
      <c r="AG19" s="857"/>
    </row>
    <row r="20" spans="2:33" x14ac:dyDescent="0.35">
      <c r="B20" s="699" t="s">
        <v>1727</v>
      </c>
      <c r="C20" s="852"/>
      <c r="D20" s="848">
        <f t="shared" ref="D20:T20" si="8">D49</f>
        <v>4.1912016313215839E-2</v>
      </c>
      <c r="E20" s="848">
        <f t="shared" si="8"/>
        <v>1.5721372171975556E-2</v>
      </c>
      <c r="F20" s="848">
        <f t="shared" si="8"/>
        <v>4.8037769815769016E-2</v>
      </c>
      <c r="G20" s="848">
        <f t="shared" si="8"/>
        <v>1.9083730667159404E-2</v>
      </c>
      <c r="H20" s="848">
        <f t="shared" si="8"/>
        <v>5.8979339636944239E-3</v>
      </c>
      <c r="I20" s="848">
        <f t="shared" si="8"/>
        <v>1.0418465412080913E-2</v>
      </c>
      <c r="J20" s="848">
        <f t="shared" si="8"/>
        <v>-7.6555980249765065E-3</v>
      </c>
      <c r="K20" s="848">
        <f t="shared" si="8"/>
        <v>4.135501545294451E-2</v>
      </c>
      <c r="L20" s="848">
        <f t="shared" si="8"/>
        <v>1.8415186976738607E-2</v>
      </c>
      <c r="M20" s="848">
        <f t="shared" si="8"/>
        <v>6.4160755006020143E-2</v>
      </c>
      <c r="N20" s="848">
        <f t="shared" si="8"/>
        <v>0.10458990215743946</v>
      </c>
      <c r="O20" s="848">
        <f t="shared" si="8"/>
        <v>9.3631239224950313E-2</v>
      </c>
      <c r="P20" s="848">
        <f t="shared" si="8"/>
        <v>0.12124821634027616</v>
      </c>
      <c r="Q20" s="848">
        <f t="shared" si="8"/>
        <v>0.12687792670398412</v>
      </c>
      <c r="R20" s="848">
        <f t="shared" si="8"/>
        <v>0.13796693794697101</v>
      </c>
      <c r="S20" s="848">
        <f t="shared" si="8"/>
        <v>9.3268944702830758E-2</v>
      </c>
      <c r="T20" s="1472">
        <f t="shared" si="8"/>
        <v>5.1634147747456671E-2</v>
      </c>
      <c r="U20" s="878">
        <f>U49+U21</f>
        <v>4.4851105874934127E-2</v>
      </c>
      <c r="V20" s="848">
        <f t="shared" ref="V20:AF20" si="9">V49+V21</f>
        <v>3.2439960780993538E-2</v>
      </c>
      <c r="W20" s="848">
        <f t="shared" si="9"/>
        <v>3.4971806389749727E-2</v>
      </c>
      <c r="X20" s="848">
        <f t="shared" si="9"/>
        <v>3.4409055377128128E-2</v>
      </c>
      <c r="Y20" s="848">
        <f t="shared" si="9"/>
        <v>3.1280978879036248E-2</v>
      </c>
      <c r="Z20" s="848">
        <f t="shared" si="9"/>
        <v>2.8069377631034564E-2</v>
      </c>
      <c r="AA20" s="848">
        <f t="shared" si="9"/>
        <v>2.7079936500734814E-2</v>
      </c>
      <c r="AB20" s="848">
        <f t="shared" si="9"/>
        <v>2.6642026237504224E-2</v>
      </c>
      <c r="AC20" s="848">
        <f t="shared" si="9"/>
        <v>2.7649904239910983E-2</v>
      </c>
      <c r="AD20" s="848">
        <f t="shared" si="9"/>
        <v>2.7332985680263322E-2</v>
      </c>
      <c r="AE20" s="848">
        <f t="shared" si="9"/>
        <v>2.7468596479684804E-2</v>
      </c>
      <c r="AF20" s="878">
        <f t="shared" si="9"/>
        <v>2.7135528596684111E-2</v>
      </c>
    </row>
    <row r="21" spans="2:33" x14ac:dyDescent="0.35">
      <c r="B21" s="124" t="s">
        <v>1804</v>
      </c>
      <c r="C21" s="853"/>
      <c r="D21" s="880"/>
      <c r="E21" s="880"/>
      <c r="F21" s="880"/>
      <c r="G21" s="880"/>
      <c r="H21" s="880"/>
      <c r="I21" s="880"/>
      <c r="J21" s="880"/>
      <c r="K21" s="880"/>
      <c r="L21" s="880"/>
      <c r="M21" s="880"/>
      <c r="N21" s="880"/>
      <c r="O21" s="880"/>
      <c r="P21" s="880"/>
      <c r="Q21" s="880"/>
      <c r="R21" s="880"/>
      <c r="S21" s="880"/>
      <c r="T21" s="880"/>
      <c r="U21" s="881"/>
      <c r="V21" s="880"/>
      <c r="W21" s="880"/>
      <c r="X21" s="880"/>
      <c r="Y21" s="880"/>
      <c r="Z21" s="880"/>
      <c r="AA21" s="880"/>
      <c r="AB21" s="880"/>
      <c r="AC21" s="880"/>
      <c r="AD21" s="880"/>
      <c r="AE21" s="880"/>
      <c r="AF21" s="881"/>
    </row>
    <row r="22" spans="2:33" x14ac:dyDescent="0.35">
      <c r="B22" s="1739" t="s">
        <v>1748</v>
      </c>
      <c r="C22" s="1740"/>
      <c r="D22" s="1740"/>
      <c r="E22" s="1740"/>
      <c r="F22" s="1740"/>
      <c r="G22" s="1740"/>
      <c r="H22" s="1740"/>
      <c r="I22" s="1740"/>
      <c r="J22" s="1740"/>
      <c r="K22" s="1740"/>
      <c r="L22" s="1740"/>
      <c r="M22" s="1740"/>
      <c r="N22" s="1740"/>
      <c r="O22" s="1740"/>
      <c r="P22" s="1740"/>
      <c r="Q22" s="1740"/>
      <c r="R22" s="1740"/>
      <c r="S22" s="1740"/>
      <c r="T22" s="1740"/>
      <c r="U22" s="1740"/>
      <c r="V22" s="1740"/>
      <c r="W22" s="1740"/>
      <c r="X22" s="1740"/>
      <c r="Y22" s="1740"/>
      <c r="Z22" s="1740"/>
      <c r="AA22" s="1740"/>
      <c r="AB22" s="1740"/>
      <c r="AC22" s="1740"/>
      <c r="AD22" s="1740"/>
      <c r="AE22" s="1740"/>
      <c r="AF22" s="1741"/>
    </row>
    <row r="23" spans="2:33" x14ac:dyDescent="0.35">
      <c r="B23" s="900" t="s">
        <v>1723</v>
      </c>
      <c r="C23" s="842"/>
      <c r="D23" s="898">
        <f t="shared" ref="D23:AF23" si="10">(D12+1)^0.25-1</f>
        <v>3.7677794973836054E-3</v>
      </c>
      <c r="E23" s="898">
        <f t="shared" si="10"/>
        <v>2.0833142133425131E-3</v>
      </c>
      <c r="F23" s="898">
        <f t="shared" si="10"/>
        <v>6.127046928233737E-3</v>
      </c>
      <c r="G23" s="898">
        <f t="shared" si="10"/>
        <v>2.6124871423760521E-3</v>
      </c>
      <c r="H23" s="898">
        <f t="shared" si="10"/>
        <v>3.6225305055199719E-3</v>
      </c>
      <c r="I23" s="898">
        <f t="shared" si="10"/>
        <v>3.6456401581284048E-3</v>
      </c>
      <c r="J23" s="898">
        <f t="shared" si="10"/>
        <v>-4.5157103455735204E-3</v>
      </c>
      <c r="K23" s="898">
        <f t="shared" si="10"/>
        <v>8.3389922585903609E-3</v>
      </c>
      <c r="L23" s="898">
        <f t="shared" si="10"/>
        <v>4.0856275703535783E-3</v>
      </c>
      <c r="M23" s="898">
        <f t="shared" si="10"/>
        <v>1.1071265683547882E-2</v>
      </c>
      <c r="N23" s="898">
        <f t="shared" si="10"/>
        <v>1.5735147135566452E-2</v>
      </c>
      <c r="O23" s="898">
        <f t="shared" si="10"/>
        <v>1.3714972395896918E-2</v>
      </c>
      <c r="P23" s="898">
        <f t="shared" si="10"/>
        <v>1.5118586412170565E-2</v>
      </c>
      <c r="Q23" s="898">
        <f t="shared" si="10"/>
        <v>1.8193665219635502E-2</v>
      </c>
      <c r="R23" s="898">
        <f t="shared" si="10"/>
        <v>1.7752216949378008E-2</v>
      </c>
      <c r="S23" s="899">
        <f t="shared" si="10"/>
        <v>1.0623963938950931E-2</v>
      </c>
      <c r="T23" s="898">
        <f t="shared" si="10"/>
        <v>9.2275371687136065E-3</v>
      </c>
      <c r="U23" s="898">
        <f t="shared" si="10"/>
        <v>1.0248034459015898E-2</v>
      </c>
      <c r="V23" s="898">
        <f t="shared" si="10"/>
        <v>8.3188189000429347E-3</v>
      </c>
      <c r="W23" s="898">
        <f t="shared" si="10"/>
        <v>8.1907640097225176E-3</v>
      </c>
      <c r="X23" s="898">
        <f t="shared" si="10"/>
        <v>7.3454744803962413E-3</v>
      </c>
      <c r="Y23" s="898">
        <f t="shared" si="10"/>
        <v>6.5490951570947864E-3</v>
      </c>
      <c r="Z23" s="898">
        <f t="shared" si="10"/>
        <v>5.9906111616996327E-3</v>
      </c>
      <c r="AA23" s="898">
        <f t="shared" si="10"/>
        <v>5.71393990210467E-3</v>
      </c>
      <c r="AB23" s="898">
        <f t="shared" si="10"/>
        <v>5.5553568504056461E-3</v>
      </c>
      <c r="AC23" s="898">
        <f t="shared" si="10"/>
        <v>5.5715712180339771E-3</v>
      </c>
      <c r="AD23" s="898">
        <f t="shared" si="10"/>
        <v>5.4727745674469919E-3</v>
      </c>
      <c r="AE23" s="898">
        <f t="shared" si="10"/>
        <v>5.39423977829534E-3</v>
      </c>
      <c r="AF23" s="899">
        <f t="shared" si="10"/>
        <v>5.354680872593276E-3</v>
      </c>
    </row>
    <row r="24" spans="2:33" x14ac:dyDescent="0.35">
      <c r="B24" s="843" t="s">
        <v>1724</v>
      </c>
      <c r="C24" s="842"/>
      <c r="D24" s="898">
        <f t="shared" ref="D24:AF24" si="11">(D14+1)^0.25-1</f>
        <v>7.3320914354932931E-3</v>
      </c>
      <c r="E24" s="898">
        <f t="shared" si="11"/>
        <v>1.0667565499398624E-2</v>
      </c>
      <c r="F24" s="898">
        <f t="shared" si="11"/>
        <v>-6.652064573700045E-3</v>
      </c>
      <c r="G24" s="898">
        <f t="shared" si="11"/>
        <v>2.495349575790673E-3</v>
      </c>
      <c r="H24" s="898">
        <f t="shared" si="11"/>
        <v>4.0369297610427513E-3</v>
      </c>
      <c r="I24" s="898">
        <f t="shared" si="11"/>
        <v>3.3806321331337763E-3</v>
      </c>
      <c r="J24" s="898">
        <f t="shared" si="11"/>
        <v>8.2658736219798357E-4</v>
      </c>
      <c r="K24" s="898">
        <f t="shared" si="11"/>
        <v>6.4276929430036045E-3</v>
      </c>
      <c r="L24" s="898">
        <f t="shared" si="11"/>
        <v>6.0566056248829714E-3</v>
      </c>
      <c r="M24" s="898">
        <f t="shared" si="11"/>
        <v>1.0054261091605454E-2</v>
      </c>
      <c r="N24" s="898">
        <f t="shared" si="11"/>
        <v>1.0156071698179447E-2</v>
      </c>
      <c r="O24" s="898">
        <f t="shared" si="11"/>
        <v>1.0827344693645324E-2</v>
      </c>
      <c r="P24" s="898">
        <f t="shared" si="11"/>
        <v>1.0685579196217487E-2</v>
      </c>
      <c r="Q24" s="898">
        <f t="shared" si="11"/>
        <v>1.3906845400109002E-2</v>
      </c>
      <c r="R24" s="898">
        <f t="shared" si="11"/>
        <v>1.4664060468276618E-2</v>
      </c>
      <c r="S24" s="899">
        <f t="shared" si="11"/>
        <v>1.1839505254193972E-2</v>
      </c>
      <c r="T24" s="898">
        <f t="shared" si="11"/>
        <v>7.7870292442578926E-3</v>
      </c>
      <c r="U24" s="898">
        <f t="shared" si="11"/>
        <v>8.0106376078354913E-3</v>
      </c>
      <c r="V24" s="898">
        <f t="shared" si="11"/>
        <v>5.8253876907148339E-3</v>
      </c>
      <c r="W24" s="898">
        <f t="shared" si="11"/>
        <v>6.2764579641267915E-3</v>
      </c>
      <c r="X24" s="898">
        <f t="shared" si="11"/>
        <v>6.3178989208103609E-3</v>
      </c>
      <c r="Y24" s="898">
        <f t="shared" si="11"/>
        <v>7.2725232743062751E-3</v>
      </c>
      <c r="Z24" s="898">
        <f t="shared" si="11"/>
        <v>6.9843961411393263E-3</v>
      </c>
      <c r="AA24" s="898">
        <f t="shared" si="11"/>
        <v>6.8014963862881306E-3</v>
      </c>
      <c r="AB24" s="898">
        <f t="shared" si="11"/>
        <v>6.6185723821980957E-3</v>
      </c>
      <c r="AC24" s="898">
        <f t="shared" si="11"/>
        <v>5.9560502446180941E-3</v>
      </c>
      <c r="AD24" s="898">
        <f t="shared" si="11"/>
        <v>6.067611283465224E-3</v>
      </c>
      <c r="AE24" s="898">
        <f t="shared" si="11"/>
        <v>6.0497061196782553E-3</v>
      </c>
      <c r="AF24" s="899">
        <f t="shared" si="11"/>
        <v>5.9764663763033354E-3</v>
      </c>
    </row>
    <row r="25" spans="2:33" x14ac:dyDescent="0.35">
      <c r="B25" s="843" t="s">
        <v>1725</v>
      </c>
      <c r="C25" s="842"/>
      <c r="D25" s="898">
        <f t="shared" ref="D25:AF25" si="12">(D16+1)^0.25-1</f>
        <v>5.1450282316933826E-3</v>
      </c>
      <c r="E25" s="898">
        <f t="shared" si="12"/>
        <v>-2.7387191894091556E-3</v>
      </c>
      <c r="F25" s="898">
        <f t="shared" si="12"/>
        <v>7.3964237457664339E-3</v>
      </c>
      <c r="G25" s="898">
        <f t="shared" si="12"/>
        <v>2.6215630089621023E-3</v>
      </c>
      <c r="H25" s="898">
        <f t="shared" si="12"/>
        <v>3.7092374780660631E-3</v>
      </c>
      <c r="I25" s="898">
        <f t="shared" si="12"/>
        <v>1.0619239257432245E-2</v>
      </c>
      <c r="J25" s="898">
        <f t="shared" si="12"/>
        <v>-5.737676840339434E-4</v>
      </c>
      <c r="K25" s="898">
        <f t="shared" si="12"/>
        <v>8.8513774045670957E-3</v>
      </c>
      <c r="L25" s="898">
        <f t="shared" si="12"/>
        <v>1.1194346769946906E-2</v>
      </c>
      <c r="M25" s="898">
        <f t="shared" si="12"/>
        <v>2.1242104555839303E-2</v>
      </c>
      <c r="N25" s="898">
        <f t="shared" si="12"/>
        <v>2.0578196323559839E-2</v>
      </c>
      <c r="O25" s="898">
        <f t="shared" si="12"/>
        <v>1.6988080943209027E-2</v>
      </c>
      <c r="P25" s="898">
        <f t="shared" si="12"/>
        <v>2.1886762550021865E-2</v>
      </c>
      <c r="Q25" s="898">
        <f t="shared" si="12"/>
        <v>2.5411571298960212E-2</v>
      </c>
      <c r="R25" s="898">
        <f t="shared" si="12"/>
        <v>3.5512803061239939E-2</v>
      </c>
      <c r="S25" s="899">
        <f t="shared" si="12"/>
        <v>7.1861535090920192E-3</v>
      </c>
      <c r="T25" s="898">
        <f t="shared" si="12"/>
        <v>9.5566802500108849E-3</v>
      </c>
      <c r="U25" s="898">
        <f t="shared" si="12"/>
        <v>1.4364513904847609E-3</v>
      </c>
      <c r="V25" s="898">
        <f t="shared" si="12"/>
        <v>8.0131585685250251E-3</v>
      </c>
      <c r="W25" s="898">
        <f t="shared" si="12"/>
        <v>8.630577055315225E-3</v>
      </c>
      <c r="X25" s="898">
        <f t="shared" si="12"/>
        <v>8.4934420030498003E-3</v>
      </c>
      <c r="Y25" s="898">
        <f t="shared" si="12"/>
        <v>7.7301491027170766E-3</v>
      </c>
      <c r="Z25" s="898">
        <f t="shared" si="12"/>
        <v>6.9446663109324902E-3</v>
      </c>
      <c r="AA25" s="898">
        <f t="shared" si="12"/>
        <v>6.7023012839417806E-3</v>
      </c>
      <c r="AB25" s="898">
        <f t="shared" si="12"/>
        <v>6.5949786314196679E-3</v>
      </c>
      <c r="AC25" s="898">
        <f t="shared" si="12"/>
        <v>6.8419370723198369E-3</v>
      </c>
      <c r="AD25" s="898">
        <f t="shared" si="12"/>
        <v>6.764302704038716E-3</v>
      </c>
      <c r="AE25" s="898">
        <f t="shared" si="12"/>
        <v>6.7975249786220715E-3</v>
      </c>
      <c r="AF25" s="899">
        <f t="shared" si="12"/>
        <v>6.7159232896483179E-3</v>
      </c>
    </row>
    <row r="26" spans="2:33" x14ac:dyDescent="0.35">
      <c r="B26" s="843" t="s">
        <v>1726</v>
      </c>
      <c r="C26" s="842"/>
      <c r="D26" s="898">
        <f t="shared" ref="D26:AF26" si="13">(D18+1)^0.25-1</f>
        <v>3.9851828444024129E-3</v>
      </c>
      <c r="E26" s="898">
        <f t="shared" si="13"/>
        <v>-4.2141708050640325E-3</v>
      </c>
      <c r="F26" s="898">
        <f t="shared" si="13"/>
        <v>6.3919082655803372E-3</v>
      </c>
      <c r="G26" s="898">
        <f t="shared" si="13"/>
        <v>2.1461848510757608E-3</v>
      </c>
      <c r="H26" s="898">
        <f t="shared" si="13"/>
        <v>4.2222376989240473E-3</v>
      </c>
      <c r="I26" s="898">
        <f t="shared" si="13"/>
        <v>1.2431406205300366E-2</v>
      </c>
      <c r="J26" s="898">
        <f t="shared" si="13"/>
        <v>-2.6544050279575515E-4</v>
      </c>
      <c r="K26" s="898">
        <f t="shared" si="13"/>
        <v>8.5391757168795657E-3</v>
      </c>
      <c r="L26" s="898">
        <f t="shared" si="13"/>
        <v>1.2645113075675285E-2</v>
      </c>
      <c r="M26" s="898">
        <f t="shared" si="13"/>
        <v>2.2441757099008752E-2</v>
      </c>
      <c r="N26" s="898">
        <f t="shared" si="13"/>
        <v>1.9562328778359062E-2</v>
      </c>
      <c r="O26" s="898">
        <f t="shared" si="13"/>
        <v>1.5792056507083485E-2</v>
      </c>
      <c r="P26" s="898">
        <f t="shared" si="13"/>
        <v>2.0401374875263389E-2</v>
      </c>
      <c r="Q26" s="898">
        <f t="shared" si="13"/>
        <v>2.4394219276322904E-2</v>
      </c>
      <c r="R26" s="898">
        <f t="shared" si="13"/>
        <v>3.6057127703905678E-2</v>
      </c>
      <c r="S26" s="899">
        <f t="shared" si="13"/>
        <v>4.0806177967589452E-3</v>
      </c>
      <c r="T26" s="898">
        <f t="shared" si="13"/>
        <v>8.9000888552244195E-3</v>
      </c>
      <c r="U26" s="898">
        <f t="shared" si="13"/>
        <v>-5.8473621899446382E-4</v>
      </c>
      <c r="V26" s="898">
        <f t="shared" si="13"/>
        <v>8.0131585685250251E-3</v>
      </c>
      <c r="W26" s="898">
        <f t="shared" si="13"/>
        <v>8.630577055315225E-3</v>
      </c>
      <c r="X26" s="898">
        <f t="shared" si="13"/>
        <v>8.4934420030498003E-3</v>
      </c>
      <c r="Y26" s="898">
        <f t="shared" si="13"/>
        <v>7.7301491027170766E-3</v>
      </c>
      <c r="Z26" s="898">
        <f t="shared" si="13"/>
        <v>6.9446663109324902E-3</v>
      </c>
      <c r="AA26" s="898">
        <f t="shared" si="13"/>
        <v>6.7023012839417806E-3</v>
      </c>
      <c r="AB26" s="898">
        <f t="shared" si="13"/>
        <v>6.5949786314196679E-3</v>
      </c>
      <c r="AC26" s="898">
        <f t="shared" si="13"/>
        <v>6.8419370723198369E-3</v>
      </c>
      <c r="AD26" s="898">
        <f t="shared" si="13"/>
        <v>6.764302704038716E-3</v>
      </c>
      <c r="AE26" s="898">
        <f t="shared" si="13"/>
        <v>6.7975249786220715E-3</v>
      </c>
      <c r="AF26" s="899">
        <f t="shared" si="13"/>
        <v>6.7159232896483179E-3</v>
      </c>
    </row>
    <row r="27" spans="2:33" x14ac:dyDescent="0.35">
      <c r="B27" s="844" t="s">
        <v>1727</v>
      </c>
      <c r="C27" s="845"/>
      <c r="D27" s="846">
        <f t="shared" ref="D27:AF27" si="14">(D20+1)^0.25-1</f>
        <v>1.0317235016500392E-2</v>
      </c>
      <c r="E27" s="846">
        <f t="shared" si="14"/>
        <v>3.9073818785286818E-3</v>
      </c>
      <c r="F27" s="846">
        <f t="shared" si="14"/>
        <v>1.1798971416576265E-2</v>
      </c>
      <c r="G27" s="846">
        <f t="shared" si="14"/>
        <v>4.7371651351562072E-3</v>
      </c>
      <c r="H27" s="846">
        <f t="shared" si="14"/>
        <v>1.4712335131508159E-3</v>
      </c>
      <c r="I27" s="846">
        <f t="shared" si="14"/>
        <v>2.5945017182129604E-3</v>
      </c>
      <c r="J27" s="846">
        <f t="shared" si="14"/>
        <v>-1.9194186903395138E-3</v>
      </c>
      <c r="K27" s="846">
        <f t="shared" si="14"/>
        <v>1.0182180325898571E-2</v>
      </c>
      <c r="L27" s="846">
        <f t="shared" si="14"/>
        <v>4.5723415828120562E-3</v>
      </c>
      <c r="M27" s="846">
        <f t="shared" si="14"/>
        <v>1.5668093602477118E-2</v>
      </c>
      <c r="N27" s="846">
        <f t="shared" si="14"/>
        <v>2.5180335515684549E-2</v>
      </c>
      <c r="O27" s="846">
        <f t="shared" si="14"/>
        <v>2.2628110857430661E-2</v>
      </c>
      <c r="P27" s="846">
        <f t="shared" si="14"/>
        <v>2.9023851519918598E-2</v>
      </c>
      <c r="Q27" s="846">
        <f t="shared" si="14"/>
        <v>3.0313091147743609E-2</v>
      </c>
      <c r="R27" s="846">
        <f t="shared" si="14"/>
        <v>3.2838482925038104E-2</v>
      </c>
      <c r="S27" s="847">
        <f t="shared" si="14"/>
        <v>2.2543407123629677E-2</v>
      </c>
      <c r="T27" s="846">
        <f t="shared" si="14"/>
        <v>1.2665862484921631E-2</v>
      </c>
      <c r="U27" s="846">
        <f t="shared" si="14"/>
        <v>1.1028973828959732E-2</v>
      </c>
      <c r="V27" s="846">
        <f t="shared" si="14"/>
        <v>8.0131585685250251E-3</v>
      </c>
      <c r="W27" s="846">
        <f t="shared" si="14"/>
        <v>8.630577055315225E-3</v>
      </c>
      <c r="X27" s="846">
        <f t="shared" si="14"/>
        <v>8.4934420030498003E-3</v>
      </c>
      <c r="Y27" s="846">
        <f t="shared" si="14"/>
        <v>7.7301491027170766E-3</v>
      </c>
      <c r="Z27" s="846">
        <f t="shared" si="14"/>
        <v>6.9446663109324902E-3</v>
      </c>
      <c r="AA27" s="846">
        <f t="shared" si="14"/>
        <v>6.7023012839417806E-3</v>
      </c>
      <c r="AB27" s="846">
        <f t="shared" si="14"/>
        <v>6.5949786314196679E-3</v>
      </c>
      <c r="AC27" s="846">
        <f t="shared" si="14"/>
        <v>6.8419370723198369E-3</v>
      </c>
      <c r="AD27" s="846">
        <f t="shared" si="14"/>
        <v>6.764302704038716E-3</v>
      </c>
      <c r="AE27" s="846">
        <f t="shared" si="14"/>
        <v>6.7975249786220715E-3</v>
      </c>
      <c r="AF27" s="847">
        <f t="shared" si="14"/>
        <v>6.7159232896483179E-3</v>
      </c>
    </row>
    <row r="28" spans="2:33" x14ac:dyDescent="0.35">
      <c r="B28" s="35"/>
      <c r="C28" s="873"/>
      <c r="D28" s="848"/>
      <c r="E28" s="848"/>
      <c r="F28" s="848"/>
      <c r="G28" s="848"/>
      <c r="H28" s="848"/>
      <c r="I28" s="848"/>
      <c r="J28" s="848"/>
      <c r="K28" s="848"/>
      <c r="L28" s="848"/>
      <c r="M28" s="848"/>
      <c r="N28" s="848"/>
      <c r="O28" s="848"/>
      <c r="P28" s="848"/>
      <c r="Q28" s="848"/>
      <c r="R28" s="848"/>
      <c r="S28" s="848"/>
      <c r="T28" s="848"/>
      <c r="U28" s="848"/>
      <c r="V28" s="848"/>
      <c r="W28" s="848"/>
      <c r="X28" s="848"/>
      <c r="Y28" s="848"/>
      <c r="Z28" s="848"/>
      <c r="AA28" s="848"/>
      <c r="AB28" s="848"/>
      <c r="AC28" s="848"/>
      <c r="AD28" s="848"/>
      <c r="AE28" s="848"/>
      <c r="AF28" s="848"/>
    </row>
    <row r="29" spans="2:33" x14ac:dyDescent="0.35">
      <c r="B29" s="35"/>
      <c r="C29" s="873"/>
      <c r="D29" s="848"/>
      <c r="E29" s="848"/>
      <c r="F29" s="848"/>
      <c r="G29" s="848"/>
      <c r="H29" s="848"/>
      <c r="I29" s="848"/>
      <c r="J29" s="848"/>
      <c r="K29" s="848"/>
      <c r="L29" s="848"/>
      <c r="M29" s="848"/>
      <c r="N29" s="848"/>
      <c r="O29" s="848"/>
      <c r="P29" s="848"/>
      <c r="Q29" s="851" t="s">
        <v>1723</v>
      </c>
      <c r="R29" s="848"/>
      <c r="S29" s="848"/>
      <c r="T29" s="1473">
        <v>3.7424183382891885E-2</v>
      </c>
      <c r="U29" s="1520">
        <v>3.5724460314211282E-2</v>
      </c>
      <c r="V29" s="1520">
        <v>3.3692799617050628E-2</v>
      </c>
      <c r="W29" s="1520">
        <v>3.3167790258204821E-2</v>
      </c>
      <c r="X29" s="1520">
        <v>2.9707222134434552E-2</v>
      </c>
      <c r="Y29" s="1520">
        <v>2.6454849931970781E-2</v>
      </c>
      <c r="Z29" s="1520">
        <v>2.4178630417615032E-2</v>
      </c>
      <c r="AA29" s="1520">
        <v>2.3052401549803703E-2</v>
      </c>
      <c r="AB29" s="848"/>
      <c r="AC29" s="848"/>
      <c r="AD29" s="848"/>
      <c r="AE29" s="848"/>
      <c r="AF29" s="848"/>
    </row>
    <row r="30" spans="2:33" x14ac:dyDescent="0.35">
      <c r="B30" s="1518"/>
      <c r="C30" s="873"/>
      <c r="D30" s="848"/>
      <c r="E30" s="848"/>
      <c r="F30" s="848"/>
      <c r="G30" s="848"/>
      <c r="H30" s="848"/>
      <c r="I30" s="848"/>
      <c r="J30" s="848"/>
      <c r="K30" s="848"/>
      <c r="L30" s="848"/>
      <c r="M30" s="848"/>
      <c r="N30" s="848"/>
      <c r="O30" s="848"/>
      <c r="P30" s="848"/>
      <c r="Q30" s="858" t="s">
        <v>1800</v>
      </c>
      <c r="R30" s="848"/>
      <c r="S30" s="848"/>
      <c r="T30" s="856"/>
      <c r="U30" s="855"/>
      <c r="V30" s="855"/>
      <c r="W30" s="855"/>
      <c r="X30" s="855"/>
      <c r="Y30" s="855"/>
      <c r="Z30" s="855"/>
      <c r="AA30" s="855"/>
      <c r="AB30" s="848"/>
      <c r="AC30" s="848"/>
      <c r="AD30" s="848"/>
      <c r="AE30" s="848"/>
      <c r="AF30" s="848"/>
    </row>
    <row r="31" spans="2:33" x14ac:dyDescent="0.35">
      <c r="B31" s="1518"/>
      <c r="C31" s="873"/>
      <c r="D31" s="848"/>
      <c r="E31" s="848"/>
      <c r="F31" s="848"/>
      <c r="G31" s="848"/>
      <c r="H31" s="848"/>
      <c r="I31" s="848"/>
      <c r="J31" s="848"/>
      <c r="K31" s="848"/>
      <c r="L31" s="848"/>
      <c r="M31" s="848"/>
      <c r="N31" s="848"/>
      <c r="O31" s="848"/>
      <c r="P31" s="848"/>
      <c r="Q31" s="699" t="s">
        <v>1724</v>
      </c>
      <c r="R31" s="848"/>
      <c r="S31" s="848"/>
      <c r="T31" s="878">
        <v>3.1513836354732261E-2</v>
      </c>
      <c r="U31" s="848">
        <v>2.5929771595060602E-2</v>
      </c>
      <c r="V31" s="848">
        <v>2.3505953506363975E-2</v>
      </c>
      <c r="W31" s="848">
        <v>2.5343185973087934E-2</v>
      </c>
      <c r="X31" s="848">
        <v>2.5512101094298911E-2</v>
      </c>
      <c r="Y31" s="848">
        <v>2.940897202642212E-2</v>
      </c>
      <c r="Z31" s="848">
        <v>2.823164052632654E-2</v>
      </c>
      <c r="AA31" s="848">
        <v>2.7484808362226332E-2</v>
      </c>
      <c r="AB31" s="848"/>
      <c r="AC31" s="848"/>
      <c r="AD31" s="848"/>
      <c r="AE31" s="848"/>
      <c r="AF31" s="848"/>
    </row>
    <row r="32" spans="2:33" x14ac:dyDescent="0.35">
      <c r="B32" s="1518"/>
      <c r="C32" s="873"/>
      <c r="D32" s="848"/>
      <c r="E32" s="848"/>
      <c r="F32" s="848"/>
      <c r="G32" s="848"/>
      <c r="H32" s="848"/>
      <c r="I32" s="848"/>
      <c r="J32" s="848"/>
      <c r="K32" s="848"/>
      <c r="L32" s="848"/>
      <c r="M32" s="848"/>
      <c r="N32" s="848"/>
      <c r="O32" s="848"/>
      <c r="P32" s="848"/>
      <c r="Q32" s="124" t="s">
        <v>1801</v>
      </c>
      <c r="R32" s="848"/>
      <c r="S32" s="848"/>
      <c r="T32" s="856"/>
      <c r="U32" s="855"/>
      <c r="V32" s="855"/>
      <c r="W32" s="855"/>
      <c r="X32" s="855"/>
      <c r="Y32" s="855"/>
      <c r="Z32" s="855"/>
      <c r="AA32" s="855"/>
      <c r="AB32" s="848"/>
      <c r="AC32" s="848"/>
      <c r="AD32" s="848"/>
      <c r="AE32" s="848"/>
      <c r="AF32" s="848"/>
    </row>
    <row r="33" spans="2:32" x14ac:dyDescent="0.35">
      <c r="B33" s="1518"/>
      <c r="C33" s="873"/>
      <c r="D33" s="848"/>
      <c r="E33" s="848"/>
      <c r="F33" s="848"/>
      <c r="G33" s="848"/>
      <c r="H33" s="848"/>
      <c r="I33" s="848"/>
      <c r="J33" s="848"/>
      <c r="K33" s="848"/>
      <c r="L33" s="848"/>
      <c r="M33" s="848"/>
      <c r="N33" s="848"/>
      <c r="O33" s="848"/>
      <c r="P33" s="848"/>
      <c r="Q33" s="699" t="s">
        <v>1725</v>
      </c>
      <c r="R33" s="848"/>
      <c r="S33" s="848"/>
      <c r="T33" s="878">
        <v>3.8778201417324798E-2</v>
      </c>
      <c r="U33" s="1558">
        <v>3.4770037870923476E-2</v>
      </c>
      <c r="V33" s="848">
        <v>3.2439960780993538E-2</v>
      </c>
      <c r="W33" s="848">
        <v>3.4971806389749727E-2</v>
      </c>
      <c r="X33" s="848">
        <v>3.4409055377128128E-2</v>
      </c>
      <c r="Y33" s="848">
        <v>3.1280978879036248E-2</v>
      </c>
      <c r="Z33" s="848">
        <v>2.8069377631034564E-2</v>
      </c>
      <c r="AA33" s="848">
        <v>2.7079936500734814E-2</v>
      </c>
      <c r="AB33" s="848"/>
      <c r="AC33" s="848"/>
      <c r="AD33" s="848"/>
      <c r="AE33" s="848"/>
      <c r="AF33" s="848"/>
    </row>
    <row r="34" spans="2:32" x14ac:dyDescent="0.35">
      <c r="B34" s="1518"/>
      <c r="C34" s="873"/>
      <c r="D34" s="848"/>
      <c r="E34" s="848"/>
      <c r="F34" s="848"/>
      <c r="G34" s="848"/>
      <c r="H34" s="848"/>
      <c r="I34" s="848"/>
      <c r="J34" s="848"/>
      <c r="K34" s="848"/>
      <c r="L34" s="848"/>
      <c r="M34" s="848"/>
      <c r="N34" s="848"/>
      <c r="O34" s="848"/>
      <c r="P34" s="848"/>
      <c r="Q34" s="124" t="s">
        <v>1802</v>
      </c>
      <c r="R34" s="848"/>
      <c r="S34" s="848"/>
      <c r="T34" s="856"/>
      <c r="U34" s="855"/>
      <c r="V34" s="855"/>
      <c r="W34" s="855"/>
      <c r="X34" s="855"/>
      <c r="Y34" s="855"/>
      <c r="Z34" s="855"/>
      <c r="AA34" s="855"/>
      <c r="AB34" s="848"/>
      <c r="AC34" s="848"/>
      <c r="AD34" s="848"/>
      <c r="AE34" s="848"/>
      <c r="AF34" s="848"/>
    </row>
    <row r="35" spans="2:32" x14ac:dyDescent="0.35">
      <c r="B35" s="1518"/>
      <c r="C35" s="873"/>
      <c r="D35" s="848"/>
      <c r="E35" s="848"/>
      <c r="F35" s="848"/>
      <c r="G35" s="848"/>
      <c r="H35" s="848"/>
      <c r="I35" s="848"/>
      <c r="J35" s="848"/>
      <c r="K35" s="848"/>
      <c r="L35" s="848"/>
      <c r="M35" s="848"/>
      <c r="N35" s="848"/>
      <c r="O35" s="848"/>
      <c r="P35" s="848"/>
      <c r="Q35" s="699" t="s">
        <v>1726</v>
      </c>
      <c r="R35" s="848"/>
      <c r="S35" s="848"/>
      <c r="T35" s="878">
        <v>3.6078451145617141E-2</v>
      </c>
      <c r="U35" s="1558">
        <v>3.4770037870923476E-2</v>
      </c>
      <c r="V35" s="848">
        <v>3.2439960780993538E-2</v>
      </c>
      <c r="W35" s="848">
        <v>3.4971806389749727E-2</v>
      </c>
      <c r="X35" s="848">
        <v>3.4409055377128128E-2</v>
      </c>
      <c r="Y35" s="848">
        <v>3.1280978879036248E-2</v>
      </c>
      <c r="Z35" s="848">
        <v>2.8069377631034564E-2</v>
      </c>
      <c r="AA35" s="848">
        <v>2.7079936500734814E-2</v>
      </c>
      <c r="AB35" s="848"/>
      <c r="AC35" s="848"/>
      <c r="AD35" s="848"/>
      <c r="AE35" s="848"/>
      <c r="AF35" s="848"/>
    </row>
    <row r="36" spans="2:32" x14ac:dyDescent="0.35">
      <c r="B36" s="1518"/>
      <c r="C36" s="873"/>
      <c r="D36" s="848"/>
      <c r="E36" s="848"/>
      <c r="F36" s="848"/>
      <c r="G36" s="848"/>
      <c r="H36" s="848"/>
      <c r="I36" s="848"/>
      <c r="J36" s="848"/>
      <c r="K36" s="848"/>
      <c r="L36" s="848"/>
      <c r="M36" s="848"/>
      <c r="N36" s="848"/>
      <c r="O36" s="848"/>
      <c r="P36" s="848"/>
      <c r="Q36" s="124" t="s">
        <v>1803</v>
      </c>
      <c r="R36" s="848"/>
      <c r="S36" s="848"/>
      <c r="T36" s="856"/>
      <c r="U36" s="855"/>
      <c r="V36" s="855"/>
      <c r="W36" s="855"/>
      <c r="X36" s="855"/>
      <c r="Y36" s="855"/>
      <c r="Z36" s="855"/>
      <c r="AA36" s="855"/>
      <c r="AB36" s="848"/>
      <c r="AC36" s="848"/>
      <c r="AD36" s="848"/>
      <c r="AE36" s="848"/>
      <c r="AF36" s="848"/>
    </row>
    <row r="37" spans="2:32" x14ac:dyDescent="0.35">
      <c r="B37" s="35"/>
      <c r="C37" s="873"/>
      <c r="D37" s="848"/>
      <c r="E37" s="848"/>
      <c r="F37" s="848"/>
      <c r="G37" s="848"/>
      <c r="H37" s="848"/>
      <c r="I37" s="848"/>
      <c r="J37" s="848"/>
      <c r="K37" s="848"/>
      <c r="L37" s="848"/>
      <c r="M37" s="848"/>
      <c r="N37" s="848"/>
      <c r="O37" s="848"/>
      <c r="P37" s="848"/>
      <c r="Q37" s="699" t="s">
        <v>1727</v>
      </c>
      <c r="R37" s="848"/>
      <c r="S37" s="848"/>
      <c r="T37" s="878">
        <v>5.1634147747456671E-2</v>
      </c>
      <c r="U37" s="848">
        <v>3.4770037870923476E-2</v>
      </c>
      <c r="V37" s="848">
        <v>3.2439960780993538E-2</v>
      </c>
      <c r="W37" s="848">
        <v>3.4971806389749727E-2</v>
      </c>
      <c r="X37" s="848">
        <v>3.4409055377128128E-2</v>
      </c>
      <c r="Y37" s="848">
        <v>3.1280978879036248E-2</v>
      </c>
      <c r="Z37" s="848">
        <v>2.8069377631034564E-2</v>
      </c>
      <c r="AA37" s="848">
        <v>2.7079936500734814E-2</v>
      </c>
      <c r="AB37" s="848"/>
      <c r="AC37" s="848"/>
      <c r="AD37" s="848"/>
      <c r="AE37" s="848"/>
      <c r="AF37" s="848"/>
    </row>
    <row r="38" spans="2:32" x14ac:dyDescent="0.35">
      <c r="B38" s="35"/>
      <c r="C38" s="873"/>
      <c r="D38" s="848"/>
      <c r="E38" s="848"/>
      <c r="F38" s="848"/>
      <c r="G38" s="848"/>
      <c r="H38" s="848"/>
      <c r="I38" s="848"/>
      <c r="J38" s="848"/>
      <c r="K38" s="848"/>
      <c r="L38" s="848"/>
      <c r="M38" s="848"/>
      <c r="N38" s="848"/>
      <c r="O38" s="848"/>
      <c r="P38" s="848"/>
      <c r="Q38" s="124" t="s">
        <v>1804</v>
      </c>
      <c r="R38" s="848"/>
      <c r="S38" s="848"/>
      <c r="T38" s="881"/>
      <c r="U38" s="880"/>
      <c r="V38" s="880"/>
      <c r="W38" s="880"/>
      <c r="X38" s="880"/>
      <c r="Y38" s="880"/>
      <c r="Z38" s="880"/>
      <c r="AA38" s="880"/>
      <c r="AB38" s="848"/>
      <c r="AC38" s="848"/>
      <c r="AD38" s="848"/>
      <c r="AE38" s="848"/>
      <c r="AF38" s="848"/>
    </row>
    <row r="39" spans="2:32" x14ac:dyDescent="0.35">
      <c r="B39" s="35"/>
      <c r="C39" s="873"/>
      <c r="D39" s="848"/>
      <c r="E39" s="848"/>
      <c r="F39" s="848"/>
      <c r="G39" s="848"/>
      <c r="H39" s="848"/>
      <c r="I39" s="848"/>
      <c r="J39" s="848"/>
      <c r="K39" s="848"/>
      <c r="L39" s="848"/>
      <c r="M39" s="848"/>
      <c r="N39" s="848"/>
      <c r="O39" s="848"/>
      <c r="P39" s="848"/>
      <c r="Q39" s="848"/>
      <c r="R39" s="848"/>
      <c r="S39" s="848"/>
      <c r="T39" s="848"/>
      <c r="U39" s="848"/>
      <c r="V39" s="848"/>
      <c r="W39" s="848"/>
      <c r="X39" s="848"/>
      <c r="Y39" s="848"/>
      <c r="Z39" s="848"/>
      <c r="AA39" s="848"/>
      <c r="AB39" s="848"/>
      <c r="AC39" s="848"/>
      <c r="AD39" s="848"/>
      <c r="AE39" s="848"/>
      <c r="AF39" s="848"/>
    </row>
    <row r="40" spans="2:32" x14ac:dyDescent="0.35">
      <c r="B40" s="35"/>
      <c r="C40" s="873"/>
      <c r="D40" s="848"/>
      <c r="E40" s="848"/>
      <c r="F40" s="848"/>
      <c r="G40" s="848"/>
      <c r="H40" s="848"/>
      <c r="I40" s="848"/>
      <c r="J40" s="848"/>
      <c r="K40" s="848"/>
      <c r="L40" s="848"/>
      <c r="M40" s="848"/>
      <c r="N40" s="848"/>
      <c r="O40" s="848"/>
      <c r="P40" s="848"/>
      <c r="Q40" s="848"/>
      <c r="R40" s="848"/>
      <c r="S40" s="848"/>
      <c r="T40" s="848"/>
      <c r="U40" s="848"/>
      <c r="V40" s="848"/>
      <c r="W40" s="848"/>
      <c r="X40" s="848"/>
      <c r="Y40" s="848"/>
      <c r="Z40" s="848"/>
      <c r="AA40" s="848"/>
      <c r="AB40" s="848"/>
      <c r="AC40" s="848"/>
      <c r="AD40" s="848"/>
      <c r="AE40" s="848"/>
      <c r="AF40" s="848"/>
    </row>
    <row r="41" spans="2:32" x14ac:dyDescent="0.35">
      <c r="B41" s="1203" t="s">
        <v>2222</v>
      </c>
      <c r="C41" s="1203"/>
      <c r="D41" s="1129"/>
      <c r="E41" s="1129"/>
      <c r="F41" s="160"/>
      <c r="G41" s="160"/>
      <c r="H41" s="160"/>
      <c r="I41" s="160"/>
      <c r="J41" s="160"/>
      <c r="K41" s="160"/>
      <c r="L41" s="160"/>
      <c r="M41" s="160"/>
      <c r="N41" s="160"/>
      <c r="O41" s="160"/>
      <c r="P41" s="160"/>
      <c r="Q41" s="160"/>
      <c r="R41" s="160"/>
      <c r="S41" s="160"/>
      <c r="T41" s="160"/>
      <c r="U41" s="160"/>
      <c r="V41" s="160"/>
      <c r="W41" s="160"/>
      <c r="X41" s="160"/>
      <c r="Y41" s="160"/>
      <c r="Z41" s="160"/>
      <c r="AA41" s="160"/>
      <c r="AB41" s="160"/>
      <c r="AC41" s="160"/>
    </row>
    <row r="42" spans="2:32" x14ac:dyDescent="0.35">
      <c r="B42" s="1653" t="s">
        <v>1722</v>
      </c>
      <c r="C42" s="1654"/>
      <c r="D42" s="1655" t="s">
        <v>1746</v>
      </c>
      <c r="E42" s="1656"/>
      <c r="F42" s="1656"/>
      <c r="G42" s="1656"/>
      <c r="H42" s="1656"/>
      <c r="I42" s="1656"/>
      <c r="J42" s="1656"/>
      <c r="K42" s="1656"/>
      <c r="L42" s="1656"/>
      <c r="M42" s="1656"/>
      <c r="N42" s="1656"/>
      <c r="O42" s="1656"/>
      <c r="P42" s="1656"/>
      <c r="Q42" s="1683"/>
      <c r="R42" s="1683"/>
      <c r="S42" s="1683"/>
      <c r="T42" s="1683"/>
      <c r="U42" s="1476"/>
      <c r="V42" s="1474" t="s">
        <v>1797</v>
      </c>
      <c r="W42" s="1474"/>
      <c r="X42" s="1474"/>
      <c r="Y42" s="1474"/>
      <c r="Z42" s="1474"/>
      <c r="AA42" s="1474"/>
      <c r="AB42" s="1474"/>
      <c r="AC42" s="1474"/>
      <c r="AD42" s="1474"/>
      <c r="AE42" s="1474"/>
      <c r="AF42" s="1475"/>
    </row>
    <row r="43" spans="2:32" x14ac:dyDescent="0.35">
      <c r="B43" s="1641"/>
      <c r="C43" s="1642"/>
      <c r="D43" s="118">
        <v>2018</v>
      </c>
      <c r="E43" s="1636">
        <v>2019</v>
      </c>
      <c r="F43" s="1666"/>
      <c r="G43" s="1666"/>
      <c r="H43" s="1638"/>
      <c r="I43" s="1636">
        <v>2020</v>
      </c>
      <c r="J43" s="1666"/>
      <c r="K43" s="1666"/>
      <c r="L43" s="1666"/>
      <c r="M43" s="1636">
        <v>2021</v>
      </c>
      <c r="N43" s="1666"/>
      <c r="O43" s="1666"/>
      <c r="P43" s="1666"/>
      <c r="Q43" s="1624">
        <v>2022</v>
      </c>
      <c r="R43" s="1625"/>
      <c r="S43" s="1625"/>
      <c r="T43" s="1661"/>
      <c r="U43" s="1471"/>
      <c r="V43" s="1229">
        <v>2023</v>
      </c>
      <c r="W43" s="1470"/>
      <c r="X43" s="1470"/>
      <c r="Y43" s="1652">
        <v>2024</v>
      </c>
      <c r="Z43" s="1664"/>
      <c r="AA43" s="1664"/>
      <c r="AB43" s="1665"/>
      <c r="AC43" s="1652">
        <v>2025</v>
      </c>
      <c r="AD43" s="1664"/>
      <c r="AE43" s="1664"/>
      <c r="AF43" s="1665"/>
    </row>
    <row r="44" spans="2:32" x14ac:dyDescent="0.35">
      <c r="B44" s="1643"/>
      <c r="C44" s="1644"/>
      <c r="D44" s="118" t="s">
        <v>282</v>
      </c>
      <c r="E44" s="118" t="s">
        <v>283</v>
      </c>
      <c r="F44" s="132" t="s">
        <v>284</v>
      </c>
      <c r="G44" s="132" t="s">
        <v>238</v>
      </c>
      <c r="H44" s="115" t="s">
        <v>282</v>
      </c>
      <c r="I44" s="132" t="s">
        <v>283</v>
      </c>
      <c r="J44" s="132" t="s">
        <v>284</v>
      </c>
      <c r="K44" s="132" t="s">
        <v>238</v>
      </c>
      <c r="L44" s="132" t="s">
        <v>282</v>
      </c>
      <c r="M44" s="118" t="s">
        <v>283</v>
      </c>
      <c r="N44" s="132" t="s">
        <v>284</v>
      </c>
      <c r="O44" s="132" t="s">
        <v>238</v>
      </c>
      <c r="P44" s="132" t="s">
        <v>282</v>
      </c>
      <c r="Q44" s="118" t="s">
        <v>283</v>
      </c>
      <c r="R44" s="132" t="s">
        <v>284</v>
      </c>
      <c r="S44" s="132" t="s">
        <v>238</v>
      </c>
      <c r="T44" s="115" t="s">
        <v>282</v>
      </c>
      <c r="U44" s="1300" t="s">
        <v>283</v>
      </c>
      <c r="V44" s="1273" t="s">
        <v>284</v>
      </c>
      <c r="W44" s="1133" t="s">
        <v>238</v>
      </c>
      <c r="X44" s="1133" t="s">
        <v>282</v>
      </c>
      <c r="Y44" s="301" t="s">
        <v>283</v>
      </c>
      <c r="Z44" s="226" t="s">
        <v>284</v>
      </c>
      <c r="AA44" s="1133" t="s">
        <v>238</v>
      </c>
      <c r="AB44" s="241" t="s">
        <v>282</v>
      </c>
      <c r="AC44" s="324" t="s">
        <v>283</v>
      </c>
      <c r="AD44" s="1133" t="s">
        <v>284</v>
      </c>
      <c r="AE44" s="1133" t="s">
        <v>238</v>
      </c>
      <c r="AF44" s="241" t="s">
        <v>282</v>
      </c>
    </row>
    <row r="45" spans="2:32" x14ac:dyDescent="0.35">
      <c r="B45" s="851" t="s">
        <v>1723</v>
      </c>
      <c r="C45" s="872" t="s">
        <v>1711</v>
      </c>
      <c r="D45" s="863">
        <f>('Haver Pivoted'!GO76+1)^4-1</f>
        <v>1.5156509117148609E-2</v>
      </c>
      <c r="E45" s="849">
        <f>('Haver Pivoted'!GP76+1)^4-1</f>
        <v>8.3593342288621475E-3</v>
      </c>
      <c r="F45" s="849">
        <f>('Haver Pivoted'!GQ76+1)^4-1</f>
        <v>2.4734353401225873E-2</v>
      </c>
      <c r="G45" s="849">
        <f>('Haver Pivoted'!GR76+1)^4-1</f>
        <v>1.0490970472330163E-2</v>
      </c>
      <c r="H45" s="849">
        <f>('Haver Pivoted'!GS76+1)^4-1</f>
        <v>1.4569048707785859E-2</v>
      </c>
      <c r="I45" s="849">
        <f>('Haver Pivoted'!GT76+1)^4-1</f>
        <v>1.4662498774455912E-2</v>
      </c>
      <c r="J45" s="849">
        <f>('Haver Pivoted'!GU76+1)^4-1</f>
        <v>-1.794085945788193E-2</v>
      </c>
      <c r="K45" s="849">
        <f>('Haver Pivoted'!GV76+1)^4-1</f>
        <v>3.3775526155126689E-2</v>
      </c>
      <c r="L45" s="849">
        <f>('Haver Pivoted'!GW76+1)^4-1</f>
        <v>1.6442937470855457E-2</v>
      </c>
      <c r="M45" s="849">
        <f>('Haver Pivoted'!GX76+1)^4-1</f>
        <v>4.5025943450949013E-2</v>
      </c>
      <c r="N45" s="849">
        <f>('Haver Pivoted'!GY76+1)^4-1</f>
        <v>6.444180274366329E-2</v>
      </c>
      <c r="O45" s="849">
        <f>('Haver Pivoted'!GZ76+1)^4-1</f>
        <v>5.5998846943190017E-2</v>
      </c>
      <c r="P45" s="849">
        <f>('Haver Pivoted'!HA76+1)^4-1</f>
        <v>6.1859650545573519E-2</v>
      </c>
      <c r="Q45" s="849">
        <f>('Haver Pivoted'!HB76+1)^4-1</f>
        <v>7.4784916271317448E-2</v>
      </c>
      <c r="R45" s="849">
        <f>('Haver Pivoted'!HC76+1)^4-1</f>
        <v>7.2922192171477107E-2</v>
      </c>
      <c r="S45" s="864">
        <f>('Haver Pivoted'!HD76+1)^4-1</f>
        <v>4.3177876601944165E-2</v>
      </c>
      <c r="T45" s="1477">
        <f>('Haver Pivoted'!HE76+1)^4-1</f>
        <v>3.7424183382891885E-2</v>
      </c>
      <c r="U45" s="865">
        <f>('Haver Pivoted'!HF76+1)^4-1</f>
        <v>4.1626587212286736E-2</v>
      </c>
      <c r="V45" s="876">
        <f t="shared" ref="V45:AF45" si="15">(V61/U61)^4-1</f>
        <v>3.3692799617050628E-2</v>
      </c>
      <c r="W45" s="876">
        <f t="shared" si="15"/>
        <v>3.3167790258204821E-2</v>
      </c>
      <c r="X45" s="876">
        <f t="shared" si="15"/>
        <v>2.9707222134434552E-2</v>
      </c>
      <c r="Y45" s="876">
        <f t="shared" si="15"/>
        <v>2.6454849931970781E-2</v>
      </c>
      <c r="Z45" s="876">
        <f t="shared" si="15"/>
        <v>2.4178630417615032E-2</v>
      </c>
      <c r="AA45" s="876">
        <f t="shared" si="15"/>
        <v>2.3052401549803703E-2</v>
      </c>
      <c r="AB45" s="876">
        <f t="shared" si="15"/>
        <v>2.2407286089961342E-2</v>
      </c>
      <c r="AC45" s="876">
        <f t="shared" si="15"/>
        <v>2.2473232090692186E-2</v>
      </c>
      <c r="AD45" s="876">
        <f t="shared" si="15"/>
        <v>2.2071462401670683E-2</v>
      </c>
      <c r="AE45" s="876">
        <f t="shared" si="15"/>
        <v>2.1752174739111618E-2</v>
      </c>
      <c r="AF45" s="850">
        <f t="shared" si="15"/>
        <v>2.1591374086621817E-2</v>
      </c>
    </row>
    <row r="46" spans="2:32" x14ac:dyDescent="0.35">
      <c r="B46" s="47" t="s">
        <v>1724</v>
      </c>
      <c r="C46" s="873" t="s">
        <v>1712</v>
      </c>
      <c r="D46" s="877">
        <f>('Haver Pivoted'!GO77+1)^4-1</f>
        <v>2.9652502701153827E-2</v>
      </c>
      <c r="E46" s="848">
        <f>('Haver Pivoted'!GP77+1)^4-1</f>
        <v>4.3357912415273203E-2</v>
      </c>
      <c r="F46" s="848">
        <f>('Haver Pivoted'!GQ77+1)^4-1</f>
        <v>-2.634393397263235E-2</v>
      </c>
      <c r="G46" s="848">
        <f>('Haver Pivoted'!GR77+1)^4-1</f>
        <v>1.0018821110834297E-2</v>
      </c>
      <c r="H46" s="848">
        <f>('Haver Pivoted'!GS77+1)^4-1</f>
        <v>1.6245763277308534E-2</v>
      </c>
      <c r="I46" s="848">
        <f>('Haver Pivoted'!GT77+1)^4-1</f>
        <v>1.3591255249431944E-2</v>
      </c>
      <c r="J46" s="848">
        <f>('Haver Pivoted'!GU77+1)^4-1</f>
        <v>3.3104511883148557E-3</v>
      </c>
      <c r="K46" s="848">
        <f>('Haver Pivoted'!GV77+1)^4-1</f>
        <v>2.5959727144998501E-2</v>
      </c>
      <c r="L46" s="848">
        <f>('Haver Pivoted'!GW77+1)^4-1</f>
        <v>2.4447407360365325E-2</v>
      </c>
      <c r="M46" s="848">
        <f>('Haver Pivoted'!GX77+1)^4-1</f>
        <v>4.0827649049088865E-2</v>
      </c>
      <c r="N46" s="848">
        <f>('Haver Pivoted'!GY77+1)^4-1</f>
        <v>4.1247362410053112E-2</v>
      </c>
      <c r="O46" s="848">
        <f>('Haver Pivoted'!GZ77+1)^4-1</f>
        <v>4.4017858095279694E-2</v>
      </c>
      <c r="P46" s="848">
        <f>('Haver Pivoted'!HA77+1)^4-1</f>
        <v>4.3432299825096221E-2</v>
      </c>
      <c r="Q46" s="848">
        <f>('Haver Pivoted'!HB77+1)^4-1</f>
        <v>5.6798579453040565E-2</v>
      </c>
      <c r="R46" s="848">
        <f>('Haver Pivoted'!HC77+1)^4-1</f>
        <v>5.9959109255099508E-2</v>
      </c>
      <c r="S46" s="862">
        <f>('Haver Pivoted'!HD77+1)^4-1</f>
        <v>4.8205722331254197E-2</v>
      </c>
      <c r="T46" s="1478">
        <f>('Haver Pivoted'!HE77+1)^4-1</f>
        <v>3.1513836354732261E-2</v>
      </c>
      <c r="U46" s="866">
        <f>('Haver Pivoted'!HF77+1)^4-1</f>
        <v>3.2429632619026538E-2</v>
      </c>
      <c r="V46" s="848">
        <f t="shared" ref="V46:AF46" si="16">(V62/U62)^4-1</f>
        <v>2.3505953506363975E-2</v>
      </c>
      <c r="W46" s="848">
        <f t="shared" si="16"/>
        <v>2.5343185973087934E-2</v>
      </c>
      <c r="X46" s="848">
        <f t="shared" si="16"/>
        <v>2.5512101094298911E-2</v>
      </c>
      <c r="Y46" s="848">
        <f t="shared" si="16"/>
        <v>2.940897202642212E-2</v>
      </c>
      <c r="Z46" s="848">
        <f t="shared" si="16"/>
        <v>2.823164052632654E-2</v>
      </c>
      <c r="AA46" s="848">
        <f t="shared" si="16"/>
        <v>2.7484808362226332E-2</v>
      </c>
      <c r="AB46" s="848">
        <f t="shared" si="16"/>
        <v>2.6738284169484539E-2</v>
      </c>
      <c r="AC46" s="848">
        <f t="shared" si="16"/>
        <v>2.4037894596453224E-2</v>
      </c>
      <c r="AD46" s="848">
        <f t="shared" si="16"/>
        <v>2.4492235467838519E-2</v>
      </c>
      <c r="AE46" s="848">
        <f t="shared" si="16"/>
        <v>2.4419305134427693E-2</v>
      </c>
      <c r="AF46" s="878">
        <f t="shared" si="16"/>
        <v>2.4121029556380291E-2</v>
      </c>
    </row>
    <row r="47" spans="2:32" x14ac:dyDescent="0.35">
      <c r="B47" s="47" t="s">
        <v>1725</v>
      </c>
      <c r="C47" s="873" t="s">
        <v>1713</v>
      </c>
      <c r="D47" s="877">
        <f>('Haver Pivoted'!GO78+1)^4-1</f>
        <v>2.0739486303195998E-2</v>
      </c>
      <c r="E47" s="848">
        <f>('Haver Pivoted'!GP78+1)^4-1</f>
        <v>-1.0909955372547464E-2</v>
      </c>
      <c r="F47" s="848">
        <f>('Haver Pivoted'!GQ78+1)^4-1</f>
        <v>2.9915559028399707E-2</v>
      </c>
      <c r="G47" s="848">
        <f>('Haver Pivoted'!GR78+1)^4-1</f>
        <v>1.0527559706478895E-2</v>
      </c>
      <c r="H47" s="848">
        <f>('Haver Pivoted'!GS78+1)^4-1</f>
        <v>1.4919704890896002E-2</v>
      </c>
      <c r="I47" s="848">
        <f>('Haver Pivoted'!GT78+1)^4-1</f>
        <v>4.3158369252632278E-2</v>
      </c>
      <c r="J47" s="848">
        <f>('Haver Pivoted'!GU78+1)^4-1</f>
        <v>-2.2930962354547058E-3</v>
      </c>
      <c r="K47" s="848">
        <f>('Haver Pivoted'!GV78+1)^4-1</f>
        <v>3.587837095953339E-2</v>
      </c>
      <c r="L47" s="848">
        <f>('Haver Pivoted'!GW78+1)^4-1</f>
        <v>4.5534894387470937E-2</v>
      </c>
      <c r="M47" s="848">
        <f>('Haver Pivoted'!GX78+1)^4-1</f>
        <v>8.7714323909891423E-2</v>
      </c>
      <c r="N47" s="848">
        <f>('Haver Pivoted'!GY78+1)^4-1</f>
        <v>8.4888593948209357E-2</v>
      </c>
      <c r="O47" s="848">
        <f>('Haver Pivoted'!GZ78+1)^4-1</f>
        <v>6.9703587118332688E-2</v>
      </c>
      <c r="P47" s="848">
        <f>('Haver Pivoted'!HA78+1)^4-1</f>
        <v>9.0463399615994478E-2</v>
      </c>
      <c r="Q47" s="848">
        <f>('Haver Pivoted'!HB78+1)^4-1</f>
        <v>0.10558682780244433</v>
      </c>
      <c r="R47" s="848">
        <f>('Haver Pivoted'!HC78+1)^4-1</f>
        <v>0.14979890704557142</v>
      </c>
      <c r="S47" s="862">
        <f>('Haver Pivoted'!HD78+1)^4-1</f>
        <v>2.9055945911607095E-2</v>
      </c>
      <c r="T47" s="1478">
        <f>('Haver Pivoted'!HE78+1)^4-1</f>
        <v>3.8778201417324798E-2</v>
      </c>
      <c r="U47" s="866">
        <f>('Haver Pivoted'!HF78+1)^4-1</f>
        <v>5.7581977776326454E-3</v>
      </c>
      <c r="V47" s="848">
        <f t="shared" ref="V47:AF47" si="17">(V63/U63)^4-1</f>
        <v>3.2439960780993538E-2</v>
      </c>
      <c r="W47" s="848">
        <f t="shared" si="17"/>
        <v>3.4971806389749727E-2</v>
      </c>
      <c r="X47" s="848">
        <f t="shared" si="17"/>
        <v>3.4409055377128128E-2</v>
      </c>
      <c r="Y47" s="848">
        <f t="shared" si="17"/>
        <v>3.1280978879036248E-2</v>
      </c>
      <c r="Z47" s="848">
        <f t="shared" si="17"/>
        <v>2.8069377631034564E-2</v>
      </c>
      <c r="AA47" s="848">
        <f t="shared" si="17"/>
        <v>2.7079936500734814E-2</v>
      </c>
      <c r="AB47" s="848">
        <f t="shared" si="17"/>
        <v>2.6642026237504224E-2</v>
      </c>
      <c r="AC47" s="848">
        <f t="shared" si="17"/>
        <v>2.7649904239910983E-2</v>
      </c>
      <c r="AD47" s="848">
        <f t="shared" si="17"/>
        <v>2.7332985680263322E-2</v>
      </c>
      <c r="AE47" s="848">
        <f t="shared" si="17"/>
        <v>2.7468596479684804E-2</v>
      </c>
      <c r="AF47" s="878">
        <f t="shared" si="17"/>
        <v>2.7135528596684111E-2</v>
      </c>
    </row>
    <row r="48" spans="2:32" x14ac:dyDescent="0.35">
      <c r="B48" s="47" t="s">
        <v>1726</v>
      </c>
      <c r="C48" s="873" t="s">
        <v>1714</v>
      </c>
      <c r="D48" s="877">
        <f>('Haver Pivoted'!GO79+1)^4-1</f>
        <v>1.6036274889288604E-2</v>
      </c>
      <c r="E48" s="848">
        <f>('Haver Pivoted'!GP79+1)^4-1</f>
        <v>-1.6750426853228473E-2</v>
      </c>
      <c r="F48" s="848">
        <f>('Haver Pivoted'!GQ79+1)^4-1</f>
        <v>2.5813818283004775E-2</v>
      </c>
      <c r="G48" s="848">
        <f>('Haver Pivoted'!GR79+1)^4-1</f>
        <v>8.6124156242581851E-3</v>
      </c>
      <c r="H48" s="848">
        <f>('Haver Pivoted'!GS79+1)^4-1</f>
        <v>1.6996215944869331E-2</v>
      </c>
      <c r="I48" s="848">
        <f>('Haver Pivoted'!GT79+1)^4-1</f>
        <v>5.0660572456327158E-2</v>
      </c>
      <c r="J48" s="848">
        <f>('Haver Pivoted'!GU79+1)^4-1</f>
        <v>-1.0613393340251909E-3</v>
      </c>
      <c r="K48" s="848">
        <f>('Haver Pivoted'!GV79+1)^4-1</f>
        <v>3.4596703938156059E-2</v>
      </c>
      <c r="L48" s="848">
        <f>('Haver Pivoted'!GW79+1)^4-1</f>
        <v>5.1547958936444926E-2</v>
      </c>
      <c r="M48" s="848">
        <f>('Haver Pivoted'!GX79+1)^4-1</f>
        <v>9.2834286401326738E-2</v>
      </c>
      <c r="N48" s="848">
        <f>('Haver Pivoted'!GY79+1)^4-1</f>
        <v>8.057551462066237E-2</v>
      </c>
      <c r="O48" s="848">
        <f>('Haver Pivoted'!GZ79+1)^4-1</f>
        <v>6.4680375979367932E-2</v>
      </c>
      <c r="P48" s="848">
        <f>('Haver Pivoted'!HA79+1)^4-1</f>
        <v>8.4136934840179034E-2</v>
      </c>
      <c r="Q48" s="848">
        <f>('Haver Pivoted'!HB79+1)^4-1</f>
        <v>0.10120576467409093</v>
      </c>
      <c r="R48" s="848">
        <f>('Haver Pivoted'!HC79+1)^4-1</f>
        <v>0.15221841372862355</v>
      </c>
      <c r="S48" s="862">
        <f>('Haver Pivoted'!HD79+1)^4-1</f>
        <v>1.6422651906601304E-2</v>
      </c>
      <c r="T48" s="1478">
        <f>('Haver Pivoted'!HE79+1)^4-1</f>
        <v>3.6078451145617141E-2</v>
      </c>
      <c r="U48" s="866">
        <f>('Haver Pivoted'!HF79+1)^4-1</f>
        <v>-2.3368941769098539E-3</v>
      </c>
      <c r="V48" s="848">
        <f t="shared" ref="V48:AF49" si="18">V47</f>
        <v>3.2439960780993538E-2</v>
      </c>
      <c r="W48" s="848">
        <f t="shared" si="18"/>
        <v>3.4971806389749727E-2</v>
      </c>
      <c r="X48" s="848">
        <f t="shared" si="18"/>
        <v>3.4409055377128128E-2</v>
      </c>
      <c r="Y48" s="848">
        <f t="shared" si="18"/>
        <v>3.1280978879036248E-2</v>
      </c>
      <c r="Z48" s="848">
        <f t="shared" si="18"/>
        <v>2.8069377631034564E-2</v>
      </c>
      <c r="AA48" s="848">
        <f t="shared" si="18"/>
        <v>2.7079936500734814E-2</v>
      </c>
      <c r="AB48" s="848">
        <f t="shared" si="18"/>
        <v>2.6642026237504224E-2</v>
      </c>
      <c r="AC48" s="848">
        <f t="shared" si="18"/>
        <v>2.7649904239910983E-2</v>
      </c>
      <c r="AD48" s="848">
        <f t="shared" si="18"/>
        <v>2.7332985680263322E-2</v>
      </c>
      <c r="AE48" s="848">
        <f t="shared" si="18"/>
        <v>2.7468596479684804E-2</v>
      </c>
      <c r="AF48" s="878">
        <f t="shared" si="18"/>
        <v>2.7135528596684111E-2</v>
      </c>
    </row>
    <row r="49" spans="2:48" x14ac:dyDescent="0.35">
      <c r="B49" s="124" t="s">
        <v>1727</v>
      </c>
      <c r="C49" s="874" t="s">
        <v>1715</v>
      </c>
      <c r="D49" s="879">
        <f>('Haver Pivoted'!GO80+1)^4-1</f>
        <v>4.1912016313215839E-2</v>
      </c>
      <c r="E49" s="880">
        <f>('Haver Pivoted'!GP80+1)^4-1</f>
        <v>1.5721372171975556E-2</v>
      </c>
      <c r="F49" s="880">
        <f>('Haver Pivoted'!GQ80+1)^4-1</f>
        <v>4.8037769815769016E-2</v>
      </c>
      <c r="G49" s="880">
        <f>('Haver Pivoted'!GR80+1)^4-1</f>
        <v>1.9083730667159404E-2</v>
      </c>
      <c r="H49" s="880">
        <f>('Haver Pivoted'!GS80+1)^4-1</f>
        <v>5.8979339636944239E-3</v>
      </c>
      <c r="I49" s="880">
        <f>('Haver Pivoted'!GT80+1)^4-1</f>
        <v>1.0418465412080913E-2</v>
      </c>
      <c r="J49" s="880">
        <f>('Haver Pivoted'!GU80+1)^4-1</f>
        <v>-7.6555980249765065E-3</v>
      </c>
      <c r="K49" s="880">
        <f>('Haver Pivoted'!GV80+1)^4-1</f>
        <v>4.135501545294451E-2</v>
      </c>
      <c r="L49" s="880">
        <f>('Haver Pivoted'!GW80+1)^4-1</f>
        <v>1.8415186976738607E-2</v>
      </c>
      <c r="M49" s="880">
        <f>('Haver Pivoted'!GX80+1)^4-1</f>
        <v>6.4160755006020143E-2</v>
      </c>
      <c r="N49" s="880">
        <f>('Haver Pivoted'!GY80+1)^4-1</f>
        <v>0.10458990215743946</v>
      </c>
      <c r="O49" s="880">
        <f>('Haver Pivoted'!GZ80+1)^4-1</f>
        <v>9.3631239224950313E-2</v>
      </c>
      <c r="P49" s="880">
        <f>('Haver Pivoted'!HA80+1)^4-1</f>
        <v>0.12124821634027616</v>
      </c>
      <c r="Q49" s="880">
        <f>('Haver Pivoted'!HB80+1)^4-1</f>
        <v>0.12687792670398412</v>
      </c>
      <c r="R49" s="880">
        <f>('Haver Pivoted'!HC80+1)^4-1</f>
        <v>0.13796693794697101</v>
      </c>
      <c r="S49" s="861">
        <f>('Haver Pivoted'!HD80+1)^4-1</f>
        <v>9.3268944702830758E-2</v>
      </c>
      <c r="T49" s="861">
        <f>('Haver Pivoted'!HE80+1)^4-1</f>
        <v>5.1634147747456671E-2</v>
      </c>
      <c r="U49" s="867">
        <f>('Haver Pivoted'!HF80+1)^4-1</f>
        <v>4.4851105874934127E-2</v>
      </c>
      <c r="V49" s="880">
        <f t="shared" si="18"/>
        <v>3.2439960780993538E-2</v>
      </c>
      <c r="W49" s="880">
        <f t="shared" si="18"/>
        <v>3.4971806389749727E-2</v>
      </c>
      <c r="X49" s="880">
        <f t="shared" si="18"/>
        <v>3.4409055377128128E-2</v>
      </c>
      <c r="Y49" s="880">
        <f t="shared" si="18"/>
        <v>3.1280978879036248E-2</v>
      </c>
      <c r="Z49" s="880">
        <f t="shared" si="18"/>
        <v>2.8069377631034564E-2</v>
      </c>
      <c r="AA49" s="880">
        <f t="shared" si="18"/>
        <v>2.7079936500734814E-2</v>
      </c>
      <c r="AB49" s="880">
        <f t="shared" si="18"/>
        <v>2.6642026237504224E-2</v>
      </c>
      <c r="AC49" s="880">
        <f t="shared" si="18"/>
        <v>2.7649904239910983E-2</v>
      </c>
      <c r="AD49" s="880">
        <f t="shared" si="18"/>
        <v>2.7332985680263322E-2</v>
      </c>
      <c r="AE49" s="880">
        <f t="shared" si="18"/>
        <v>2.7468596479684804E-2</v>
      </c>
      <c r="AF49" s="881">
        <f t="shared" si="18"/>
        <v>2.7135528596684111E-2</v>
      </c>
    </row>
    <row r="50" spans="2:48" x14ac:dyDescent="0.35">
      <c r="B50" s="35"/>
      <c r="C50" s="873"/>
      <c r="D50" s="848"/>
      <c r="E50" s="848"/>
      <c r="F50" s="848"/>
      <c r="G50" s="848"/>
      <c r="H50" s="848"/>
      <c r="I50" s="848"/>
      <c r="J50" s="848"/>
      <c r="K50" s="848"/>
      <c r="L50" s="848"/>
      <c r="M50" s="848"/>
      <c r="N50" s="848"/>
      <c r="O50" s="848"/>
      <c r="P50" s="848"/>
      <c r="Q50" s="848"/>
      <c r="R50" s="848"/>
      <c r="S50" s="848"/>
      <c r="T50" s="848"/>
      <c r="U50" s="848"/>
      <c r="V50" s="848"/>
      <c r="W50" s="848"/>
      <c r="X50" s="848"/>
      <c r="Y50" s="848"/>
      <c r="Z50" s="848"/>
      <c r="AA50" s="848"/>
      <c r="AB50" s="848"/>
      <c r="AC50" s="848"/>
      <c r="AD50" s="848"/>
      <c r="AE50" s="848"/>
      <c r="AF50" s="848"/>
    </row>
    <row r="51" spans="2:48" ht="14.5" customHeight="1" x14ac:dyDescent="0.35">
      <c r="B51" s="1729" t="s">
        <v>1747</v>
      </c>
      <c r="C51" s="1729"/>
      <c r="D51" s="1729"/>
      <c r="E51" s="1729"/>
      <c r="F51" s="160"/>
      <c r="G51" s="160"/>
      <c r="H51" s="160"/>
      <c r="I51" s="160"/>
      <c r="J51" s="160"/>
      <c r="K51" s="160"/>
      <c r="L51" s="160"/>
      <c r="M51" s="160"/>
      <c r="N51" s="160"/>
      <c r="O51" s="160"/>
      <c r="P51" s="160"/>
      <c r="Q51" s="160"/>
      <c r="R51" s="160"/>
      <c r="S51" s="160"/>
      <c r="T51" s="160"/>
      <c r="U51" s="160"/>
      <c r="V51" s="160"/>
      <c r="W51" s="160"/>
      <c r="X51" s="160"/>
      <c r="Y51" s="160"/>
      <c r="Z51" s="160"/>
      <c r="AA51" s="160"/>
      <c r="AB51" s="160"/>
      <c r="AC51" s="160"/>
    </row>
    <row r="52" spans="2:48" ht="30" customHeight="1" x14ac:dyDescent="0.35">
      <c r="B52" s="893" t="s">
        <v>2228</v>
      </c>
      <c r="C52" s="859"/>
      <c r="D52" s="127">
        <v>2018</v>
      </c>
      <c r="E52" s="1624">
        <v>2019</v>
      </c>
      <c r="F52" s="1625"/>
      <c r="G52" s="1625"/>
      <c r="H52" s="1661"/>
      <c r="I52" s="1624">
        <v>2020</v>
      </c>
      <c r="J52" s="1625"/>
      <c r="K52" s="1625"/>
      <c r="L52" s="1625"/>
      <c r="M52" s="1624">
        <v>2021</v>
      </c>
      <c r="N52" s="1625"/>
      <c r="O52" s="1625"/>
      <c r="P52" s="1625"/>
      <c r="Q52" s="1662">
        <v>2022</v>
      </c>
      <c r="R52" s="1663"/>
      <c r="S52" s="158"/>
      <c r="T52" s="168"/>
      <c r="U52" s="1471"/>
      <c r="V52" s="1229">
        <v>2023</v>
      </c>
      <c r="W52" s="1470"/>
      <c r="X52" s="1470"/>
      <c r="Y52" s="1652">
        <v>2024</v>
      </c>
      <c r="Z52" s="1664"/>
      <c r="AA52" s="1664"/>
      <c r="AB52" s="1665"/>
      <c r="AC52" s="1652">
        <v>2025</v>
      </c>
      <c r="AD52" s="1664"/>
      <c r="AE52" s="1664"/>
      <c r="AF52" s="1665"/>
    </row>
    <row r="53" spans="2:48" x14ac:dyDescent="0.35">
      <c r="B53" s="882"/>
      <c r="C53" s="163"/>
      <c r="D53" s="118" t="s">
        <v>282</v>
      </c>
      <c r="E53" s="118" t="s">
        <v>283</v>
      </c>
      <c r="F53" s="132" t="s">
        <v>284</v>
      </c>
      <c r="G53" s="132" t="s">
        <v>238</v>
      </c>
      <c r="H53" s="115" t="s">
        <v>282</v>
      </c>
      <c r="I53" s="132" t="s">
        <v>283</v>
      </c>
      <c r="J53" s="132" t="s">
        <v>284</v>
      </c>
      <c r="K53" s="132" t="s">
        <v>238</v>
      </c>
      <c r="L53" s="132" t="s">
        <v>282</v>
      </c>
      <c r="M53" s="118" t="s">
        <v>283</v>
      </c>
      <c r="N53" s="132" t="s">
        <v>284</v>
      </c>
      <c r="O53" s="132" t="s">
        <v>238</v>
      </c>
      <c r="P53" s="132" t="s">
        <v>282</v>
      </c>
      <c r="Q53" s="118" t="s">
        <v>283</v>
      </c>
      <c r="R53" s="132" t="s">
        <v>284</v>
      </c>
      <c r="S53" s="132" t="s">
        <v>238</v>
      </c>
      <c r="T53" s="115" t="s">
        <v>282</v>
      </c>
      <c r="U53" s="1300" t="s">
        <v>283</v>
      </c>
      <c r="V53" s="1273" t="s">
        <v>284</v>
      </c>
      <c r="W53" s="1133" t="s">
        <v>238</v>
      </c>
      <c r="X53" s="1133" t="s">
        <v>282</v>
      </c>
      <c r="Y53" s="301" t="s">
        <v>283</v>
      </c>
      <c r="Z53" s="226" t="s">
        <v>284</v>
      </c>
      <c r="AA53" s="1133" t="s">
        <v>238</v>
      </c>
      <c r="AB53" s="241" t="s">
        <v>282</v>
      </c>
      <c r="AC53" s="324" t="s">
        <v>283</v>
      </c>
      <c r="AD53" s="1133" t="s">
        <v>284</v>
      </c>
      <c r="AE53" s="1133" t="s">
        <v>238</v>
      </c>
      <c r="AF53" s="241" t="s">
        <v>282</v>
      </c>
    </row>
    <row r="54" spans="2:48" ht="28.5" customHeight="1" x14ac:dyDescent="0.35">
      <c r="B54" s="392" t="s">
        <v>1826</v>
      </c>
      <c r="C54" s="1124" t="s">
        <v>1729</v>
      </c>
      <c r="D54" s="159"/>
      <c r="E54" s="159"/>
      <c r="F54" s="159"/>
      <c r="G54" s="159"/>
      <c r="H54" s="159"/>
      <c r="I54" s="159"/>
      <c r="J54" s="159"/>
      <c r="K54" s="159"/>
      <c r="L54" s="159"/>
      <c r="M54" s="159"/>
      <c r="N54" s="159"/>
      <c r="O54" s="159"/>
      <c r="P54" s="159"/>
      <c r="Q54" s="159"/>
      <c r="R54" s="159"/>
      <c r="S54" s="1202">
        <v>17517.099999999999</v>
      </c>
      <c r="T54" s="1202">
        <v>17851.099999999999</v>
      </c>
      <c r="U54" s="1202">
        <v>18063.900000000001</v>
      </c>
      <c r="V54" s="1202">
        <v>18252.3</v>
      </c>
      <c r="W54" s="1202">
        <v>18452.8</v>
      </c>
      <c r="X54" s="1202">
        <v>18649.400000000001</v>
      </c>
      <c r="Y54" s="1202">
        <v>18836.5</v>
      </c>
      <c r="Z54" s="1202">
        <v>19019.400000000001</v>
      </c>
      <c r="AA54" s="1202">
        <v>19200.900000000001</v>
      </c>
      <c r="AB54" s="1202">
        <v>19391.900000000001</v>
      </c>
      <c r="AC54" s="1202">
        <v>19588.599999999999</v>
      </c>
      <c r="AD54" s="1202">
        <v>19779.599999999999</v>
      </c>
      <c r="AE54" s="1202">
        <v>19973.5</v>
      </c>
      <c r="AF54" s="1202">
        <v>20163.8</v>
      </c>
    </row>
    <row r="55" spans="2:48" ht="26.25" customHeight="1" x14ac:dyDescent="0.35">
      <c r="B55" s="883" t="s">
        <v>1827</v>
      </c>
      <c r="C55" s="1124" t="s">
        <v>1730</v>
      </c>
      <c r="D55" s="47"/>
      <c r="E55" s="35"/>
      <c r="F55" s="35"/>
      <c r="G55" s="35"/>
      <c r="H55" s="35"/>
      <c r="I55" s="35"/>
      <c r="J55" s="35"/>
      <c r="K55" s="35"/>
      <c r="L55" s="35"/>
      <c r="M55" s="35"/>
      <c r="N55" s="35"/>
      <c r="O55" s="35"/>
      <c r="P55" s="35"/>
      <c r="Q55" s="35"/>
      <c r="R55" s="35"/>
      <c r="S55" s="1202">
        <v>1656.9</v>
      </c>
      <c r="T55" s="1202">
        <v>1665.8</v>
      </c>
      <c r="U55" s="1202">
        <v>1683.2</v>
      </c>
      <c r="V55" s="1202">
        <v>1699</v>
      </c>
      <c r="W55" s="1202">
        <v>1721.1</v>
      </c>
      <c r="X55" s="1202">
        <v>1740.7</v>
      </c>
      <c r="Y55" s="1202">
        <v>1758.2</v>
      </c>
      <c r="Z55" s="1202">
        <v>1774.2</v>
      </c>
      <c r="AA55" s="1202">
        <v>1790.4</v>
      </c>
      <c r="AB55" s="1202">
        <v>1805.5</v>
      </c>
      <c r="AC55" s="1202">
        <v>1819</v>
      </c>
      <c r="AD55" s="1202">
        <v>1832.8</v>
      </c>
      <c r="AE55" s="1202">
        <v>1846.8</v>
      </c>
      <c r="AF55" s="1202">
        <v>1860.9</v>
      </c>
      <c r="AG55" s="886"/>
      <c r="AH55" s="886"/>
      <c r="AI55" s="886"/>
      <c r="AJ55" s="886"/>
      <c r="AK55" s="886"/>
      <c r="AL55" s="886"/>
      <c r="AM55" s="886"/>
      <c r="AN55" s="886"/>
      <c r="AO55" s="886"/>
    </row>
    <row r="56" spans="2:48" ht="26.25" customHeight="1" x14ac:dyDescent="0.35">
      <c r="B56" s="883" t="s">
        <v>1828</v>
      </c>
      <c r="C56" s="1124" t="s">
        <v>1730</v>
      </c>
      <c r="D56" s="47"/>
      <c r="E56" s="35"/>
      <c r="F56" s="35"/>
      <c r="G56" s="35"/>
      <c r="H56" s="35"/>
      <c r="I56" s="35"/>
      <c r="J56" s="35"/>
      <c r="K56" s="35"/>
      <c r="L56" s="35"/>
      <c r="M56" s="35"/>
      <c r="N56" s="35"/>
      <c r="O56" s="35"/>
      <c r="P56" s="35"/>
      <c r="Q56" s="35"/>
      <c r="R56" s="35"/>
      <c r="S56" s="1202">
        <v>2829.6</v>
      </c>
      <c r="T56" s="1202">
        <v>2871.1</v>
      </c>
      <c r="U56" s="1202">
        <v>2900.1</v>
      </c>
      <c r="V56" s="1202">
        <v>2932.7</v>
      </c>
      <c r="W56" s="1202">
        <v>2970.6</v>
      </c>
      <c r="X56" s="1202">
        <v>3002.9</v>
      </c>
      <c r="Y56" s="1202">
        <v>3034.4</v>
      </c>
      <c r="Z56" s="1202">
        <v>3062.5</v>
      </c>
      <c r="AA56" s="1202">
        <v>3090.1</v>
      </c>
      <c r="AB56" s="1202">
        <v>3117.6</v>
      </c>
      <c r="AC56" s="1202">
        <v>3146.1</v>
      </c>
      <c r="AD56" s="1202">
        <v>3174.9</v>
      </c>
      <c r="AE56" s="1202">
        <v>3203.9</v>
      </c>
      <c r="AF56" s="1202">
        <v>3233.8</v>
      </c>
      <c r="AG56" s="888"/>
      <c r="AH56" s="888"/>
      <c r="AI56" s="888"/>
      <c r="AJ56" s="888"/>
      <c r="AK56" s="888"/>
      <c r="AL56" s="888"/>
      <c r="AM56" s="888"/>
      <c r="AN56" s="888"/>
      <c r="AO56" s="888"/>
    </row>
    <row r="57" spans="2:48" ht="26.25" customHeight="1" x14ac:dyDescent="0.35">
      <c r="B57" s="883" t="s">
        <v>1829</v>
      </c>
      <c r="C57" s="1124" t="s">
        <v>1731</v>
      </c>
      <c r="D57" s="47"/>
      <c r="E57" s="35"/>
      <c r="F57" s="35"/>
      <c r="G57" s="35"/>
      <c r="H57" s="35"/>
      <c r="I57" s="35"/>
      <c r="J57" s="35"/>
      <c r="K57" s="35"/>
      <c r="L57" s="35"/>
      <c r="M57" s="35"/>
      <c r="N57" s="35"/>
      <c r="O57" s="35"/>
      <c r="P57" s="35"/>
      <c r="Q57" s="35"/>
      <c r="R57" s="35"/>
      <c r="S57" s="1202">
        <v>14159.9</v>
      </c>
      <c r="T57" s="1202">
        <v>14286.7</v>
      </c>
      <c r="U57" s="1202">
        <v>14330.7</v>
      </c>
      <c r="V57" s="1202">
        <v>14360.7</v>
      </c>
      <c r="W57" s="1202">
        <v>14400.5</v>
      </c>
      <c r="X57" s="1202">
        <v>14447.8</v>
      </c>
      <c r="Y57" s="1202">
        <v>14497.8</v>
      </c>
      <c r="Z57" s="1202">
        <v>14551.4</v>
      </c>
      <c r="AA57" s="1202">
        <v>14606.8</v>
      </c>
      <c r="AB57" s="1202">
        <v>14670.6</v>
      </c>
      <c r="AC57" s="1202">
        <v>14737.3</v>
      </c>
      <c r="AD57" s="1202">
        <v>14800</v>
      </c>
      <c r="AE57" s="1202">
        <v>14864.9</v>
      </c>
      <c r="AF57" s="1202">
        <v>14926.6</v>
      </c>
      <c r="AG57" s="888"/>
      <c r="AH57" s="888"/>
      <c r="AI57" s="888"/>
      <c r="AJ57" s="888"/>
      <c r="AK57" s="888"/>
      <c r="AL57" s="888"/>
      <c r="AM57" s="888"/>
      <c r="AN57" s="888"/>
      <c r="AO57" s="888"/>
    </row>
    <row r="58" spans="2:48" ht="26.25" customHeight="1" x14ac:dyDescent="0.35">
      <c r="B58" s="883" t="s">
        <v>1827</v>
      </c>
      <c r="C58" s="1124" t="s">
        <v>1732</v>
      </c>
      <c r="D58" s="47"/>
      <c r="E58" s="35"/>
      <c r="F58" s="35"/>
      <c r="G58" s="35"/>
      <c r="H58" s="35"/>
      <c r="I58" s="35"/>
      <c r="J58" s="35"/>
      <c r="K58" s="35"/>
      <c r="L58" s="35"/>
      <c r="M58" s="35"/>
      <c r="N58" s="35"/>
      <c r="O58" s="35"/>
      <c r="P58" s="35"/>
      <c r="Q58" s="35"/>
      <c r="R58" s="35"/>
      <c r="S58" s="1202">
        <v>1352.6</v>
      </c>
      <c r="T58" s="1202">
        <v>1350.2</v>
      </c>
      <c r="U58" s="1202">
        <v>1355.6</v>
      </c>
      <c r="V58" s="1202">
        <v>1360.4</v>
      </c>
      <c r="W58" s="1202">
        <v>1369.5</v>
      </c>
      <c r="X58" s="1202">
        <v>1376.4</v>
      </c>
      <c r="Y58" s="1202">
        <v>1380.2</v>
      </c>
      <c r="Z58" s="1202">
        <v>1383.1</v>
      </c>
      <c r="AA58" s="1202">
        <v>1386.3</v>
      </c>
      <c r="AB58" s="1202">
        <v>1388.8</v>
      </c>
      <c r="AC58" s="1202">
        <v>1390.9</v>
      </c>
      <c r="AD58" s="1202">
        <v>1393</v>
      </c>
      <c r="AE58" s="1202">
        <v>1395.2</v>
      </c>
      <c r="AF58" s="1202">
        <v>1397.5</v>
      </c>
      <c r="AG58" s="888"/>
      <c r="AH58" s="888"/>
      <c r="AI58" s="888"/>
      <c r="AJ58" s="888"/>
      <c r="AK58" s="888"/>
      <c r="AL58" s="888"/>
      <c r="AM58" s="888"/>
      <c r="AN58" s="888"/>
      <c r="AO58" s="888"/>
    </row>
    <row r="59" spans="2:48" ht="26.15" customHeight="1" x14ac:dyDescent="0.35">
      <c r="B59" s="883" t="s">
        <v>1830</v>
      </c>
      <c r="C59" s="36" t="s">
        <v>1733</v>
      </c>
      <c r="D59" s="47"/>
      <c r="E59" s="35"/>
      <c r="F59" s="35"/>
      <c r="G59" s="35"/>
      <c r="H59" s="35"/>
      <c r="I59" s="35"/>
      <c r="J59" s="35"/>
      <c r="K59" s="35"/>
      <c r="L59" s="35"/>
      <c r="M59" s="35"/>
      <c r="N59" s="35"/>
      <c r="O59" s="35"/>
      <c r="P59" s="35"/>
      <c r="Q59" s="35"/>
      <c r="R59" s="35"/>
      <c r="S59" s="1202">
        <v>2052.1</v>
      </c>
      <c r="T59" s="1202">
        <v>2058</v>
      </c>
      <c r="U59" s="1202">
        <v>2061.1</v>
      </c>
      <c r="V59" s="1202">
        <v>2067.6999999999998</v>
      </c>
      <c r="W59" s="1202">
        <v>2076.5</v>
      </c>
      <c r="X59" s="1202">
        <v>2081.4</v>
      </c>
      <c r="Y59" s="1202">
        <v>2087.1</v>
      </c>
      <c r="Z59" s="1202">
        <v>2091.9</v>
      </c>
      <c r="AA59" s="1202">
        <v>2096.6999999999998</v>
      </c>
      <c r="AB59" s="1202">
        <v>2101.5</v>
      </c>
      <c r="AC59" s="1202">
        <v>2106.3000000000002</v>
      </c>
      <c r="AD59" s="1202">
        <v>2111.3000000000002</v>
      </c>
      <c r="AE59" s="1202">
        <v>2116.1999999999998</v>
      </c>
      <c r="AF59" s="1202">
        <v>2121.6999999999998</v>
      </c>
      <c r="AG59" s="888"/>
      <c r="AH59" s="888"/>
      <c r="AI59" s="888"/>
      <c r="AJ59" s="888"/>
      <c r="AK59" s="888"/>
      <c r="AL59" s="888"/>
      <c r="AM59" s="888"/>
      <c r="AN59" s="888"/>
      <c r="AO59" s="888"/>
    </row>
    <row r="60" spans="2:48" x14ac:dyDescent="0.35">
      <c r="B60" s="894"/>
      <c r="C60" s="895"/>
      <c r="D60" s="868"/>
      <c r="E60" s="868"/>
      <c r="F60" s="868"/>
      <c r="G60" s="868"/>
      <c r="H60" s="868"/>
      <c r="I60" s="868"/>
      <c r="J60" s="868"/>
      <c r="K60" s="868"/>
      <c r="L60" s="868"/>
      <c r="M60" s="868"/>
      <c r="N60" s="868"/>
      <c r="O60" s="868"/>
      <c r="P60" s="868"/>
      <c r="Q60" s="868"/>
      <c r="R60" s="868"/>
      <c r="S60" s="868"/>
      <c r="T60" s="869" t="s">
        <v>1719</v>
      </c>
      <c r="U60" s="896"/>
      <c r="V60" s="896"/>
      <c r="W60" s="896"/>
      <c r="X60" s="896"/>
      <c r="Y60" s="896"/>
      <c r="Z60" s="896"/>
      <c r="AA60" s="896"/>
      <c r="AB60" s="896"/>
      <c r="AC60" s="896"/>
      <c r="AD60" s="896"/>
      <c r="AE60" s="896"/>
      <c r="AF60" s="897"/>
      <c r="AG60" s="163"/>
      <c r="AH60" s="163"/>
      <c r="AI60" s="163"/>
      <c r="AJ60" s="163"/>
      <c r="AK60" s="163"/>
      <c r="AL60" s="163"/>
      <c r="AM60" s="163"/>
      <c r="AN60" s="163"/>
      <c r="AO60" s="163"/>
      <c r="AP60" s="35"/>
      <c r="AQ60" s="35"/>
      <c r="AR60" s="35"/>
      <c r="AS60" s="35"/>
      <c r="AT60" s="35"/>
      <c r="AU60" s="35"/>
      <c r="AV60" s="35"/>
    </row>
    <row r="61" spans="2:48" x14ac:dyDescent="0.35">
      <c r="B61" s="851" t="s">
        <v>1723</v>
      </c>
      <c r="C61" s="78"/>
      <c r="D61" s="860"/>
      <c r="E61" s="860"/>
      <c r="F61" s="860"/>
      <c r="G61" s="860"/>
      <c r="H61" s="860"/>
      <c r="I61" s="860"/>
      <c r="J61" s="860"/>
      <c r="K61" s="860"/>
      <c r="L61" s="860"/>
      <c r="M61" s="860"/>
      <c r="N61" s="860"/>
      <c r="O61" s="860"/>
      <c r="P61" s="860"/>
      <c r="Q61" s="860"/>
      <c r="R61" s="860"/>
      <c r="S61" s="890">
        <f t="shared" ref="S61:AF61" si="19">S54/S57</f>
        <v>1.2370920698592502</v>
      </c>
      <c r="T61" s="890">
        <f t="shared" si="19"/>
        <v>1.2494907851358255</v>
      </c>
      <c r="U61" s="890">
        <f t="shared" si="19"/>
        <v>1.260503673930792</v>
      </c>
      <c r="V61" s="890">
        <f t="shared" si="19"/>
        <v>1.2709895757170611</v>
      </c>
      <c r="W61" s="890">
        <f t="shared" si="19"/>
        <v>1.2813999513905767</v>
      </c>
      <c r="X61" s="890">
        <f t="shared" si="19"/>
        <v>1.2908124420326972</v>
      </c>
      <c r="Y61" s="890">
        <f t="shared" si="19"/>
        <v>1.2992660955455311</v>
      </c>
      <c r="Z61" s="890">
        <f t="shared" si="19"/>
        <v>1.307049493519524</v>
      </c>
      <c r="AA61" s="890">
        <f t="shared" si="19"/>
        <v>1.3145178957745709</v>
      </c>
      <c r="AB61" s="890">
        <f t="shared" si="19"/>
        <v>1.3218205117718431</v>
      </c>
      <c r="AC61" s="890">
        <f t="shared" si="19"/>
        <v>1.329185128890638</v>
      </c>
      <c r="AD61" s="890">
        <f t="shared" si="19"/>
        <v>1.3364594594594594</v>
      </c>
      <c r="AE61" s="890">
        <f t="shared" si="19"/>
        <v>1.3436686422377548</v>
      </c>
      <c r="AF61" s="870">
        <f t="shared" si="19"/>
        <v>1.3508635590154487</v>
      </c>
      <c r="AG61" s="886"/>
      <c r="AH61" s="886"/>
      <c r="AI61" s="886"/>
      <c r="AJ61" s="886"/>
      <c r="AK61" s="886"/>
      <c r="AL61" s="886"/>
      <c r="AM61" s="886"/>
      <c r="AN61" s="886"/>
      <c r="AO61" s="886"/>
    </row>
    <row r="62" spans="2:48" x14ac:dyDescent="0.35">
      <c r="B62" s="47" t="s">
        <v>1724</v>
      </c>
      <c r="C62" s="123"/>
      <c r="D62" s="35"/>
      <c r="E62" s="35"/>
      <c r="F62" s="35"/>
      <c r="G62" s="35"/>
      <c r="H62" s="35"/>
      <c r="I62" s="35"/>
      <c r="J62" s="35"/>
      <c r="K62" s="35"/>
      <c r="L62" s="35"/>
      <c r="M62" s="35"/>
      <c r="N62" s="35"/>
      <c r="O62" s="35"/>
      <c r="P62" s="35"/>
      <c r="Q62" s="35"/>
      <c r="R62" s="35"/>
      <c r="S62" s="885">
        <f t="shared" ref="S62:AF62" si="20">S55/S58</f>
        <v>1.2249741239095078</v>
      </c>
      <c r="T62" s="885">
        <f t="shared" si="20"/>
        <v>1.2337431491630868</v>
      </c>
      <c r="U62" s="885">
        <f t="shared" si="20"/>
        <v>1.2416642077308941</v>
      </c>
      <c r="V62" s="885">
        <f t="shared" si="20"/>
        <v>1.2488973831226109</v>
      </c>
      <c r="W62" s="885">
        <f t="shared" si="20"/>
        <v>1.256736035049288</v>
      </c>
      <c r="X62" s="885">
        <f t="shared" si="20"/>
        <v>1.2646759662888694</v>
      </c>
      <c r="Y62" s="885">
        <f t="shared" si="20"/>
        <v>1.2738733516881611</v>
      </c>
      <c r="Z62" s="885">
        <f t="shared" si="20"/>
        <v>1.2827705878099922</v>
      </c>
      <c r="AA62" s="885">
        <f t="shared" si="20"/>
        <v>1.2914953473274184</v>
      </c>
      <c r="AB62" s="885">
        <f t="shared" si="20"/>
        <v>1.3000432027649771</v>
      </c>
      <c r="AC62" s="885">
        <f t="shared" si="20"/>
        <v>1.3077863254008195</v>
      </c>
      <c r="AD62" s="885">
        <f t="shared" si="20"/>
        <v>1.3157214644651831</v>
      </c>
      <c r="AE62" s="885">
        <f t="shared" si="20"/>
        <v>1.3236811926605503</v>
      </c>
      <c r="AF62" s="891">
        <f t="shared" si="20"/>
        <v>1.3315921288014312</v>
      </c>
      <c r="AG62" s="888"/>
      <c r="AH62" s="888"/>
      <c r="AI62" s="888"/>
      <c r="AJ62" s="888"/>
      <c r="AK62" s="888"/>
      <c r="AL62" s="888"/>
      <c r="AM62" s="888"/>
      <c r="AN62" s="888"/>
      <c r="AO62" s="888"/>
    </row>
    <row r="63" spans="2:48" x14ac:dyDescent="0.35">
      <c r="B63" s="124" t="s">
        <v>1725</v>
      </c>
      <c r="C63" s="125"/>
      <c r="D63" s="36"/>
      <c r="E63" s="36"/>
      <c r="F63" s="36"/>
      <c r="G63" s="36"/>
      <c r="H63" s="36"/>
      <c r="I63" s="36"/>
      <c r="J63" s="36"/>
      <c r="K63" s="36"/>
      <c r="L63" s="36"/>
      <c r="M63" s="36"/>
      <c r="N63" s="36"/>
      <c r="O63" s="36"/>
      <c r="P63" s="36"/>
      <c r="Q63" s="36"/>
      <c r="R63" s="36"/>
      <c r="S63" s="889">
        <f t="shared" ref="S63:AF63" si="21">S56/S59</f>
        <v>1.3788801715316017</v>
      </c>
      <c r="T63" s="889">
        <f t="shared" si="21"/>
        <v>1.3950923226433429</v>
      </c>
      <c r="U63" s="889">
        <f t="shared" si="21"/>
        <v>1.4070641890252777</v>
      </c>
      <c r="V63" s="889">
        <f t="shared" si="21"/>
        <v>1.4183392174880303</v>
      </c>
      <c r="W63" s="889">
        <f t="shared" si="21"/>
        <v>1.4305803033951361</v>
      </c>
      <c r="X63" s="889">
        <f t="shared" si="21"/>
        <v>1.442730854232728</v>
      </c>
      <c r="Y63" s="889">
        <f t="shared" si="21"/>
        <v>1.4538833788510375</v>
      </c>
      <c r="Z63" s="889">
        <f t="shared" si="21"/>
        <v>1.4639801137721689</v>
      </c>
      <c r="AA63" s="889">
        <f t="shared" si="21"/>
        <v>1.4737921495683695</v>
      </c>
      <c r="AB63" s="889">
        <f t="shared" si="21"/>
        <v>1.4835117773019271</v>
      </c>
      <c r="AC63" s="889">
        <f t="shared" si="21"/>
        <v>1.4936618715282721</v>
      </c>
      <c r="AD63" s="889">
        <f t="shared" si="21"/>
        <v>1.5037654525647703</v>
      </c>
      <c r="AE63" s="889">
        <f t="shared" si="21"/>
        <v>1.5139873357905682</v>
      </c>
      <c r="AF63" s="892">
        <f t="shared" si="21"/>
        <v>1.5241551585992368</v>
      </c>
      <c r="AG63" s="888"/>
      <c r="AH63" s="888"/>
      <c r="AI63" s="888"/>
      <c r="AJ63" s="888"/>
      <c r="AK63" s="888"/>
      <c r="AL63" s="888"/>
      <c r="AM63" s="888"/>
      <c r="AN63" s="888"/>
      <c r="AO63" s="888"/>
    </row>
    <row r="64" spans="2:48" x14ac:dyDescent="0.35">
      <c r="B64" s="884"/>
      <c r="C64" s="884"/>
      <c r="D64" s="163"/>
      <c r="E64" s="163"/>
      <c r="F64" s="163"/>
      <c r="G64" s="163"/>
      <c r="H64" s="163"/>
      <c r="I64" s="163"/>
      <c r="J64" s="163"/>
      <c r="K64" s="163"/>
      <c r="L64" s="163"/>
      <c r="M64" s="163"/>
      <c r="N64" s="163"/>
      <c r="O64" s="163"/>
      <c r="P64" s="163"/>
      <c r="Q64" s="163"/>
      <c r="R64" s="163"/>
      <c r="S64" s="163"/>
      <c r="T64" s="163"/>
      <c r="U64" s="163"/>
      <c r="V64" s="163"/>
      <c r="W64" s="163"/>
      <c r="X64" s="163"/>
      <c r="Y64" s="163"/>
      <c r="Z64" s="35"/>
      <c r="AA64" s="35"/>
      <c r="AB64" s="35"/>
      <c r="AC64" s="35"/>
      <c r="AD64" s="35"/>
      <c r="AE64" s="35"/>
      <c r="AF64" s="35"/>
    </row>
    <row r="65" spans="2:32" x14ac:dyDescent="0.35">
      <c r="B65" s="884"/>
      <c r="C65" s="884"/>
      <c r="D65" s="163"/>
      <c r="E65" s="163"/>
      <c r="F65" s="163"/>
      <c r="G65" s="163"/>
      <c r="H65" s="163"/>
      <c r="I65" s="163"/>
      <c r="J65" s="163"/>
      <c r="K65" s="163"/>
      <c r="L65" s="163"/>
      <c r="M65" s="163"/>
      <c r="N65" s="163"/>
      <c r="O65" s="163"/>
      <c r="P65" s="163"/>
      <c r="Q65" s="163"/>
      <c r="R65" s="163"/>
      <c r="S65" s="163"/>
      <c r="T65" s="687"/>
      <c r="U65" s="687"/>
      <c r="V65" s="687"/>
      <c r="W65" s="687"/>
      <c r="X65" s="687"/>
      <c r="Y65" s="687"/>
      <c r="Z65" s="687"/>
      <c r="AA65" s="687"/>
      <c r="AB65" s="687"/>
      <c r="AC65" s="687"/>
      <c r="AD65" s="687"/>
      <c r="AE65" s="687"/>
      <c r="AF65" s="687"/>
    </row>
    <row r="67" spans="2:32" x14ac:dyDescent="0.35">
      <c r="C67" s="30"/>
      <c r="D67" s="871"/>
      <c r="E67" s="871"/>
      <c r="F67" s="871"/>
      <c r="G67" s="871"/>
    </row>
    <row r="71" spans="2:32" x14ac:dyDescent="0.35">
      <c r="C71" s="14"/>
      <c r="D71" s="70"/>
      <c r="E71" s="70"/>
      <c r="F71" s="70"/>
      <c r="G71" s="70"/>
      <c r="H71" s="70"/>
      <c r="I71" s="70"/>
      <c r="J71" s="70"/>
      <c r="K71" s="70"/>
      <c r="L71" s="70"/>
      <c r="M71" s="70"/>
    </row>
    <row r="72" spans="2:32" x14ac:dyDescent="0.35">
      <c r="C72" s="30"/>
      <c r="D72" s="875"/>
      <c r="E72" s="875"/>
      <c r="F72" s="875"/>
      <c r="G72" s="875"/>
      <c r="H72" s="875"/>
      <c r="I72" s="875"/>
      <c r="J72" s="875"/>
      <c r="K72" s="875"/>
      <c r="L72" s="875"/>
      <c r="M72" s="875"/>
    </row>
    <row r="73" spans="2:32" x14ac:dyDescent="0.35">
      <c r="C73" s="871"/>
      <c r="D73" s="875"/>
      <c r="E73" s="875"/>
      <c r="F73" s="875"/>
      <c r="G73" s="875"/>
      <c r="H73" s="875"/>
      <c r="I73" s="875"/>
      <c r="J73" s="875"/>
      <c r="K73" s="875"/>
      <c r="L73" s="875"/>
      <c r="M73" s="875"/>
    </row>
    <row r="74" spans="2:32" x14ac:dyDescent="0.35">
      <c r="C74" s="871"/>
      <c r="D74" s="875"/>
      <c r="E74" s="875"/>
      <c r="F74" s="875"/>
      <c r="G74" s="875"/>
      <c r="H74" s="875"/>
      <c r="I74" s="875"/>
      <c r="J74" s="875"/>
      <c r="K74" s="875"/>
      <c r="L74" s="875"/>
      <c r="M74" s="875"/>
    </row>
    <row r="75" spans="2:32" x14ac:dyDescent="0.35">
      <c r="C75" s="871"/>
      <c r="D75" s="875"/>
      <c r="E75" s="875"/>
      <c r="F75" s="875"/>
      <c r="G75" s="875"/>
      <c r="H75" s="875"/>
      <c r="I75" s="875"/>
      <c r="J75" s="875"/>
      <c r="K75" s="875"/>
      <c r="L75" s="875"/>
      <c r="M75" s="875"/>
    </row>
    <row r="76" spans="2:32" x14ac:dyDescent="0.35">
      <c r="C76" s="871"/>
      <c r="D76" s="875"/>
      <c r="E76" s="875"/>
      <c r="F76" s="875"/>
      <c r="G76" s="875"/>
      <c r="H76" s="875"/>
      <c r="I76" s="875"/>
      <c r="J76" s="875"/>
      <c r="K76" s="875"/>
      <c r="L76" s="875"/>
      <c r="M76" s="875"/>
    </row>
  </sheetData>
  <mergeCells count="28">
    <mergeCell ref="Y52:AB52"/>
    <mergeCell ref="AC43:AF43"/>
    <mergeCell ref="Y9:AB9"/>
    <mergeCell ref="Y43:AB43"/>
    <mergeCell ref="B51:E51"/>
    <mergeCell ref="Q52:R52"/>
    <mergeCell ref="M9:P9"/>
    <mergeCell ref="Q9:R9"/>
    <mergeCell ref="E52:H52"/>
    <mergeCell ref="I52:L52"/>
    <mergeCell ref="M52:P52"/>
    <mergeCell ref="E9:H9"/>
    <mergeCell ref="I9:L9"/>
    <mergeCell ref="B22:AF22"/>
    <mergeCell ref="AC52:AF52"/>
    <mergeCell ref="B1:AC1"/>
    <mergeCell ref="B2:AC4"/>
    <mergeCell ref="B42:C44"/>
    <mergeCell ref="E43:H43"/>
    <mergeCell ref="I43:L43"/>
    <mergeCell ref="M43:P43"/>
    <mergeCell ref="B8:C10"/>
    <mergeCell ref="AC9:AF9"/>
    <mergeCell ref="D42:T42"/>
    <mergeCell ref="Q43:T43"/>
    <mergeCell ref="B7:F7"/>
    <mergeCell ref="D8:R8"/>
    <mergeCell ref="B11:AF11"/>
  </mergeCells>
  <pageMargins left="0.7" right="0.7" top="0.75" bottom="0.75" header="0.3" footer="0.3"/>
  <pageSetup paperSize="9" orientation="portrait" horizontalDpi="300" verticalDpi="300"/>
  <drawing r:id="rId1"/>
  <legacyDrawing r:id="rId2"/>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C1:BD195"/>
  <sheetViews>
    <sheetView topLeftCell="C4" zoomScale="80" zoomScaleNormal="80" workbookViewId="0">
      <pane xSplit="3" ySplit="4" topLeftCell="R8" activePane="bottomRight" state="frozen"/>
      <selection activeCell="C4" sqref="C4"/>
      <selection pane="topRight" activeCell="F4" sqref="F4"/>
      <selection pane="bottomLeft" activeCell="C8" sqref="C8"/>
      <selection pane="bottomRight" activeCell="V16" sqref="V16"/>
    </sheetView>
  </sheetViews>
  <sheetFormatPr defaultColWidth="11.453125" defaultRowHeight="14.5" x14ac:dyDescent="0.35"/>
  <cols>
    <col min="1" max="2" width="0" hidden="1" customWidth="1"/>
    <col min="4" max="4" width="45.1796875" customWidth="1"/>
    <col min="5" max="5" width="11.1796875" customWidth="1"/>
    <col min="13" max="13" width="12.453125" customWidth="1"/>
    <col min="14" max="15" width="13.453125" customWidth="1"/>
    <col min="16" max="16" width="11.1796875" customWidth="1"/>
    <col min="19" max="19" width="12" customWidth="1"/>
    <col min="31" max="31" width="17.81640625" bestFit="1" customWidth="1"/>
  </cols>
  <sheetData>
    <row r="1" spans="4:56" x14ac:dyDescent="0.35">
      <c r="D1" s="1634" t="s">
        <v>58</v>
      </c>
      <c r="E1" s="1634"/>
      <c r="F1" s="1634"/>
      <c r="G1" s="1634"/>
      <c r="H1" s="1634"/>
      <c r="I1" s="1634"/>
      <c r="J1" s="1634"/>
      <c r="K1" s="1634"/>
      <c r="L1" s="1634"/>
      <c r="M1" s="1634"/>
      <c r="N1" s="1634"/>
      <c r="O1" s="1634"/>
      <c r="P1" s="1634"/>
      <c r="Q1" s="1634"/>
      <c r="R1" s="1634"/>
      <c r="S1" s="1634"/>
      <c r="T1" s="1634"/>
      <c r="U1" s="1634"/>
      <c r="V1" s="1634"/>
      <c r="W1" s="1634"/>
      <c r="X1" s="1634"/>
      <c r="Y1" s="1634"/>
      <c r="Z1" s="1634"/>
      <c r="AA1" s="1634"/>
      <c r="AB1" s="1634"/>
      <c r="AC1" s="1634"/>
    </row>
    <row r="2" spans="4:56" ht="14.25" customHeight="1" x14ac:dyDescent="0.35">
      <c r="D2" s="1674" t="s">
        <v>920</v>
      </c>
      <c r="E2" s="1674"/>
      <c r="F2" s="1674"/>
      <c r="G2" s="1674"/>
      <c r="H2" s="1674"/>
      <c r="I2" s="1674"/>
      <c r="J2" s="1674"/>
      <c r="K2" s="1674"/>
      <c r="L2" s="1674"/>
      <c r="M2" s="1674"/>
      <c r="N2" s="1674"/>
      <c r="O2" s="1674"/>
      <c r="P2" s="1674"/>
      <c r="Q2" s="1674"/>
      <c r="R2" s="1674"/>
      <c r="S2" s="1674"/>
      <c r="T2" s="1674"/>
      <c r="U2" s="1674"/>
      <c r="V2" s="1674"/>
      <c r="W2" s="1674"/>
      <c r="X2" s="1674"/>
      <c r="Y2" s="1674"/>
      <c r="Z2" s="1674"/>
      <c r="AA2" s="1674"/>
      <c r="AB2" s="1674"/>
      <c r="AC2" s="1674"/>
    </row>
    <row r="3" spans="4:56" ht="84.75" customHeight="1" x14ac:dyDescent="0.35">
      <c r="D3" s="1674"/>
      <c r="E3" s="1674"/>
      <c r="F3" s="1674"/>
      <c r="G3" s="1674"/>
      <c r="H3" s="1674"/>
      <c r="I3" s="1674"/>
      <c r="J3" s="1674"/>
      <c r="K3" s="1674"/>
      <c r="L3" s="1674"/>
      <c r="M3" s="1674"/>
      <c r="N3" s="1674"/>
      <c r="O3" s="1674"/>
      <c r="P3" s="1674"/>
      <c r="Q3" s="1674"/>
      <c r="R3" s="1674"/>
      <c r="S3" s="1674"/>
      <c r="T3" s="1674"/>
      <c r="U3" s="1674"/>
      <c r="V3" s="1674"/>
      <c r="W3" s="1674"/>
      <c r="X3" s="1674"/>
      <c r="Y3" s="1674"/>
      <c r="Z3" s="1674"/>
      <c r="AA3" s="1674"/>
      <c r="AB3" s="1674"/>
      <c r="AC3" s="1674"/>
    </row>
    <row r="4" spans="4:56" x14ac:dyDescent="0.35">
      <c r="D4" s="780" t="s">
        <v>333</v>
      </c>
      <c r="W4" s="35"/>
    </row>
    <row r="5" spans="4:56" x14ac:dyDescent="0.35">
      <c r="D5" s="1653" t="s">
        <v>405</v>
      </c>
      <c r="E5" s="1654"/>
      <c r="F5" s="1749" t="s">
        <v>280</v>
      </c>
      <c r="G5" s="1750"/>
      <c r="H5" s="1750"/>
      <c r="I5" s="1750"/>
      <c r="J5" s="1750"/>
      <c r="K5" s="1750"/>
      <c r="L5" s="1750"/>
      <c r="M5" s="1750"/>
      <c r="N5" s="1750"/>
      <c r="O5" s="1750"/>
      <c r="P5" s="1750"/>
      <c r="Q5" s="1750"/>
      <c r="R5" s="1750"/>
      <c r="S5" s="1750"/>
      <c r="T5" s="1750"/>
      <c r="U5" s="1232"/>
      <c r="V5" s="1651" t="s">
        <v>281</v>
      </c>
      <c r="W5" s="1629"/>
      <c r="X5" s="1629"/>
      <c r="Y5" s="1629"/>
      <c r="Z5" s="1629"/>
      <c r="AA5" s="1629"/>
      <c r="AB5" s="1629"/>
      <c r="AC5" s="1630"/>
      <c r="AD5" s="739"/>
      <c r="AE5" s="739"/>
      <c r="AF5" s="739"/>
      <c r="AG5" s="739"/>
      <c r="AH5" s="739"/>
      <c r="AI5" s="739"/>
      <c r="AJ5" s="739"/>
      <c r="AK5" s="739"/>
      <c r="AL5" s="739"/>
      <c r="AM5" s="739"/>
      <c r="AN5" s="739"/>
      <c r="AO5" s="739"/>
      <c r="AP5" s="739"/>
      <c r="AQ5" s="739"/>
      <c r="AR5" s="739"/>
      <c r="AS5" s="739"/>
      <c r="AT5" s="739"/>
      <c r="AU5" s="739"/>
      <c r="AV5" s="739"/>
      <c r="AW5" s="739"/>
      <c r="AX5" s="739"/>
      <c r="AY5" s="739"/>
      <c r="AZ5" s="739"/>
      <c r="BA5" s="739"/>
      <c r="BB5" s="739"/>
      <c r="BC5" s="739"/>
      <c r="BD5" s="739"/>
    </row>
    <row r="6" spans="4:56" x14ac:dyDescent="0.35">
      <c r="D6" s="1641"/>
      <c r="E6" s="1697"/>
      <c r="F6" s="1636">
        <v>2019</v>
      </c>
      <c r="G6" s="1666"/>
      <c r="H6" s="1638"/>
      <c r="I6" s="1666">
        <v>2020</v>
      </c>
      <c r="J6" s="1666"/>
      <c r="K6" s="1666"/>
      <c r="L6" s="1666"/>
      <c r="M6" s="1624">
        <v>2021</v>
      </c>
      <c r="N6" s="1646"/>
      <c r="O6" s="1646"/>
      <c r="P6" s="1646"/>
      <c r="Q6" s="1624">
        <v>2022</v>
      </c>
      <c r="R6" s="1625"/>
      <c r="S6" s="1625"/>
      <c r="T6" s="1661"/>
      <c r="U6" s="1228"/>
      <c r="V6" s="1229">
        <v>2023</v>
      </c>
      <c r="W6" s="1229"/>
      <c r="X6" s="1230"/>
      <c r="Y6" s="1633">
        <v>2024</v>
      </c>
      <c r="Z6" s="1631"/>
      <c r="AA6" s="1631"/>
      <c r="AB6" s="1632"/>
      <c r="AC6" s="178">
        <v>2025</v>
      </c>
      <c r="AD6" s="737"/>
      <c r="AE6" s="737"/>
      <c r="AF6" s="737"/>
      <c r="AG6" s="740"/>
      <c r="AH6" s="740"/>
      <c r="AI6" s="740"/>
      <c r="AJ6" s="740"/>
      <c r="AK6" s="740"/>
      <c r="AL6" s="740"/>
      <c r="AM6" s="740"/>
      <c r="AN6" s="740"/>
      <c r="AO6" s="740"/>
      <c r="AP6" s="740"/>
      <c r="AQ6" s="740"/>
      <c r="AR6" s="740"/>
      <c r="AS6" s="740"/>
      <c r="AT6" s="740"/>
      <c r="AU6" s="740"/>
      <c r="AV6" s="740"/>
      <c r="AW6" s="740"/>
      <c r="AX6" s="740"/>
      <c r="AY6" s="740"/>
      <c r="AZ6" s="740"/>
      <c r="BA6" s="740"/>
      <c r="BB6" s="740"/>
      <c r="BC6" s="740"/>
    </row>
    <row r="7" spans="4:56" x14ac:dyDescent="0.35">
      <c r="D7" s="1643"/>
      <c r="E7" s="1698"/>
      <c r="F7" s="118" t="s">
        <v>284</v>
      </c>
      <c r="G7" s="132" t="s">
        <v>238</v>
      </c>
      <c r="H7" s="115" t="s">
        <v>282</v>
      </c>
      <c r="I7" s="132" t="s">
        <v>283</v>
      </c>
      <c r="J7" s="132" t="s">
        <v>284</v>
      </c>
      <c r="K7" s="132" t="s">
        <v>238</v>
      </c>
      <c r="L7" s="132" t="s">
        <v>282</v>
      </c>
      <c r="M7" s="118" t="s">
        <v>283</v>
      </c>
      <c r="N7" s="132" t="s">
        <v>284</v>
      </c>
      <c r="O7" s="132" t="s">
        <v>238</v>
      </c>
      <c r="P7" s="132" t="s">
        <v>282</v>
      </c>
      <c r="Q7" s="118" t="s">
        <v>283</v>
      </c>
      <c r="R7" s="132" t="s">
        <v>284</v>
      </c>
      <c r="S7" s="132" t="s">
        <v>238</v>
      </c>
      <c r="T7" s="115" t="s">
        <v>282</v>
      </c>
      <c r="U7" s="1127" t="s">
        <v>283</v>
      </c>
      <c r="V7" s="1273" t="s">
        <v>284</v>
      </c>
      <c r="W7" s="1273" t="s">
        <v>238</v>
      </c>
      <c r="X7" s="241" t="s">
        <v>282</v>
      </c>
      <c r="Y7" s="301" t="s">
        <v>283</v>
      </c>
      <c r="Z7" s="1143" t="s">
        <v>284</v>
      </c>
      <c r="AA7" s="1273" t="s">
        <v>238</v>
      </c>
      <c r="AB7" s="1273" t="s">
        <v>282</v>
      </c>
      <c r="AC7" s="324" t="s">
        <v>283</v>
      </c>
      <c r="AD7" s="687"/>
      <c r="AE7" s="687"/>
      <c r="AF7" s="687"/>
      <c r="AG7" s="687"/>
      <c r="AH7" s="687"/>
      <c r="AI7" s="687"/>
      <c r="AJ7" s="687"/>
      <c r="AK7" s="687"/>
      <c r="AL7" s="687"/>
      <c r="AM7" s="687"/>
      <c r="AN7" s="687"/>
      <c r="AO7" s="687"/>
      <c r="AP7" s="687"/>
      <c r="AQ7" s="687"/>
      <c r="AR7" s="687"/>
      <c r="AS7" s="687"/>
      <c r="AT7" s="687"/>
      <c r="AU7" s="687"/>
      <c r="AV7" s="687"/>
      <c r="AW7" s="687"/>
      <c r="AX7" s="687"/>
      <c r="AY7" s="687"/>
      <c r="AZ7" s="687"/>
      <c r="BA7" s="687"/>
      <c r="BB7" s="687"/>
      <c r="BC7" s="687"/>
    </row>
    <row r="8" spans="4:56" x14ac:dyDescent="0.35">
      <c r="D8" s="1415" t="s">
        <v>467</v>
      </c>
      <c r="E8" s="69"/>
      <c r="F8" s="1390"/>
      <c r="G8" s="1391"/>
      <c r="H8" s="1391"/>
      <c r="I8" s="1391"/>
      <c r="J8" s="1391"/>
      <c r="K8" s="1391"/>
      <c r="L8" s="1391"/>
      <c r="M8" s="1391"/>
      <c r="N8" s="1391"/>
      <c r="O8" s="1391"/>
      <c r="P8" s="1391"/>
      <c r="Q8" s="1391"/>
      <c r="R8" s="1391"/>
      <c r="S8" s="1391"/>
      <c r="T8" s="1391"/>
      <c r="U8" s="1396"/>
      <c r="V8" s="1392"/>
      <c r="W8" s="1392"/>
      <c r="X8" s="1392"/>
      <c r="Y8" s="1392"/>
      <c r="Z8" s="1392"/>
      <c r="AA8" s="1392"/>
      <c r="AB8" s="1392"/>
      <c r="AC8" s="1393"/>
      <c r="AD8" s="665"/>
      <c r="AE8" s="665"/>
      <c r="AF8" s="665"/>
      <c r="AG8" s="665"/>
      <c r="AH8" s="665"/>
      <c r="AI8" s="665"/>
      <c r="AJ8" s="665"/>
      <c r="AK8" s="665"/>
      <c r="AL8" s="665"/>
      <c r="AM8" s="665"/>
      <c r="AN8" s="665"/>
      <c r="AO8" s="665"/>
      <c r="AP8" s="665"/>
      <c r="AQ8" s="665"/>
      <c r="AR8" s="665"/>
      <c r="AS8" s="665"/>
      <c r="AT8" s="665"/>
      <c r="AU8" s="665"/>
      <c r="AV8" s="665"/>
      <c r="AW8" s="665"/>
      <c r="AX8" s="665"/>
      <c r="AY8" s="665"/>
      <c r="AZ8" s="665"/>
      <c r="BA8" s="665"/>
      <c r="BB8" s="665"/>
      <c r="BC8" s="665"/>
    </row>
    <row r="9" spans="4:56" ht="14.9" customHeight="1" x14ac:dyDescent="0.35">
      <c r="D9" s="414" t="s">
        <v>483</v>
      </c>
      <c r="E9" s="1414"/>
      <c r="F9" s="1377">
        <f t="shared" ref="F9:P9" si="0">SUM(F10:F16)</f>
        <v>3266.5</v>
      </c>
      <c r="G9" s="1377">
        <f t="shared" si="0"/>
        <v>3286.9</v>
      </c>
      <c r="H9" s="1377">
        <f t="shared" si="0"/>
        <v>3332.3</v>
      </c>
      <c r="I9" s="1377">
        <f t="shared" si="0"/>
        <v>3393.2999999999997</v>
      </c>
      <c r="J9" s="1377">
        <f t="shared" si="0"/>
        <v>3128.1</v>
      </c>
      <c r="K9" s="1377">
        <f t="shared" si="0"/>
        <v>3303.4</v>
      </c>
      <c r="L9" s="1377">
        <f t="shared" si="0"/>
        <v>3457.8</v>
      </c>
      <c r="M9" s="1377">
        <f>SUM(M10:M16)</f>
        <v>3596.7999999999997</v>
      </c>
      <c r="N9" s="1377">
        <f t="shared" si="0"/>
        <v>3753.5</v>
      </c>
      <c r="O9" s="1377">
        <f t="shared" si="0"/>
        <v>3871.9000000000005</v>
      </c>
      <c r="P9" s="1377">
        <f t="shared" si="0"/>
        <v>4000.8999999999996</v>
      </c>
      <c r="Q9" s="1377">
        <f t="shared" ref="Q9:S9" si="1">SUM(Q10:Q16)</f>
        <v>4383.5999999999995</v>
      </c>
      <c r="R9" s="1377">
        <f t="shared" si="1"/>
        <v>4444.7999999999993</v>
      </c>
      <c r="S9" s="1416">
        <f t="shared" si="1"/>
        <v>4522.2</v>
      </c>
      <c r="T9" s="1377">
        <f t="shared" ref="T9:AC9" si="2">SUM(T10,T13,T16)</f>
        <v>4545.2</v>
      </c>
      <c r="U9" s="1397">
        <f t="shared" si="2"/>
        <v>4343.7</v>
      </c>
      <c r="V9" s="1378">
        <f t="shared" si="2"/>
        <v>4329.3221711136493</v>
      </c>
      <c r="W9" s="1378">
        <f t="shared" si="2"/>
        <v>4327.2051100458839</v>
      </c>
      <c r="X9" s="1378">
        <f t="shared" si="2"/>
        <v>4340.6301478375808</v>
      </c>
      <c r="Y9" s="1378">
        <f t="shared" si="2"/>
        <v>4349.3675379932738</v>
      </c>
      <c r="Z9" s="1378">
        <f t="shared" si="2"/>
        <v>4358.4195102567346</v>
      </c>
      <c r="AA9" s="1378">
        <f t="shared" si="2"/>
        <v>4367.7883258097772</v>
      </c>
      <c r="AB9" s="1378">
        <f t="shared" si="2"/>
        <v>4397.4810744762244</v>
      </c>
      <c r="AC9" s="666">
        <f t="shared" si="2"/>
        <v>4427.4238280406398</v>
      </c>
      <c r="AD9" s="744"/>
      <c r="AF9" s="656"/>
      <c r="AG9" s="656"/>
      <c r="AH9" s="656"/>
      <c r="AI9" s="656"/>
      <c r="AJ9" s="656"/>
      <c r="AK9" s="656"/>
      <c r="AL9" s="656"/>
      <c r="AM9" s="656"/>
      <c r="AN9" s="656"/>
      <c r="AO9" s="656"/>
      <c r="AU9" s="744"/>
      <c r="AV9" s="744"/>
      <c r="AW9" s="744"/>
      <c r="AX9" s="744"/>
      <c r="AY9" s="744"/>
      <c r="AZ9" s="744"/>
      <c r="BA9" s="744"/>
      <c r="BB9" s="744"/>
      <c r="BC9" s="744"/>
    </row>
    <row r="10" spans="4:56" x14ac:dyDescent="0.35">
      <c r="D10" s="421" t="s">
        <v>484</v>
      </c>
      <c r="E10" s="1281" t="s">
        <v>115</v>
      </c>
      <c r="F10" s="1379">
        <f>'Haver Pivoted'!GQ27</f>
        <v>1692.6</v>
      </c>
      <c r="G10" s="1379">
        <f>'Haver Pivoted'!GR27</f>
        <v>1700.6</v>
      </c>
      <c r="H10" s="1379">
        <f>'Haver Pivoted'!GS27</f>
        <v>1726.4</v>
      </c>
      <c r="I10" s="1379">
        <f>'Haver Pivoted'!GT27</f>
        <v>1751.6</v>
      </c>
      <c r="J10" s="1379">
        <f>'Haver Pivoted'!GU27</f>
        <v>1610.2</v>
      </c>
      <c r="K10" s="1379">
        <f>'Haver Pivoted'!GV27</f>
        <v>1722.1</v>
      </c>
      <c r="L10" s="1379">
        <f>'Haver Pivoted'!GW27</f>
        <v>1837.8</v>
      </c>
      <c r="M10" s="1379">
        <f>'Haver Pivoted'!GX27</f>
        <v>1965.4</v>
      </c>
      <c r="N10" s="1379">
        <f>'Haver Pivoted'!GY27</f>
        <v>2071.9</v>
      </c>
      <c r="O10" s="1379">
        <f>'Haver Pivoted'!GZ27</f>
        <v>2158.8000000000002</v>
      </c>
      <c r="P10" s="1379">
        <f>'Haver Pivoted'!HA27</f>
        <v>2235.1999999999998</v>
      </c>
      <c r="Q10" s="1379">
        <f>'Haver Pivoted'!HB27</f>
        <v>2564.1</v>
      </c>
      <c r="R10" s="1379">
        <f>'Haver Pivoted'!HC27</f>
        <v>2598.6</v>
      </c>
      <c r="S10" s="1385">
        <f>'Haver Pivoted'!HD27</f>
        <v>2641.7</v>
      </c>
      <c r="T10" s="1380">
        <f>'Haver Pivoted'!HE27</f>
        <v>2650.1</v>
      </c>
      <c r="U10" s="712">
        <f>'Haver Pivoted'!HF27</f>
        <v>2418.6</v>
      </c>
      <c r="V10" s="1381">
        <f t="shared" ref="V10:AC10" si="3">SUM(V11:V12)</f>
        <v>2393.0084595066037</v>
      </c>
      <c r="W10" s="1381">
        <f t="shared" si="3"/>
        <v>2367.6871479886263</v>
      </c>
      <c r="X10" s="1381">
        <f t="shared" si="3"/>
        <v>2359.482116280567</v>
      </c>
      <c r="Y10" s="1381">
        <f t="shared" si="3"/>
        <v>2346.3505762937225</v>
      </c>
      <c r="Z10" s="1381">
        <f t="shared" si="3"/>
        <v>2333.2921190148318</v>
      </c>
      <c r="AA10" s="1381">
        <f t="shared" si="3"/>
        <v>2320.3063377069693</v>
      </c>
      <c r="AB10" s="1381">
        <f t="shared" si="3"/>
        <v>2330.5662560212481</v>
      </c>
      <c r="AC10" s="721">
        <f t="shared" si="3"/>
        <v>2340.8715415881629</v>
      </c>
      <c r="AD10" s="665"/>
      <c r="AF10" s="656"/>
      <c r="AG10" s="656"/>
      <c r="AH10" s="656"/>
      <c r="AI10" s="656"/>
      <c r="AJ10" s="656"/>
      <c r="AK10" s="656"/>
      <c r="AL10" s="656"/>
      <c r="AM10" s="656"/>
      <c r="AN10" s="656"/>
      <c r="AO10" s="656"/>
      <c r="AU10" s="665"/>
      <c r="AV10" s="665"/>
      <c r="AW10" s="665"/>
      <c r="AX10" s="665"/>
      <c r="AY10" s="665"/>
      <c r="AZ10" s="665"/>
      <c r="BA10" s="665"/>
      <c r="BB10" s="665"/>
      <c r="BC10" s="665"/>
    </row>
    <row r="11" spans="4:56" ht="15.65" customHeight="1" x14ac:dyDescent="0.35">
      <c r="D11" s="421" t="s">
        <v>1389</v>
      </c>
      <c r="E11" s="1281"/>
      <c r="F11" s="1379"/>
      <c r="G11" s="1379"/>
      <c r="H11" s="1379"/>
      <c r="I11" s="1379"/>
      <c r="J11" s="1379"/>
      <c r="K11" s="1379"/>
      <c r="L11" s="1379"/>
      <c r="M11" s="1379"/>
      <c r="N11" s="1379"/>
      <c r="O11" s="1379"/>
      <c r="P11" s="1379"/>
      <c r="Q11" s="1379"/>
      <c r="R11" s="1379"/>
      <c r="S11" s="1384"/>
      <c r="T11" s="1383">
        <f>T10-T12</f>
        <v>2604.1</v>
      </c>
      <c r="U11" s="1398">
        <f>U10-U12</f>
        <v>2423.6</v>
      </c>
      <c r="V11" s="1381">
        <f>U11*(1+$J67)^0.25</f>
        <v>2398.0084595066037</v>
      </c>
      <c r="W11" s="1381">
        <f>V11*(1+$J67)^0.25</f>
        <v>2372.6871479886263</v>
      </c>
      <c r="X11" s="1381">
        <f>W11*(1+$K67)^0.25</f>
        <v>2359.482116280567</v>
      </c>
      <c r="Y11" s="1381">
        <f>X11*(1+$K67)^0.25</f>
        <v>2346.3505762937225</v>
      </c>
      <c r="Z11" s="1381">
        <f>Y11*(1+$K67)^0.25</f>
        <v>2333.2921190148318</v>
      </c>
      <c r="AA11" s="1381">
        <f>Z11*(1+$K67)^0.25</f>
        <v>2320.3063377069693</v>
      </c>
      <c r="AB11" s="1381">
        <f>AA11*(1+$L67)^0.25</f>
        <v>2330.5662560212481</v>
      </c>
      <c r="AC11" s="721">
        <f>AB11*(1+$L67)^0.25</f>
        <v>2340.8715415881629</v>
      </c>
      <c r="AD11" s="665"/>
      <c r="AF11" s="656"/>
      <c r="AG11" s="656"/>
      <c r="AH11" s="656"/>
      <c r="AI11" s="656"/>
      <c r="AJ11" s="656"/>
      <c r="AK11" s="656"/>
      <c r="AL11" s="656"/>
      <c r="AM11" s="656"/>
      <c r="AN11" s="656"/>
      <c r="AO11" s="656"/>
      <c r="AU11" s="665"/>
      <c r="AV11" s="665"/>
      <c r="AW11" s="665"/>
      <c r="AX11" s="665"/>
      <c r="AY11" s="665"/>
      <c r="AZ11" s="665"/>
      <c r="BA11" s="665"/>
      <c r="BB11" s="665"/>
      <c r="BC11" s="665"/>
    </row>
    <row r="12" spans="4:56" x14ac:dyDescent="0.35">
      <c r="D12" s="421" t="s">
        <v>1834</v>
      </c>
      <c r="E12" s="1281"/>
      <c r="F12" s="1405"/>
      <c r="G12" s="1405"/>
      <c r="H12" s="1405"/>
      <c r="I12" s="1405"/>
      <c r="J12" s="1405"/>
      <c r="K12" s="1405"/>
      <c r="L12" s="1405"/>
      <c r="M12" s="1405"/>
      <c r="N12" s="1405"/>
      <c r="O12" s="1405"/>
      <c r="P12" s="1405"/>
      <c r="Q12" s="1405"/>
      <c r="R12" s="1405"/>
      <c r="S12" s="1200"/>
      <c r="T12" s="1200">
        <v>46</v>
      </c>
      <c r="U12" s="1407">
        <v>-5</v>
      </c>
      <c r="V12" s="1389">
        <v>-5</v>
      </c>
      <c r="W12" s="1389">
        <v>-5</v>
      </c>
      <c r="X12" s="1389"/>
      <c r="Y12" s="1389"/>
      <c r="Z12" s="1389"/>
      <c r="AA12" s="1389"/>
      <c r="AB12" s="1389"/>
      <c r="AC12" s="1408"/>
      <c r="AD12" s="665"/>
      <c r="AF12" s="656"/>
      <c r="AG12" s="656"/>
      <c r="AH12" s="656"/>
      <c r="AI12" s="656"/>
      <c r="AJ12" s="656"/>
      <c r="AK12" s="656"/>
      <c r="AL12" s="656"/>
      <c r="AM12" s="656"/>
      <c r="AN12" s="656"/>
      <c r="AO12" s="656"/>
      <c r="AU12" s="665"/>
      <c r="AV12" s="665"/>
      <c r="AW12" s="665"/>
      <c r="AX12" s="665"/>
      <c r="AY12" s="665"/>
      <c r="AZ12" s="665"/>
      <c r="BA12" s="665"/>
      <c r="BB12" s="665"/>
      <c r="BC12" s="665"/>
    </row>
    <row r="13" spans="4:56" x14ac:dyDescent="0.35">
      <c r="D13" s="421" t="s">
        <v>485</v>
      </c>
      <c r="E13" s="1141" t="s">
        <v>121</v>
      </c>
      <c r="F13" s="1379">
        <f>'Haver Pivoted'!GQ30</f>
        <v>1402.6</v>
      </c>
      <c r="G13" s="1379">
        <f>'Haver Pivoted'!GR30</f>
        <v>1410</v>
      </c>
      <c r="H13" s="1379">
        <f>'Haver Pivoted'!GS30</f>
        <v>1429</v>
      </c>
      <c r="I13" s="1379">
        <f>'Haver Pivoted'!GT30</f>
        <v>1455.1</v>
      </c>
      <c r="J13" s="1379">
        <f>'Haver Pivoted'!GU30</f>
        <v>1385.3</v>
      </c>
      <c r="K13" s="1379">
        <f>'Haver Pivoted'!GV30</f>
        <v>1432.2</v>
      </c>
      <c r="L13" s="1379">
        <f>'Haver Pivoted'!GW30</f>
        <v>1465</v>
      </c>
      <c r="M13" s="1379">
        <f>'Haver Pivoted'!GX30</f>
        <v>1474.8</v>
      </c>
      <c r="N13" s="1379">
        <f>'Haver Pivoted'!GY30</f>
        <v>1504.3</v>
      </c>
      <c r="O13" s="1379">
        <f>'Haver Pivoted'!GZ30</f>
        <v>1536.3</v>
      </c>
      <c r="P13" s="1379">
        <f>'Haver Pivoted'!HA30</f>
        <v>1578.1</v>
      </c>
      <c r="Q13" s="1379">
        <f>'Haver Pivoted'!HB30</f>
        <v>1617.1</v>
      </c>
      <c r="R13" s="1379">
        <f>'Haver Pivoted'!HC30</f>
        <v>1636.8</v>
      </c>
      <c r="S13" s="1385">
        <f>'Haver Pivoted'!HD30</f>
        <v>1677.7</v>
      </c>
      <c r="T13" s="1380">
        <f>'Haver Pivoted'!HE30</f>
        <v>1702.7</v>
      </c>
      <c r="U13" s="712">
        <f>'Haver Pivoted'!HF30</f>
        <v>1735.3</v>
      </c>
      <c r="V13" s="1381">
        <f>U13*(1+$J68)^0.25+V15</f>
        <v>1742.8930147893395</v>
      </c>
      <c r="W13" s="1381">
        <f>V13*(1+$J68)^0.25+W15</f>
        <v>1765.5848880443225</v>
      </c>
      <c r="X13" s="1381">
        <f>W13*(1+$K68)^0.25+X15</f>
        <v>1785.2050199465477</v>
      </c>
      <c r="Y13" s="1381">
        <f t="shared" ref="Y13:AA13" si="4">X13*(1+$K68)^0.25+Y15</f>
        <v>1805.0431813405676</v>
      </c>
      <c r="Z13" s="1381">
        <f t="shared" si="4"/>
        <v>1825.1017950877333</v>
      </c>
      <c r="AA13" s="1381">
        <f t="shared" si="4"/>
        <v>1845.383310973539</v>
      </c>
      <c r="AB13" s="1381">
        <f>AA13*(1+$L68)^0.25+AB15</f>
        <v>1864.8161413257067</v>
      </c>
      <c r="AC13" s="1381">
        <f>AB13*(1+$L68)^0.25+AC15</f>
        <v>1884.4536093232082</v>
      </c>
      <c r="AD13" s="665"/>
      <c r="AF13" s="656"/>
      <c r="AG13" s="656"/>
      <c r="AH13" s="656"/>
      <c r="AI13" s="656"/>
      <c r="AJ13" s="656"/>
      <c r="AK13" s="656"/>
      <c r="AL13" s="656"/>
      <c r="AM13" s="656"/>
      <c r="AN13" s="656"/>
      <c r="AO13" s="656"/>
      <c r="AU13" s="665"/>
      <c r="AV13" s="665"/>
      <c r="AW13" s="665"/>
      <c r="AX13" s="665"/>
      <c r="AY13" s="665"/>
      <c r="AZ13" s="665"/>
      <c r="BA13" s="665"/>
      <c r="BB13" s="665"/>
      <c r="BC13" s="665"/>
    </row>
    <row r="14" spans="4:56" x14ac:dyDescent="0.35">
      <c r="D14" s="421" t="s">
        <v>1896</v>
      </c>
      <c r="E14" s="1141"/>
      <c r="F14" s="1379"/>
      <c r="G14" s="1379"/>
      <c r="H14" s="1379"/>
      <c r="I14" s="1379"/>
      <c r="J14" s="1379"/>
      <c r="K14" s="1379"/>
      <c r="L14" s="1379"/>
      <c r="M14" s="1379"/>
      <c r="N14" s="1379"/>
      <c r="O14" s="1379"/>
      <c r="P14" s="1379"/>
      <c r="Q14" s="1379"/>
      <c r="R14" s="1379"/>
      <c r="S14" s="1385"/>
      <c r="T14" s="1385"/>
      <c r="U14" s="1400"/>
      <c r="V14" s="1381"/>
      <c r="W14" s="1381"/>
      <c r="X14" s="1381"/>
      <c r="Y14" s="1381"/>
      <c r="Z14" s="1381"/>
      <c r="AA14" s="1381"/>
      <c r="AB14" s="1381"/>
      <c r="AC14" s="721"/>
      <c r="AD14" s="665"/>
      <c r="AF14" s="656"/>
      <c r="AG14" s="656"/>
      <c r="AH14" s="656"/>
      <c r="AI14" s="656"/>
      <c r="AJ14" s="656"/>
      <c r="AK14" s="656"/>
      <c r="AL14" s="656"/>
      <c r="AM14" s="656"/>
      <c r="AN14" s="656"/>
      <c r="AO14" s="656"/>
      <c r="AU14" s="665"/>
      <c r="AV14" s="665"/>
      <c r="AW14" s="665"/>
      <c r="AX14" s="665"/>
      <c r="AY14" s="665"/>
      <c r="AZ14" s="665"/>
      <c r="BA14" s="665"/>
      <c r="BB14" s="665"/>
      <c r="BC14" s="665"/>
    </row>
    <row r="15" spans="4:56" x14ac:dyDescent="0.35">
      <c r="D15" s="421" t="s">
        <v>1749</v>
      </c>
      <c r="E15" s="1141"/>
      <c r="F15" s="1405"/>
      <c r="G15" s="1405"/>
      <c r="H15" s="1405"/>
      <c r="I15" s="1405"/>
      <c r="J15" s="1405"/>
      <c r="K15" s="1405"/>
      <c r="L15" s="1405"/>
      <c r="M15" s="1405"/>
      <c r="N15" s="1405"/>
      <c r="O15" s="1405"/>
      <c r="P15" s="1405"/>
      <c r="Q15" s="1405"/>
      <c r="R15" s="1405"/>
      <c r="S15" s="1409"/>
      <c r="T15" s="1200"/>
      <c r="U15" s="1407">
        <v>8</v>
      </c>
      <c r="V15" s="1389">
        <v>-15</v>
      </c>
      <c r="W15" s="1389"/>
      <c r="X15" s="1389"/>
      <c r="Y15" s="1389"/>
      <c r="Z15" s="1389"/>
      <c r="AA15" s="1389"/>
      <c r="AB15" s="1389"/>
      <c r="AC15" s="1408"/>
      <c r="AD15" s="665"/>
      <c r="AF15" s="656"/>
      <c r="AG15" s="656"/>
      <c r="AH15" s="656"/>
      <c r="AI15" s="656"/>
      <c r="AJ15" s="656"/>
      <c r="AK15" s="656"/>
      <c r="AL15" s="656"/>
      <c r="AM15" s="656"/>
      <c r="AN15" s="656"/>
      <c r="AO15" s="656"/>
      <c r="AU15" s="665"/>
      <c r="AV15" s="665"/>
      <c r="AW15" s="665"/>
      <c r="AX15" s="665"/>
      <c r="AY15" s="665"/>
      <c r="AZ15" s="665"/>
      <c r="BA15" s="665"/>
      <c r="BB15" s="665"/>
      <c r="BC15" s="665"/>
    </row>
    <row r="16" spans="4:56" x14ac:dyDescent="0.35">
      <c r="D16" s="421" t="s">
        <v>486</v>
      </c>
      <c r="E16" s="1281" t="s">
        <v>117</v>
      </c>
      <c r="F16" s="1379">
        <f>'Haver Pivoted'!GQ28</f>
        <v>171.3</v>
      </c>
      <c r="G16" s="1379">
        <f>'Haver Pivoted'!GR28</f>
        <v>176.3</v>
      </c>
      <c r="H16" s="1379">
        <f>'Haver Pivoted'!GS28</f>
        <v>176.9</v>
      </c>
      <c r="I16" s="1379">
        <f>'Haver Pivoted'!GT28</f>
        <v>186.6</v>
      </c>
      <c r="J16" s="1379">
        <f>'Haver Pivoted'!GU28</f>
        <v>132.6</v>
      </c>
      <c r="K16" s="1379">
        <f>'Haver Pivoted'!GV28</f>
        <v>149.1</v>
      </c>
      <c r="L16" s="1379">
        <f>'Haver Pivoted'!GW28</f>
        <v>155</v>
      </c>
      <c r="M16" s="1379">
        <f>'Haver Pivoted'!GX28</f>
        <v>156.6</v>
      </c>
      <c r="N16" s="1379">
        <f>'Haver Pivoted'!GY28</f>
        <v>177.3</v>
      </c>
      <c r="O16" s="1379">
        <f>'Haver Pivoted'!GZ28</f>
        <v>176.8</v>
      </c>
      <c r="P16" s="1379">
        <f>'Haver Pivoted'!HA28</f>
        <v>187.6</v>
      </c>
      <c r="Q16" s="1379">
        <f>'Haver Pivoted'!HB28</f>
        <v>202.4</v>
      </c>
      <c r="R16" s="1379">
        <f>'Haver Pivoted'!HC28</f>
        <v>209.4</v>
      </c>
      <c r="S16" s="1385">
        <f>'Haver Pivoted'!HD28</f>
        <v>202.8</v>
      </c>
      <c r="T16" s="1380">
        <f>'Haver Pivoted'!HE28</f>
        <v>192.4</v>
      </c>
      <c r="U16" s="712">
        <f>'Haver Pivoted'!HF28</f>
        <v>189.8</v>
      </c>
      <c r="V16" s="1381">
        <f t="shared" ref="V16:AC16" si="5">SUM(V17:V18)</f>
        <v>193.42069681770565</v>
      </c>
      <c r="W16" s="1381">
        <f t="shared" si="5"/>
        <v>193.93307401293529</v>
      </c>
      <c r="X16" s="1381">
        <f t="shared" si="5"/>
        <v>195.94301161046616</v>
      </c>
      <c r="Y16" s="1381">
        <f t="shared" si="5"/>
        <v>197.97378035898313</v>
      </c>
      <c r="Z16" s="1381">
        <f t="shared" si="5"/>
        <v>200.02559615416976</v>
      </c>
      <c r="AA16" s="1381">
        <f t="shared" si="5"/>
        <v>202.0986771292693</v>
      </c>
      <c r="AB16" s="1381">
        <f t="shared" si="5"/>
        <v>202.0986771292693</v>
      </c>
      <c r="AC16" s="721">
        <f t="shared" si="5"/>
        <v>202.0986771292693</v>
      </c>
      <c r="AD16" s="665"/>
      <c r="AF16" s="656"/>
      <c r="AG16" s="656"/>
      <c r="AH16" s="656"/>
      <c r="AI16" s="656"/>
      <c r="AJ16" s="656"/>
      <c r="AK16" s="656"/>
      <c r="AL16" s="656"/>
      <c r="AM16" s="656"/>
      <c r="AN16" s="656"/>
      <c r="AO16" s="656"/>
      <c r="AU16" s="665"/>
      <c r="AV16" s="665"/>
      <c r="AW16" s="665"/>
      <c r="AX16" s="665"/>
      <c r="AY16" s="665"/>
      <c r="AZ16" s="665"/>
      <c r="BA16" s="665"/>
      <c r="BB16" s="665"/>
      <c r="BC16" s="665"/>
    </row>
    <row r="17" spans="4:55" x14ac:dyDescent="0.35">
      <c r="D17" s="421" t="s">
        <v>1441</v>
      </c>
      <c r="E17" s="1281"/>
      <c r="F17" s="1379"/>
      <c r="G17" s="1379"/>
      <c r="H17" s="1379"/>
      <c r="I17" s="1379"/>
      <c r="J17" s="1379"/>
      <c r="K17" s="1379"/>
      <c r="L17" s="1379"/>
      <c r="M17" s="1379"/>
      <c r="N17" s="1379"/>
      <c r="O17" s="1379"/>
      <c r="P17" s="1379"/>
      <c r="Q17" s="1379"/>
      <c r="R17" s="1379"/>
      <c r="S17" s="1384"/>
      <c r="T17" s="1382"/>
      <c r="U17" s="1399">
        <f>T16*(1+$J69)^0.25</f>
        <v>192.90967333891416</v>
      </c>
      <c r="V17" s="1381">
        <f>U17*(1+$J69)^0.25</f>
        <v>193.42069681770565</v>
      </c>
      <c r="W17" s="1381">
        <f>V17*(1+$J69)^0.25</f>
        <v>193.93307401293529</v>
      </c>
      <c r="X17" s="1381">
        <f>W17*(1+$K69)^0.25</f>
        <v>195.94301161046616</v>
      </c>
      <c r="Y17" s="1381">
        <f>X17*(1+$K69)^0.25</f>
        <v>197.97378035898313</v>
      </c>
      <c r="Z17" s="1381">
        <f>Y17*(1+$K69)^0.25</f>
        <v>200.02559615416976</v>
      </c>
      <c r="AA17" s="1381">
        <f>Z17*(1+$K69)^0.25</f>
        <v>202.0986771292693</v>
      </c>
      <c r="AB17" s="1381">
        <f>AA17*(1+$L69)^0.25</f>
        <v>202.0986771292693</v>
      </c>
      <c r="AC17" s="721">
        <f>AB17*(1+$L69)^0.25</f>
        <v>202.0986771292693</v>
      </c>
      <c r="AD17" s="665"/>
      <c r="AF17" s="656"/>
      <c r="AG17" s="656"/>
      <c r="AH17" s="656"/>
      <c r="AI17" s="656"/>
      <c r="AJ17" s="656"/>
      <c r="AK17" s="656"/>
      <c r="AL17" s="656"/>
      <c r="AM17" s="656"/>
      <c r="AN17" s="656"/>
      <c r="AO17" s="656"/>
      <c r="AU17" s="665"/>
      <c r="AV17" s="665"/>
      <c r="AW17" s="665"/>
      <c r="AX17" s="665"/>
      <c r="AY17" s="665"/>
      <c r="AZ17" s="665"/>
      <c r="BA17" s="665"/>
      <c r="BB17" s="665"/>
      <c r="BC17" s="665"/>
    </row>
    <row r="18" spans="4:55" x14ac:dyDescent="0.35">
      <c r="D18" s="732" t="s">
        <v>1442</v>
      </c>
      <c r="E18" s="733"/>
      <c r="F18" s="1406"/>
      <c r="G18" s="1405"/>
      <c r="H18" s="1405"/>
      <c r="I18" s="1405"/>
      <c r="J18" s="1405"/>
      <c r="K18" s="1405"/>
      <c r="L18" s="1405"/>
      <c r="M18" s="1405"/>
      <c r="N18" s="1405"/>
      <c r="O18" s="1405"/>
      <c r="P18" s="1405"/>
      <c r="Q18" s="1405"/>
      <c r="R18" s="1405"/>
      <c r="S18" s="1200"/>
      <c r="T18" s="1388"/>
      <c r="U18" s="1407">
        <v>0</v>
      </c>
      <c r="V18" s="1389">
        <v>0</v>
      </c>
      <c r="W18" s="1389">
        <v>0</v>
      </c>
      <c r="X18" s="1389">
        <v>0</v>
      </c>
      <c r="Y18" s="1389">
        <v>0</v>
      </c>
      <c r="Z18" s="1389">
        <v>0</v>
      </c>
      <c r="AA18" s="1389">
        <v>0</v>
      </c>
      <c r="AB18" s="1389">
        <v>0</v>
      </c>
      <c r="AC18" s="1408">
        <v>0</v>
      </c>
      <c r="AD18" s="665"/>
      <c r="AF18" s="656"/>
      <c r="AG18" s="656"/>
      <c r="AH18" s="656"/>
      <c r="AI18" s="656"/>
      <c r="AJ18" s="656"/>
      <c r="AK18" s="656"/>
      <c r="AL18" s="656"/>
      <c r="AM18" s="656"/>
      <c r="AN18" s="656"/>
      <c r="AO18" s="656"/>
      <c r="AU18" s="665"/>
      <c r="AV18" s="665"/>
      <c r="AW18" s="665"/>
      <c r="AX18" s="665"/>
      <c r="AY18" s="665"/>
      <c r="AZ18" s="665"/>
      <c r="BA18" s="665"/>
      <c r="BB18" s="665"/>
      <c r="BC18" s="665"/>
    </row>
    <row r="19" spans="4:55" ht="14.9" customHeight="1" x14ac:dyDescent="0.35">
      <c r="D19" s="414" t="s">
        <v>487</v>
      </c>
      <c r="E19" s="723" t="s">
        <v>119</v>
      </c>
      <c r="F19" s="781">
        <f>'Haver Pivoted'!GQ29</f>
        <v>215.9</v>
      </c>
      <c r="G19" s="1386">
        <f>'Haver Pivoted'!GR29</f>
        <v>196.9</v>
      </c>
      <c r="H19" s="1386">
        <f>'Haver Pivoted'!GS29</f>
        <v>226.2</v>
      </c>
      <c r="I19" s="1386">
        <f>'Haver Pivoted'!GT29</f>
        <v>183.1</v>
      </c>
      <c r="J19" s="1386">
        <f>'Haver Pivoted'!GU29</f>
        <v>177.8</v>
      </c>
      <c r="K19" s="1386">
        <f>'Haver Pivoted'!GV29</f>
        <v>218.4</v>
      </c>
      <c r="L19" s="1386">
        <f>'Haver Pivoted'!GW29</f>
        <v>226.5</v>
      </c>
      <c r="M19" s="1386">
        <f>'Haver Pivoted'!GX29</f>
        <v>249.6</v>
      </c>
      <c r="N19" s="1386">
        <f>'Haver Pivoted'!GY29</f>
        <v>281.39999999999998</v>
      </c>
      <c r="O19" s="1386">
        <f>'Haver Pivoted'!GZ29</f>
        <v>278.39999999999998</v>
      </c>
      <c r="P19" s="1386">
        <f>'Haver Pivoted'!HA29</f>
        <v>304.8</v>
      </c>
      <c r="Q19" s="1386">
        <f>'Haver Pivoted'!HB29</f>
        <v>313.8</v>
      </c>
      <c r="R19" s="1386">
        <f>'Haver Pivoted'!HC29</f>
        <v>353.2</v>
      </c>
      <c r="S19" s="1417">
        <f>'Haver Pivoted'!HD29</f>
        <v>340.6</v>
      </c>
      <c r="T19" s="1401">
        <f>'Haver Pivoted'!HE29</f>
        <v>332.2</v>
      </c>
      <c r="U19" s="1381">
        <f t="shared" ref="U19:AC19" si="6">U21+U20</f>
        <v>341.66194166567766</v>
      </c>
      <c r="V19" s="1381">
        <f t="shared" si="6"/>
        <v>351.3933846561136</v>
      </c>
      <c r="W19" s="1381">
        <f t="shared" si="6"/>
        <v>361.40200508754401</v>
      </c>
      <c r="X19" s="1381">
        <f t="shared" si="6"/>
        <v>361.99675210186376</v>
      </c>
      <c r="Y19" s="1381">
        <f t="shared" si="6"/>
        <v>362.5924778711601</v>
      </c>
      <c r="Z19" s="1381">
        <f t="shared" si="6"/>
        <v>363.18918400613694</v>
      </c>
      <c r="AA19" s="1381">
        <f t="shared" si="6"/>
        <v>363.78687212014876</v>
      </c>
      <c r="AB19" s="1381">
        <f t="shared" si="6"/>
        <v>365.68659917925123</v>
      </c>
      <c r="AC19" s="721">
        <f t="shared" si="6"/>
        <v>379.83030278112079</v>
      </c>
      <c r="AD19" s="744"/>
      <c r="AF19" s="656"/>
      <c r="AG19" s="656"/>
      <c r="AH19" s="656"/>
      <c r="AI19" s="656"/>
      <c r="AJ19" s="656"/>
      <c r="AK19" s="656"/>
      <c r="AL19" s="656"/>
      <c r="AM19" s="656"/>
      <c r="AN19" s="656"/>
      <c r="AO19" s="656"/>
      <c r="AU19" s="744"/>
      <c r="AV19" s="744"/>
      <c r="AW19" s="744"/>
      <c r="AX19" s="744"/>
      <c r="AY19" s="744"/>
      <c r="AZ19" s="744"/>
      <c r="BA19" s="744"/>
      <c r="BB19" s="744"/>
      <c r="BC19" s="744"/>
    </row>
    <row r="20" spans="4:55" x14ac:dyDescent="0.35">
      <c r="D20" s="181" t="s">
        <v>1390</v>
      </c>
      <c r="E20" s="69"/>
      <c r="F20" s="761"/>
      <c r="G20" s="1375"/>
      <c r="H20" s="1375"/>
      <c r="I20" s="1375"/>
      <c r="J20" s="1375"/>
      <c r="K20" s="1375"/>
      <c r="L20" s="1375"/>
      <c r="M20" s="1375"/>
      <c r="N20" s="1375"/>
      <c r="O20" s="1375"/>
      <c r="P20" s="1375"/>
      <c r="Q20" s="1387"/>
      <c r="R20" s="1375"/>
      <c r="S20" s="1384"/>
      <c r="T20" s="1402"/>
      <c r="U20" s="1381">
        <f>T19*(1+$J70)^0.25</f>
        <v>341.66194166567766</v>
      </c>
      <c r="V20" s="1381">
        <f>U20*(1+$J70)^0.25</f>
        <v>351.3933846561136</v>
      </c>
      <c r="W20" s="1381">
        <f>V20*(1+$J70)^0.25</f>
        <v>361.40200508754401</v>
      </c>
      <c r="X20" s="1381">
        <f>W20*(1+$K70)^0.25</f>
        <v>361.99675210186376</v>
      </c>
      <c r="Y20" s="1381">
        <f>X20*(1+$K70)^0.25</f>
        <v>362.5924778711601</v>
      </c>
      <c r="Z20" s="1381">
        <f>Y20*(1+$K70)^0.25</f>
        <v>363.18918400613694</v>
      </c>
      <c r="AA20" s="1381">
        <f>Z20*(1+$K70)^0.25</f>
        <v>363.78687212014876</v>
      </c>
      <c r="AB20" s="1381">
        <f>AA20*(1+$L70)^0.25</f>
        <v>365.68659917925123</v>
      </c>
      <c r="AC20" s="721">
        <f>AB20*(1+$I70)^0.25</f>
        <v>379.83030278112079</v>
      </c>
      <c r="AD20" s="665"/>
      <c r="AF20" s="656"/>
      <c r="AG20" s="656"/>
      <c r="AH20" s="656"/>
      <c r="AI20" s="656"/>
      <c r="AJ20" s="656"/>
      <c r="AK20" s="656"/>
      <c r="AL20" s="656"/>
      <c r="AM20" s="656"/>
      <c r="AN20" s="656"/>
      <c r="AO20" s="656"/>
      <c r="AU20" s="665"/>
      <c r="AV20" s="665"/>
      <c r="AW20" s="665"/>
      <c r="AX20" s="665"/>
      <c r="AY20" s="665"/>
      <c r="AZ20" s="665"/>
      <c r="BA20" s="665"/>
      <c r="BB20" s="665"/>
      <c r="BC20" s="665"/>
    </row>
    <row r="21" spans="4:55" ht="14.9" customHeight="1" x14ac:dyDescent="0.35">
      <c r="D21" s="181" t="s">
        <v>1388</v>
      </c>
      <c r="E21" s="723"/>
      <c r="F21" s="782"/>
      <c r="G21" s="716"/>
      <c r="H21" s="716"/>
      <c r="I21" s="716"/>
      <c r="J21" s="716"/>
      <c r="K21" s="716"/>
      <c r="L21" s="716"/>
      <c r="M21" s="716"/>
      <c r="N21" s="716"/>
      <c r="O21" s="716"/>
      <c r="P21" s="716"/>
      <c r="Q21" s="716"/>
      <c r="R21" s="716"/>
      <c r="S21" s="1418"/>
      <c r="T21" s="1403">
        <v>0</v>
      </c>
      <c r="U21" s="1394">
        <v>0</v>
      </c>
      <c r="V21" s="1394">
        <v>0</v>
      </c>
      <c r="W21" s="1394">
        <v>0</v>
      </c>
      <c r="X21" s="1394">
        <v>0</v>
      </c>
      <c r="Y21" s="1394">
        <v>0</v>
      </c>
      <c r="Z21" s="1394">
        <v>0</v>
      </c>
      <c r="AA21" s="1394">
        <v>0</v>
      </c>
      <c r="AB21" s="1394">
        <v>0</v>
      </c>
      <c r="AC21" s="1395">
        <v>0</v>
      </c>
      <c r="AD21" s="744"/>
      <c r="AF21" s="656"/>
      <c r="AG21" s="656"/>
      <c r="AH21" s="656"/>
      <c r="AI21" s="656"/>
      <c r="AJ21" s="656"/>
      <c r="AK21" s="656"/>
      <c r="AL21" s="656"/>
      <c r="AM21" s="656"/>
      <c r="AN21" s="656"/>
      <c r="AO21" s="656"/>
      <c r="AU21" s="744"/>
      <c r="AV21" s="744"/>
      <c r="AW21" s="744"/>
      <c r="AX21" s="744"/>
      <c r="AY21" s="744"/>
      <c r="AZ21" s="744"/>
      <c r="BA21" s="744"/>
      <c r="BB21" s="744"/>
      <c r="BC21" s="744"/>
    </row>
    <row r="22" spans="4:55" x14ac:dyDescent="0.35">
      <c r="D22" s="730" t="s">
        <v>475</v>
      </c>
      <c r="E22" s="328"/>
      <c r="F22" s="761"/>
      <c r="G22" s="1375"/>
      <c r="H22" s="1375"/>
      <c r="I22" s="1375"/>
      <c r="J22" s="1375"/>
      <c r="K22" s="1375"/>
      <c r="L22" s="1375"/>
      <c r="M22" s="1375"/>
      <c r="N22" s="1375"/>
      <c r="O22" s="1375"/>
      <c r="P22" s="1375"/>
      <c r="Q22" s="1375"/>
      <c r="R22" s="1375"/>
      <c r="S22" s="1376"/>
      <c r="T22" s="1376"/>
      <c r="U22" s="1423"/>
      <c r="V22" s="1376"/>
      <c r="W22" s="1376"/>
      <c r="X22" s="1376"/>
      <c r="Y22" s="1376"/>
      <c r="Z22" s="1376"/>
      <c r="AA22" s="1376"/>
      <c r="AB22" s="1376"/>
      <c r="AC22" s="1404"/>
      <c r="AF22" s="656"/>
      <c r="AG22" s="656"/>
      <c r="AH22" s="656"/>
      <c r="AI22" s="656"/>
      <c r="AJ22" s="656"/>
      <c r="AK22" s="656"/>
      <c r="AL22" s="656"/>
      <c r="AM22" s="656"/>
      <c r="AN22" s="656"/>
      <c r="AO22" s="656"/>
    </row>
    <row r="23" spans="4:55" ht="14.9" customHeight="1" x14ac:dyDescent="0.35">
      <c r="D23" s="742" t="s">
        <v>483</v>
      </c>
      <c r="E23" s="724"/>
      <c r="F23" s="781">
        <f t="shared" ref="F23:P23" si="7">SUM(F25:F27)</f>
        <v>1894.6</v>
      </c>
      <c r="G23" s="671">
        <f t="shared" si="7"/>
        <v>1889.1999999999998</v>
      </c>
      <c r="H23" s="671">
        <f t="shared" si="7"/>
        <v>1883</v>
      </c>
      <c r="I23" s="671">
        <f t="shared" si="7"/>
        <v>1897.5</v>
      </c>
      <c r="J23" s="671">
        <f t="shared" si="7"/>
        <v>1801.6</v>
      </c>
      <c r="K23" s="671">
        <f t="shared" si="7"/>
        <v>1933.3000000000002</v>
      </c>
      <c r="L23" s="671">
        <f t="shared" si="7"/>
        <v>1955.6</v>
      </c>
      <c r="M23" s="671">
        <f t="shared" si="7"/>
        <v>1992.6</v>
      </c>
      <c r="N23" s="671">
        <f t="shared" si="7"/>
        <v>2088.7000000000003</v>
      </c>
      <c r="O23" s="671">
        <f t="shared" si="7"/>
        <v>2060.8000000000002</v>
      </c>
      <c r="P23" s="671">
        <f t="shared" si="7"/>
        <v>2119.9</v>
      </c>
      <c r="Q23" s="671">
        <f>SUM(Q24:Q27)</f>
        <v>2152.4</v>
      </c>
      <c r="R23" s="671">
        <f t="shared" ref="R23:AC23" si="8">SUM(R24:R27)</f>
        <v>2179.5</v>
      </c>
      <c r="S23" s="1419">
        <f t="shared" si="8"/>
        <v>2201</v>
      </c>
      <c r="T23" s="1386">
        <f t="shared" si="8"/>
        <v>2193.3000000000002</v>
      </c>
      <c r="U23" s="1424">
        <f>SUM(U25:U27)</f>
        <v>2150.1999999999998</v>
      </c>
      <c r="V23" s="673">
        <f t="shared" si="8"/>
        <v>2174.0594223129824</v>
      </c>
      <c r="W23" s="673">
        <f t="shared" si="8"/>
        <v>2198.5904721057186</v>
      </c>
      <c r="X23" s="673">
        <f t="shared" si="8"/>
        <v>2223.2147075075595</v>
      </c>
      <c r="Y23" s="673">
        <f t="shared" si="8"/>
        <v>2246.0489453882765</v>
      </c>
      <c r="Z23" s="673">
        <f t="shared" si="8"/>
        <v>2268.1787888141489</v>
      </c>
      <c r="AA23" s="673">
        <f t="shared" si="8"/>
        <v>2290.2143240761566</v>
      </c>
      <c r="AB23" s="673">
        <f t="shared" si="8"/>
        <v>2313.1893770781808</v>
      </c>
      <c r="AC23" s="731">
        <f t="shared" si="8"/>
        <v>2336.8784658517761</v>
      </c>
      <c r="AF23" s="656"/>
      <c r="AG23" s="656"/>
      <c r="AH23" s="656"/>
      <c r="AI23" s="656"/>
      <c r="AJ23" s="656"/>
      <c r="AK23" s="656"/>
      <c r="AL23" s="656"/>
      <c r="AM23" s="656"/>
      <c r="AN23" s="656"/>
      <c r="AO23" s="656"/>
    </row>
    <row r="24" spans="4:55" ht="42" customHeight="1" x14ac:dyDescent="0.35">
      <c r="D24" s="736" t="s">
        <v>833</v>
      </c>
      <c r="E24" s="724"/>
      <c r="F24" s="781"/>
      <c r="G24" s="671"/>
      <c r="H24" s="671"/>
      <c r="I24" s="671"/>
      <c r="J24" s="671"/>
      <c r="K24" s="671"/>
      <c r="L24" s="671"/>
      <c r="M24" s="671"/>
      <c r="N24" s="671"/>
      <c r="O24" s="671"/>
      <c r="P24" s="671"/>
      <c r="Q24" s="303"/>
      <c r="R24" s="303"/>
      <c r="S24" s="1420"/>
      <c r="T24" s="1306"/>
      <c r="U24" s="1310">
        <v>0</v>
      </c>
      <c r="V24" s="330"/>
      <c r="W24" s="330"/>
      <c r="X24" s="330"/>
      <c r="Y24" s="330"/>
      <c r="Z24" s="330"/>
      <c r="AA24" s="330"/>
      <c r="AB24" s="330"/>
      <c r="AC24" s="331"/>
      <c r="AF24" s="656"/>
      <c r="AG24" s="656"/>
      <c r="AH24" s="656"/>
      <c r="AI24" s="656"/>
      <c r="AJ24" s="656"/>
      <c r="AK24" s="656"/>
      <c r="AL24" s="656"/>
      <c r="AM24" s="656"/>
      <c r="AN24" s="656"/>
      <c r="AO24" s="656"/>
    </row>
    <row r="25" spans="4:55" x14ac:dyDescent="0.35">
      <c r="D25" s="421" t="s">
        <v>488</v>
      </c>
      <c r="E25" s="49" t="s">
        <v>489</v>
      </c>
      <c r="F25" s="663">
        <f>'Haver Pivoted'!GQ33</f>
        <v>529</v>
      </c>
      <c r="G25" s="664">
        <f>'Haver Pivoted'!GR33</f>
        <v>495.2</v>
      </c>
      <c r="H25" s="664">
        <f>'Haver Pivoted'!GS33</f>
        <v>489.6</v>
      </c>
      <c r="I25" s="664">
        <f>'Haver Pivoted'!GT33</f>
        <v>497.5</v>
      </c>
      <c r="J25" s="664">
        <f>'Haver Pivoted'!GU33</f>
        <v>488</v>
      </c>
      <c r="K25" s="664">
        <f>'Haver Pivoted'!GV33</f>
        <v>515.4</v>
      </c>
      <c r="L25" s="664">
        <f>'Haver Pivoted'!GW33</f>
        <v>522.9</v>
      </c>
      <c r="M25" s="664">
        <f>'Haver Pivoted'!GX33</f>
        <v>543.6</v>
      </c>
      <c r="N25" s="664">
        <f>'Haver Pivoted'!GY33</f>
        <v>566.6</v>
      </c>
      <c r="O25" s="664">
        <f>'Haver Pivoted'!GZ33</f>
        <v>534.4</v>
      </c>
      <c r="P25" s="664">
        <f>'Haver Pivoted'!HA33</f>
        <v>570.79999999999995</v>
      </c>
      <c r="Q25" s="664">
        <f>'Haver Pivoted'!HB33</f>
        <v>581.29999999999995</v>
      </c>
      <c r="R25" s="664">
        <f>'Haver Pivoted'!HC33</f>
        <v>589.79999999999995</v>
      </c>
      <c r="S25" s="1201">
        <f>'Haver Pivoted'!HD33</f>
        <v>594.79999999999995</v>
      </c>
      <c r="T25" s="1380">
        <f>'Haver Pivoted'!HE33</f>
        <v>582.20000000000005</v>
      </c>
      <c r="U25" s="712">
        <f>'Haver Pivoted'!HF33</f>
        <v>521.4</v>
      </c>
      <c r="V25" s="1426">
        <f>$U140*V149*(V122/$U122)+V24</f>
        <v>528.29260082530334</v>
      </c>
      <c r="W25" s="1426">
        <f t="shared" ref="W25:AC25" si="9">$U140*W149*(W122/$U122)+W24</f>
        <v>534.75021752397811</v>
      </c>
      <c r="X25" s="1426">
        <f t="shared" si="9"/>
        <v>541.60778607062673</v>
      </c>
      <c r="Y25" s="1426">
        <f t="shared" si="9"/>
        <v>547.51948309359977</v>
      </c>
      <c r="Z25" s="1426">
        <f t="shared" si="9"/>
        <v>553.10421218246256</v>
      </c>
      <c r="AA25" s="1426">
        <f t="shared" si="9"/>
        <v>558.71229612376192</v>
      </c>
      <c r="AB25" s="1426">
        <f t="shared" si="9"/>
        <v>564.40212204858869</v>
      </c>
      <c r="AC25" s="1427">
        <f t="shared" si="9"/>
        <v>570.28462550601614</v>
      </c>
      <c r="AF25" s="656"/>
      <c r="AG25" s="656"/>
      <c r="AH25" s="656"/>
      <c r="AI25" s="656"/>
      <c r="AJ25" s="656"/>
      <c r="AK25" s="656"/>
      <c r="AL25" s="656"/>
      <c r="AM25" s="656"/>
      <c r="AN25" s="656"/>
      <c r="AO25" s="656"/>
    </row>
    <row r="26" spans="4:55" x14ac:dyDescent="0.35">
      <c r="D26" s="421" t="s">
        <v>485</v>
      </c>
      <c r="E26" s="49" t="s">
        <v>490</v>
      </c>
      <c r="F26" s="663">
        <f>'Haver Pivoted'!GQ36</f>
        <v>20.8</v>
      </c>
      <c r="G26" s="664">
        <f>'Haver Pivoted'!GR36</f>
        <v>20.7</v>
      </c>
      <c r="H26" s="664">
        <f>'Haver Pivoted'!GS36</f>
        <v>20.7</v>
      </c>
      <c r="I26" s="664">
        <f>'Haver Pivoted'!GT36</f>
        <v>20.7</v>
      </c>
      <c r="J26" s="664">
        <f>'Haver Pivoted'!GU36</f>
        <v>19.8</v>
      </c>
      <c r="K26" s="664">
        <f>'Haver Pivoted'!GV36</f>
        <v>20.5</v>
      </c>
      <c r="L26" s="664">
        <f>'Haver Pivoted'!GW36</f>
        <v>21.3</v>
      </c>
      <c r="M26" s="664">
        <f>'Haver Pivoted'!GX36</f>
        <v>22</v>
      </c>
      <c r="N26" s="664">
        <f>'Haver Pivoted'!GY36</f>
        <v>22.7</v>
      </c>
      <c r="O26" s="664">
        <f>'Haver Pivoted'!GZ36</f>
        <v>23.2</v>
      </c>
      <c r="P26" s="664">
        <f>'Haver Pivoted'!HA36</f>
        <v>23.4</v>
      </c>
      <c r="Q26" s="664">
        <f>'Haver Pivoted'!HB36</f>
        <v>23.4</v>
      </c>
      <c r="R26" s="664">
        <f>'Haver Pivoted'!HC36</f>
        <v>23.6</v>
      </c>
      <c r="S26" s="1201">
        <f>'Haver Pivoted'!HD36</f>
        <v>23.9</v>
      </c>
      <c r="T26" s="1380">
        <f>'Haver Pivoted'!HE36</f>
        <v>24.5</v>
      </c>
      <c r="U26" s="712">
        <f>'Haver Pivoted'!HF36</f>
        <v>25.4</v>
      </c>
      <c r="V26" s="1426">
        <f>$U141*V150*(V123/$U123)</f>
        <v>25.643934403494782</v>
      </c>
      <c r="W26" s="1426">
        <f t="shared" ref="W26:AC26" si="10">$U141*W150*(W123/$U123)</f>
        <v>25.920452102763232</v>
      </c>
      <c r="X26" s="1426">
        <f t="shared" si="10"/>
        <v>26.236377977325517</v>
      </c>
      <c r="Y26" s="1426">
        <f t="shared" si="10"/>
        <v>26.551423222272298</v>
      </c>
      <c r="Z26" s="1426">
        <f t="shared" si="10"/>
        <v>26.861845161737683</v>
      </c>
      <c r="AA26" s="1426">
        <f t="shared" si="10"/>
        <v>27.178871823319348</v>
      </c>
      <c r="AB26" s="1426">
        <f t="shared" si="10"/>
        <v>27.510428873556837</v>
      </c>
      <c r="AC26" s="1427">
        <f t="shared" si="10"/>
        <v>27.857396942065662</v>
      </c>
      <c r="AF26" s="656"/>
      <c r="AG26" s="656"/>
      <c r="AH26" s="656"/>
      <c r="AI26" s="656"/>
      <c r="AJ26" s="656"/>
      <c r="AK26" s="656"/>
      <c r="AL26" s="656"/>
      <c r="AM26" s="656"/>
      <c r="AN26" s="656"/>
      <c r="AO26" s="656"/>
    </row>
    <row r="27" spans="4:55" x14ac:dyDescent="0.35">
      <c r="D27" s="421" t="s">
        <v>486</v>
      </c>
      <c r="E27" s="49" t="s">
        <v>491</v>
      </c>
      <c r="F27" s="663">
        <f>'Haver Pivoted'!GQ34</f>
        <v>1344.8</v>
      </c>
      <c r="G27" s="664">
        <f>'Haver Pivoted'!GR34</f>
        <v>1373.3</v>
      </c>
      <c r="H27" s="664">
        <f>'Haver Pivoted'!GS34</f>
        <v>1372.7</v>
      </c>
      <c r="I27" s="664">
        <f>'Haver Pivoted'!GT34</f>
        <v>1379.3</v>
      </c>
      <c r="J27" s="664">
        <f>'Haver Pivoted'!GU34</f>
        <v>1293.8</v>
      </c>
      <c r="K27" s="664">
        <f>'Haver Pivoted'!GV34</f>
        <v>1397.4</v>
      </c>
      <c r="L27" s="664">
        <f>'Haver Pivoted'!GW34</f>
        <v>1411.4</v>
      </c>
      <c r="M27" s="664">
        <f>'Haver Pivoted'!GX34</f>
        <v>1427</v>
      </c>
      <c r="N27" s="664">
        <f>'Haver Pivoted'!GY34</f>
        <v>1499.4</v>
      </c>
      <c r="O27" s="664">
        <f>'Haver Pivoted'!GZ34</f>
        <v>1503.2</v>
      </c>
      <c r="P27" s="664">
        <f>'Haver Pivoted'!HA34</f>
        <v>1525.7</v>
      </c>
      <c r="Q27" s="664">
        <f>'Haver Pivoted'!HB34</f>
        <v>1547.7</v>
      </c>
      <c r="R27" s="664">
        <f>'Haver Pivoted'!HC34</f>
        <v>1566.1</v>
      </c>
      <c r="S27" s="1201">
        <f>'Haver Pivoted'!HD34</f>
        <v>1582.3</v>
      </c>
      <c r="T27" s="1380">
        <f>'Haver Pivoted'!HE34</f>
        <v>1586.6</v>
      </c>
      <c r="U27" s="712">
        <f>'Haver Pivoted'!HF34</f>
        <v>1603.4</v>
      </c>
      <c r="V27" s="1426">
        <f>$U146*V151*(V125/$U125)</f>
        <v>1620.1228870841844</v>
      </c>
      <c r="W27" s="1426">
        <f t="shared" ref="W27:AC27" si="11">$U146*W151*(W125/$U125)</f>
        <v>1637.9198024789773</v>
      </c>
      <c r="X27" s="1426">
        <f t="shared" si="11"/>
        <v>1655.3705434596072</v>
      </c>
      <c r="Y27" s="1426">
        <f t="shared" si="11"/>
        <v>1671.9780390724043</v>
      </c>
      <c r="Z27" s="1426">
        <f t="shared" si="11"/>
        <v>1688.2127314699485</v>
      </c>
      <c r="AA27" s="1426">
        <f t="shared" si="11"/>
        <v>1704.3231561290752</v>
      </c>
      <c r="AB27" s="1426">
        <f t="shared" si="11"/>
        <v>1721.276826156035</v>
      </c>
      <c r="AC27" s="1427">
        <f t="shared" si="11"/>
        <v>1738.7364434036945</v>
      </c>
      <c r="AF27" s="656"/>
      <c r="AG27" s="656"/>
      <c r="AH27" s="656"/>
      <c r="AI27" s="656"/>
      <c r="AJ27" s="656"/>
      <c r="AK27" s="656"/>
      <c r="AL27" s="656"/>
      <c r="AM27" s="656"/>
      <c r="AN27" s="656"/>
      <c r="AO27" s="656"/>
    </row>
    <row r="28" spans="4:55" ht="14.9" customHeight="1" x14ac:dyDescent="0.35">
      <c r="D28" s="745" t="s">
        <v>487</v>
      </c>
      <c r="E28" s="762" t="s">
        <v>492</v>
      </c>
      <c r="F28" s="782">
        <f>'Haver Pivoted'!GQ35</f>
        <v>74.5</v>
      </c>
      <c r="G28" s="716">
        <f>'Haver Pivoted'!GR35</f>
        <v>73.400000000000006</v>
      </c>
      <c r="H28" s="716">
        <f>'Haver Pivoted'!GS35</f>
        <v>72.099999999999994</v>
      </c>
      <c r="I28" s="716">
        <f>'Haver Pivoted'!GT35</f>
        <v>67.7</v>
      </c>
      <c r="J28" s="716">
        <f>'Haver Pivoted'!GU35</f>
        <v>65</v>
      </c>
      <c r="K28" s="716">
        <f>'Haver Pivoted'!GV35</f>
        <v>80.900000000000006</v>
      </c>
      <c r="L28" s="716">
        <f>'Haver Pivoted'!GW35</f>
        <v>84.8</v>
      </c>
      <c r="M28" s="716">
        <f>'Haver Pivoted'!GX35</f>
        <v>88</v>
      </c>
      <c r="N28" s="716">
        <f>'Haver Pivoted'!GY35</f>
        <v>90.3</v>
      </c>
      <c r="O28" s="716">
        <f>'Haver Pivoted'!GZ35</f>
        <v>94.4</v>
      </c>
      <c r="P28" s="716">
        <f>'Haver Pivoted'!HA35</f>
        <v>110.5</v>
      </c>
      <c r="Q28" s="716">
        <f>'Haver Pivoted'!HB35</f>
        <v>165.9</v>
      </c>
      <c r="R28" s="716">
        <f>'Haver Pivoted'!HC35</f>
        <v>109.8</v>
      </c>
      <c r="S28" s="1421">
        <f>'Haver Pivoted'!HD35</f>
        <v>100.7</v>
      </c>
      <c r="T28" s="1425">
        <f>'Haver Pivoted'!HE35</f>
        <v>117.1</v>
      </c>
      <c r="U28" s="1422">
        <f t="shared" ref="U28:AC28" si="12">$T147*U152*(U126/$T126)</f>
        <v>109.238858295851</v>
      </c>
      <c r="V28" s="1422">
        <f t="shared" si="12"/>
        <v>103.04642481819329</v>
      </c>
      <c r="W28" s="1422">
        <f t="shared" si="12"/>
        <v>99.556412627685063</v>
      </c>
      <c r="X28" s="1422">
        <f t="shared" si="12"/>
        <v>97.006587078061287</v>
      </c>
      <c r="Y28" s="1422">
        <f t="shared" si="12"/>
        <v>98.104291899617465</v>
      </c>
      <c r="Z28" s="1422">
        <f t="shared" si="12"/>
        <v>99.86160410273655</v>
      </c>
      <c r="AA28" s="1422">
        <f t="shared" si="12"/>
        <v>102.34743789146242</v>
      </c>
      <c r="AB28" s="1422">
        <f t="shared" si="12"/>
        <v>105.88667451343056</v>
      </c>
      <c r="AC28" s="1428">
        <f t="shared" si="12"/>
        <v>109.30285005674891</v>
      </c>
      <c r="AF28" s="656"/>
      <c r="AG28" s="656"/>
      <c r="AH28" s="656"/>
      <c r="AI28" s="656"/>
      <c r="AJ28" s="656"/>
      <c r="AK28" s="656"/>
      <c r="AL28" s="656"/>
      <c r="AM28" s="656"/>
      <c r="AN28" s="656"/>
      <c r="AO28" s="656"/>
    </row>
    <row r="29" spans="4:55" ht="14.9" customHeight="1" x14ac:dyDescent="0.35">
      <c r="D29" s="729"/>
      <c r="E29" s="724"/>
    </row>
    <row r="30" spans="4:55" ht="14.9" customHeight="1" x14ac:dyDescent="0.35">
      <c r="D30" s="729"/>
      <c r="E30" s="724"/>
      <c r="AD30" t="s">
        <v>2225</v>
      </c>
    </row>
    <row r="31" spans="4:55" ht="14.9" customHeight="1" x14ac:dyDescent="0.35">
      <c r="D31" s="729"/>
      <c r="E31" s="724"/>
      <c r="P31" s="414" t="s">
        <v>483</v>
      </c>
      <c r="T31" s="135"/>
      <c r="U31" s="676">
        <v>4497.3807515265707</v>
      </c>
      <c r="V31" s="672">
        <v>4493.2459922916623</v>
      </c>
      <c r="W31" s="672">
        <v>4489.6936165752168</v>
      </c>
      <c r="X31" s="672">
        <v>4502.4261481003277</v>
      </c>
      <c r="Y31" s="672">
        <v>4510.4772398632649</v>
      </c>
      <c r="Z31" s="672">
        <v>4518.8491132147274</v>
      </c>
      <c r="AA31" s="672">
        <v>4527.5440212808317</v>
      </c>
      <c r="AB31" s="672">
        <v>4558.0242648450767</v>
      </c>
      <c r="AC31" s="666">
        <v>4588.7588493462708</v>
      </c>
      <c r="AD31" s="1152">
        <f>U9-U31</f>
        <v>-153.68075152657093</v>
      </c>
    </row>
    <row r="32" spans="4:55" ht="14.9" customHeight="1" x14ac:dyDescent="0.35">
      <c r="D32" s="729"/>
      <c r="E32" s="724"/>
      <c r="P32" s="421" t="s">
        <v>484</v>
      </c>
      <c r="R32">
        <v>2598.6</v>
      </c>
      <c r="S32">
        <v>2641.7</v>
      </c>
      <c r="T32" s="498">
        <v>2650.1</v>
      </c>
      <c r="U32" s="677">
        <v>2571.6025042916103</v>
      </c>
      <c r="V32" s="670">
        <v>2544.3953631280665</v>
      </c>
      <c r="W32" s="670">
        <v>2517.4755105661056</v>
      </c>
      <c r="X32" s="670">
        <v>2508.4368417394694</v>
      </c>
      <c r="Y32" s="670">
        <v>2494.4763041857032</v>
      </c>
      <c r="Z32" s="670">
        <v>2480.5934630704305</v>
      </c>
      <c r="AA32" s="670">
        <v>2466.7878859793177</v>
      </c>
      <c r="AB32" s="670">
        <v>2477.6955156304143</v>
      </c>
      <c r="AC32" s="721">
        <v>2488.6513765807167</v>
      </c>
      <c r="AD32" s="1154">
        <f t="shared" ref="AD32:AD50" si="13">U10-U32</f>
        <v>-153.00250429161042</v>
      </c>
    </row>
    <row r="33" spans="4:30" ht="14.9" customHeight="1" x14ac:dyDescent="0.35">
      <c r="D33" s="729"/>
      <c r="E33" s="724"/>
      <c r="F33" s="671"/>
      <c r="G33" s="671"/>
      <c r="H33" s="671"/>
      <c r="I33" s="671"/>
      <c r="J33" s="671"/>
      <c r="K33" s="671"/>
      <c r="L33" s="671"/>
      <c r="M33" s="671"/>
      <c r="N33" s="671"/>
      <c r="P33" s="421" t="s">
        <v>1389</v>
      </c>
      <c r="T33" s="135"/>
      <c r="U33" s="677">
        <v>2576.6025042916103</v>
      </c>
      <c r="V33" s="670">
        <v>2549.3953631280665</v>
      </c>
      <c r="W33" s="670">
        <v>2522.4755105661056</v>
      </c>
      <c r="X33" s="670">
        <v>2508.4368417394694</v>
      </c>
      <c r="Y33" s="670">
        <v>2494.4763041857032</v>
      </c>
      <c r="Z33" s="670">
        <v>2480.5934630704305</v>
      </c>
      <c r="AA33" s="670">
        <v>2466.7878859793177</v>
      </c>
      <c r="AB33" s="670">
        <v>2477.6955156304143</v>
      </c>
      <c r="AC33" s="721">
        <v>2488.6513765807167</v>
      </c>
      <c r="AD33" s="1152">
        <f t="shared" si="13"/>
        <v>-153.00250429161042</v>
      </c>
    </row>
    <row r="34" spans="4:30" ht="14.9" customHeight="1" x14ac:dyDescent="0.35">
      <c r="D34" s="729"/>
      <c r="E34" s="724"/>
      <c r="F34" s="671"/>
      <c r="G34" s="671"/>
      <c r="H34" s="671"/>
      <c r="I34" s="671"/>
      <c r="J34" s="671"/>
      <c r="K34" s="671"/>
      <c r="L34" s="671"/>
      <c r="M34" s="671"/>
      <c r="N34" s="671"/>
      <c r="P34" s="732" t="s">
        <v>1834</v>
      </c>
      <c r="T34" s="135"/>
      <c r="U34" s="677">
        <v>-5</v>
      </c>
      <c r="V34" s="670">
        <v>-5</v>
      </c>
      <c r="W34" s="670">
        <v>-5</v>
      </c>
      <c r="X34" s="670"/>
      <c r="Y34" s="670"/>
      <c r="Z34" s="670"/>
      <c r="AA34" s="670"/>
      <c r="AB34" s="670"/>
      <c r="AC34" s="721"/>
      <c r="AD34" s="1152">
        <f t="shared" si="13"/>
        <v>0</v>
      </c>
    </row>
    <row r="35" spans="4:30" ht="14.9" customHeight="1" x14ac:dyDescent="0.35">
      <c r="D35" s="729"/>
      <c r="E35" s="724"/>
      <c r="F35" s="671"/>
      <c r="G35" s="671"/>
      <c r="H35" s="671"/>
      <c r="I35" s="671"/>
      <c r="J35" s="671"/>
      <c r="K35" s="671"/>
      <c r="L35" s="671"/>
      <c r="M35" s="671"/>
      <c r="N35" s="671"/>
      <c r="P35" s="722" t="s">
        <v>485</v>
      </c>
      <c r="T35" s="498"/>
      <c r="U35" s="677">
        <v>1732.868573896046</v>
      </c>
      <c r="V35" s="670">
        <v>1755.4299323458904</v>
      </c>
      <c r="W35" s="670">
        <v>1778.2850319961756</v>
      </c>
      <c r="X35" s="670">
        <v>1798.046294750392</v>
      </c>
      <c r="Y35" s="670">
        <v>1818.027155318578</v>
      </c>
      <c r="Z35" s="670">
        <v>1838.2300539901271</v>
      </c>
      <c r="AA35" s="670">
        <v>1858.657458172245</v>
      </c>
      <c r="AB35" s="670">
        <v>1878.2300720853934</v>
      </c>
      <c r="AC35" s="721">
        <v>1898.0087956362854</v>
      </c>
      <c r="AD35" s="1154">
        <f t="shared" si="13"/>
        <v>2.4314261039539815</v>
      </c>
    </row>
    <row r="36" spans="4:30" ht="14.9" customHeight="1" x14ac:dyDescent="0.35">
      <c r="D36" s="729"/>
      <c r="E36" s="724"/>
      <c r="F36" s="671"/>
      <c r="G36" s="671"/>
      <c r="H36" s="671"/>
      <c r="I36" s="671"/>
      <c r="J36" s="671"/>
      <c r="K36" s="671"/>
      <c r="L36" s="671"/>
      <c r="M36" s="671"/>
      <c r="N36" s="671"/>
      <c r="P36" s="421" t="s">
        <v>1896</v>
      </c>
      <c r="T36" s="135"/>
      <c r="U36" s="677">
        <v>1724.868573896046</v>
      </c>
      <c r="V36" s="670"/>
      <c r="W36" s="670"/>
      <c r="X36" s="670"/>
      <c r="Y36" s="670"/>
      <c r="Z36" s="670"/>
      <c r="AA36" s="670"/>
      <c r="AB36" s="670"/>
      <c r="AC36" s="721"/>
      <c r="AD36" s="1152">
        <f t="shared" si="13"/>
        <v>-1724.868573896046</v>
      </c>
    </row>
    <row r="37" spans="4:30" ht="14.9" customHeight="1" x14ac:dyDescent="0.35">
      <c r="D37" s="729"/>
      <c r="E37" s="724"/>
      <c r="F37" s="671"/>
      <c r="G37" s="671"/>
      <c r="H37" s="671"/>
      <c r="I37" s="671"/>
      <c r="J37" s="671"/>
      <c r="K37" s="671"/>
      <c r="L37" s="671"/>
      <c r="M37" s="671"/>
      <c r="N37" s="671"/>
      <c r="P37" s="421" t="s">
        <v>1749</v>
      </c>
      <c r="T37" s="498"/>
      <c r="U37" s="677">
        <v>8</v>
      </c>
      <c r="V37" s="670"/>
      <c r="W37" s="670"/>
      <c r="X37" s="670"/>
      <c r="Y37" s="670"/>
      <c r="Z37" s="670"/>
      <c r="AA37" s="670"/>
      <c r="AB37" s="670"/>
      <c r="AC37" s="721"/>
      <c r="AD37" s="1152">
        <f t="shared" si="13"/>
        <v>0</v>
      </c>
    </row>
    <row r="38" spans="4:30" ht="14.9" customHeight="1" x14ac:dyDescent="0.35">
      <c r="D38" s="729"/>
      <c r="E38" s="724"/>
      <c r="F38" s="671"/>
      <c r="G38" s="671"/>
      <c r="H38" s="671"/>
      <c r="I38" s="671"/>
      <c r="J38" s="671"/>
      <c r="K38" s="671"/>
      <c r="L38" s="671"/>
      <c r="M38" s="671"/>
      <c r="N38" s="671"/>
      <c r="P38" s="421" t="s">
        <v>486</v>
      </c>
      <c r="T38" s="135"/>
      <c r="U38" s="677">
        <v>192.90967333891416</v>
      </c>
      <c r="V38" s="670">
        <v>193.42069681770565</v>
      </c>
      <c r="W38" s="670">
        <v>193.93307401293529</v>
      </c>
      <c r="X38" s="670">
        <v>195.94301161046616</v>
      </c>
      <c r="Y38" s="670">
        <v>197.97378035898313</v>
      </c>
      <c r="Z38" s="670">
        <v>200.02559615416976</v>
      </c>
      <c r="AA38" s="670">
        <v>202.0986771292693</v>
      </c>
      <c r="AB38" s="670">
        <v>202.0986771292693</v>
      </c>
      <c r="AC38" s="721">
        <v>202.0986771292693</v>
      </c>
      <c r="AD38" s="1154">
        <f t="shared" si="13"/>
        <v>-3.1096733389141491</v>
      </c>
    </row>
    <row r="39" spans="4:30" ht="14.9" customHeight="1" x14ac:dyDescent="0.35">
      <c r="D39" s="729"/>
      <c r="E39" s="724"/>
      <c r="F39" s="671"/>
      <c r="G39" s="671"/>
      <c r="H39" s="671"/>
      <c r="I39" s="671"/>
      <c r="J39" s="671"/>
      <c r="K39" s="671"/>
      <c r="L39" s="671"/>
      <c r="M39" s="671"/>
      <c r="N39" s="671"/>
      <c r="P39" s="421" t="s">
        <v>1441</v>
      </c>
      <c r="T39" s="135"/>
      <c r="U39" s="677">
        <v>192.90967333891416</v>
      </c>
      <c r="V39" s="670">
        <v>193.42069681770565</v>
      </c>
      <c r="W39" s="670">
        <v>193.93307401293529</v>
      </c>
      <c r="X39" s="670">
        <v>195.94301161046616</v>
      </c>
      <c r="Y39" s="670">
        <v>197.97378035898313</v>
      </c>
      <c r="Z39" s="670">
        <v>200.02559615416976</v>
      </c>
      <c r="AA39" s="670">
        <v>202.0986771292693</v>
      </c>
      <c r="AB39" s="670">
        <v>202.0986771292693</v>
      </c>
      <c r="AC39" s="721">
        <v>202.0986771292693</v>
      </c>
      <c r="AD39" s="1152">
        <f t="shared" si="13"/>
        <v>0</v>
      </c>
    </row>
    <row r="40" spans="4:30" ht="14.9" customHeight="1" x14ac:dyDescent="0.35">
      <c r="D40" s="729"/>
      <c r="E40" s="724"/>
      <c r="F40" s="671"/>
      <c r="G40" s="671"/>
      <c r="H40" s="671"/>
      <c r="I40" s="671"/>
      <c r="J40" s="671"/>
      <c r="K40" s="671"/>
      <c r="L40" s="671"/>
      <c r="M40" s="671"/>
      <c r="N40" s="671"/>
      <c r="P40" s="732" t="s">
        <v>1442</v>
      </c>
      <c r="T40" s="135"/>
      <c r="U40" s="677">
        <v>0</v>
      </c>
      <c r="V40" s="670">
        <v>0</v>
      </c>
      <c r="W40" s="670">
        <v>0</v>
      </c>
      <c r="X40" s="670">
        <v>0</v>
      </c>
      <c r="Y40" s="670">
        <v>0</v>
      </c>
      <c r="Z40" s="670">
        <v>0</v>
      </c>
      <c r="AA40" s="670">
        <v>0</v>
      </c>
      <c r="AB40" s="670">
        <v>0</v>
      </c>
      <c r="AC40" s="721">
        <v>0</v>
      </c>
      <c r="AD40" s="1152">
        <f t="shared" si="13"/>
        <v>0</v>
      </c>
    </row>
    <row r="41" spans="4:30" ht="14.9" customHeight="1" x14ac:dyDescent="0.35">
      <c r="D41" s="729"/>
      <c r="E41" s="724"/>
      <c r="F41" s="671"/>
      <c r="G41" s="671"/>
      <c r="H41" s="671"/>
      <c r="I41" s="671"/>
      <c r="J41" s="671"/>
      <c r="K41" s="671"/>
      <c r="L41" s="671"/>
      <c r="M41" s="671"/>
      <c r="N41" s="671"/>
      <c r="P41" s="414" t="s">
        <v>487</v>
      </c>
      <c r="T41" s="135"/>
      <c r="U41" s="677">
        <v>341.66194166567766</v>
      </c>
      <c r="V41" s="670">
        <v>351.3933846561136</v>
      </c>
      <c r="W41" s="670">
        <v>361.40200508754401</v>
      </c>
      <c r="X41" s="670">
        <v>361.99675210186376</v>
      </c>
      <c r="Y41" s="670">
        <v>362.5924778711601</v>
      </c>
      <c r="Z41" s="670">
        <v>363.18918400613694</v>
      </c>
      <c r="AA41" s="670">
        <v>363.78687212014876</v>
      </c>
      <c r="AB41" s="670">
        <v>365.68659917925123</v>
      </c>
      <c r="AC41" s="721">
        <v>379.83030278112079</v>
      </c>
      <c r="AD41" s="1152">
        <f t="shared" si="13"/>
        <v>0</v>
      </c>
    </row>
    <row r="42" spans="4:30" ht="14.9" customHeight="1" x14ac:dyDescent="0.35">
      <c r="D42" s="729"/>
      <c r="E42" s="724"/>
      <c r="F42" s="671"/>
      <c r="G42" s="671"/>
      <c r="H42" s="671"/>
      <c r="I42" s="671"/>
      <c r="J42" s="671"/>
      <c r="K42" s="671"/>
      <c r="L42" s="671"/>
      <c r="M42" s="671"/>
      <c r="N42" s="671"/>
      <c r="P42" s="1128" t="s">
        <v>1390</v>
      </c>
      <c r="T42" s="135"/>
      <c r="U42" s="677">
        <v>341.66194166567766</v>
      </c>
      <c r="V42" s="670">
        <v>351.3933846561136</v>
      </c>
      <c r="W42" s="670">
        <v>361.40200508754401</v>
      </c>
      <c r="X42" s="670">
        <v>361.99675210186376</v>
      </c>
      <c r="Y42" s="670">
        <v>362.5924778711601</v>
      </c>
      <c r="Z42" s="670">
        <v>363.18918400613694</v>
      </c>
      <c r="AA42" s="670">
        <v>363.78687212014876</v>
      </c>
      <c r="AB42" s="670">
        <v>365.68659917925123</v>
      </c>
      <c r="AC42" s="721">
        <v>379.83030278112079</v>
      </c>
      <c r="AD42" s="1152">
        <f t="shared" si="13"/>
        <v>0</v>
      </c>
    </row>
    <row r="43" spans="4:30" ht="14.9" customHeight="1" x14ac:dyDescent="0.35">
      <c r="D43" s="729"/>
      <c r="E43" s="724"/>
      <c r="F43" s="671"/>
      <c r="G43" s="671"/>
      <c r="H43" s="671"/>
      <c r="I43" s="671"/>
      <c r="J43" s="671"/>
      <c r="K43" s="671"/>
      <c r="L43" s="671"/>
      <c r="M43" s="671"/>
      <c r="N43" s="671"/>
      <c r="P43" s="1128" t="s">
        <v>1388</v>
      </c>
      <c r="T43" s="498"/>
      <c r="U43" s="677">
        <v>0</v>
      </c>
      <c r="V43" s="670">
        <v>0</v>
      </c>
      <c r="W43" s="670">
        <v>0</v>
      </c>
      <c r="X43" s="670">
        <v>0</v>
      </c>
      <c r="Y43" s="670">
        <v>0</v>
      </c>
      <c r="Z43" s="670">
        <v>0</v>
      </c>
      <c r="AA43" s="670">
        <v>0</v>
      </c>
      <c r="AB43" s="670">
        <v>0</v>
      </c>
      <c r="AC43" s="721">
        <v>0</v>
      </c>
      <c r="AD43" s="1152">
        <f t="shared" si="13"/>
        <v>0</v>
      </c>
    </row>
    <row r="44" spans="4:30" ht="14.9" customHeight="1" x14ac:dyDescent="0.35">
      <c r="D44" s="729"/>
      <c r="E44" s="724"/>
      <c r="F44" s="671"/>
      <c r="G44" s="671"/>
      <c r="H44" s="671"/>
      <c r="I44" s="671"/>
      <c r="J44" s="671"/>
      <c r="K44" s="671"/>
      <c r="L44" s="671"/>
      <c r="M44" s="671"/>
      <c r="N44" s="671"/>
      <c r="P44" s="1271" t="s">
        <v>475</v>
      </c>
      <c r="T44" s="498"/>
      <c r="U44" s="1197"/>
      <c r="V44" s="1198"/>
      <c r="W44" s="1198"/>
      <c r="X44" s="1198"/>
      <c r="Y44" s="1198"/>
      <c r="Z44" s="1198"/>
      <c r="AA44" s="1198"/>
      <c r="AB44" s="1198"/>
      <c r="AC44" s="1199"/>
      <c r="AD44" s="1152">
        <f t="shared" si="13"/>
        <v>0</v>
      </c>
    </row>
    <row r="45" spans="4:30" ht="14.9" customHeight="1" x14ac:dyDescent="0.35">
      <c r="D45" s="729"/>
      <c r="E45" s="724"/>
      <c r="F45" s="671"/>
      <c r="G45" s="671"/>
      <c r="H45" s="671"/>
      <c r="I45" s="671"/>
      <c r="J45" s="671"/>
      <c r="K45" s="671"/>
      <c r="L45" s="671"/>
      <c r="M45" s="671"/>
      <c r="N45" s="671"/>
      <c r="P45" s="742" t="s">
        <v>483</v>
      </c>
      <c r="T45" s="498"/>
      <c r="U45" s="678">
        <v>2219.7544492680749</v>
      </c>
      <c r="V45" s="673">
        <v>2244.5297223284315</v>
      </c>
      <c r="W45" s="673">
        <v>2269.9204412935655</v>
      </c>
      <c r="X45" s="673">
        <v>2295.455127307594</v>
      </c>
      <c r="Y45" s="673">
        <v>2319.0752385454025</v>
      </c>
      <c r="Z45" s="673">
        <v>2341.9478915458185</v>
      </c>
      <c r="AA45" s="673">
        <v>2364.728957797131</v>
      </c>
      <c r="AB45" s="673">
        <v>2388.4609646413296</v>
      </c>
      <c r="AC45" s="731">
        <v>2412.9324467446058</v>
      </c>
      <c r="AD45" s="1152">
        <f t="shared" si="13"/>
        <v>-69.554449268075132</v>
      </c>
    </row>
    <row r="46" spans="4:30" ht="14.9" customHeight="1" x14ac:dyDescent="0.35">
      <c r="D46" s="729"/>
      <c r="E46" s="724"/>
      <c r="F46" s="671"/>
      <c r="G46" s="671"/>
      <c r="H46" s="671"/>
      <c r="I46" s="671"/>
      <c r="J46" s="671"/>
      <c r="K46" s="671"/>
      <c r="L46" s="671"/>
      <c r="M46" s="671"/>
      <c r="N46" s="671"/>
      <c r="P46" s="736" t="s">
        <v>833</v>
      </c>
      <c r="T46" s="498"/>
      <c r="U46" s="679">
        <v>0</v>
      </c>
      <c r="V46" s="330"/>
      <c r="W46" s="330"/>
      <c r="X46" s="330"/>
      <c r="Y46" s="330"/>
      <c r="Z46" s="330"/>
      <c r="AA46" s="330"/>
      <c r="AB46" s="330"/>
      <c r="AC46" s="331"/>
      <c r="AD46" s="1152">
        <f t="shared" si="13"/>
        <v>0</v>
      </c>
    </row>
    <row r="47" spans="4:30" ht="14.9" customHeight="1" x14ac:dyDescent="0.35">
      <c r="D47" s="729"/>
      <c r="E47" s="724"/>
      <c r="F47" s="671"/>
      <c r="G47" s="671"/>
      <c r="H47" s="671"/>
      <c r="I47" s="671"/>
      <c r="J47" s="671"/>
      <c r="K47" s="671"/>
      <c r="L47" s="671"/>
      <c r="M47" s="671"/>
      <c r="N47" s="671"/>
      <c r="P47" s="421" t="s">
        <v>488</v>
      </c>
      <c r="T47" s="498"/>
      <c r="U47" s="680">
        <v>589.47098153040281</v>
      </c>
      <c r="V47" s="674">
        <v>597.26344062857868</v>
      </c>
      <c r="W47" s="674">
        <v>604.56412657739895</v>
      </c>
      <c r="X47" s="674">
        <v>612.31697978435136</v>
      </c>
      <c r="Y47" s="674">
        <v>619.00047392827594</v>
      </c>
      <c r="Z47" s="674">
        <v>625.31431308745005</v>
      </c>
      <c r="AA47" s="674">
        <v>631.65455617410646</v>
      </c>
      <c r="AB47" s="674">
        <v>638.08721300695015</v>
      </c>
      <c r="AC47" s="681">
        <v>644.73770224152202</v>
      </c>
      <c r="AD47" s="1152">
        <f t="shared" si="13"/>
        <v>-68.070981530402833</v>
      </c>
    </row>
    <row r="48" spans="4:30" ht="14.9" customHeight="1" x14ac:dyDescent="0.35">
      <c r="D48" s="729"/>
      <c r="E48" s="724"/>
      <c r="F48" s="671"/>
      <c r="G48" s="671"/>
      <c r="H48" s="671"/>
      <c r="I48" s="671"/>
      <c r="J48" s="671"/>
      <c r="K48" s="671"/>
      <c r="L48" s="671"/>
      <c r="M48" s="671"/>
      <c r="N48" s="671"/>
      <c r="P48" s="421" t="s">
        <v>485</v>
      </c>
      <c r="R48" s="1410"/>
      <c r="S48" s="1411"/>
      <c r="T48" s="498"/>
      <c r="U48" s="680">
        <v>24.769872497042453</v>
      </c>
      <c r="V48" s="675">
        <v>25.007755334530952</v>
      </c>
      <c r="W48" s="675">
        <v>25.277413135871708</v>
      </c>
      <c r="X48" s="675">
        <v>25.585501467817547</v>
      </c>
      <c r="Y48" s="675">
        <v>25.892731016956574</v>
      </c>
      <c r="Z48" s="675">
        <v>26.195451956359811</v>
      </c>
      <c r="AA48" s="675">
        <v>26.504613766814177</v>
      </c>
      <c r="AB48" s="675">
        <v>26.82794549358103</v>
      </c>
      <c r="AC48" s="682">
        <v>27.166305919467199</v>
      </c>
      <c r="AD48" s="1152">
        <f t="shared" si="13"/>
        <v>0.63012750295754572</v>
      </c>
    </row>
    <row r="49" spans="4:40" ht="14.9" customHeight="1" x14ac:dyDescent="0.35">
      <c r="D49" s="729"/>
      <c r="E49" s="724"/>
      <c r="F49" s="671"/>
      <c r="G49" s="671"/>
      <c r="H49" s="671"/>
      <c r="I49" s="671"/>
      <c r="J49" s="671"/>
      <c r="K49" s="671"/>
      <c r="L49" s="671"/>
      <c r="M49" s="671"/>
      <c r="N49" s="671"/>
      <c r="P49" s="421" t="s">
        <v>486</v>
      </c>
      <c r="R49" s="1412"/>
      <c r="S49" s="1413"/>
      <c r="T49" s="498"/>
      <c r="U49" s="680">
        <v>1605.5135952406297</v>
      </c>
      <c r="V49" s="674">
        <v>1622.258526365322</v>
      </c>
      <c r="W49" s="674">
        <v>1640.0789015802948</v>
      </c>
      <c r="X49" s="674">
        <v>1657.5526460554252</v>
      </c>
      <c r="Y49" s="674">
        <v>1674.1820336001701</v>
      </c>
      <c r="Z49" s="674">
        <v>1690.4381265020086</v>
      </c>
      <c r="AA49" s="674">
        <v>1706.5697878562105</v>
      </c>
      <c r="AB49" s="674">
        <v>1723.5458061407983</v>
      </c>
      <c r="AC49" s="681">
        <v>1741.0284385836167</v>
      </c>
      <c r="AD49" s="1152">
        <f t="shared" si="13"/>
        <v>-2.1135952406295928</v>
      </c>
    </row>
    <row r="50" spans="4:40" ht="14.9" customHeight="1" x14ac:dyDescent="0.35">
      <c r="D50" s="729"/>
      <c r="E50" s="724"/>
      <c r="F50" s="671"/>
      <c r="G50" s="671"/>
      <c r="H50" s="671"/>
      <c r="I50" s="671"/>
      <c r="J50" s="671"/>
      <c r="K50" s="671"/>
      <c r="L50" s="671"/>
      <c r="M50" s="671"/>
      <c r="N50" s="671"/>
      <c r="P50" s="745" t="s">
        <v>487</v>
      </c>
      <c r="U50" s="683">
        <v>109.238858295851</v>
      </c>
      <c r="V50" s="683">
        <v>103.04642481819329</v>
      </c>
      <c r="W50" s="683">
        <v>99.556412627685063</v>
      </c>
      <c r="X50" s="683">
        <v>97.006587078061287</v>
      </c>
      <c r="Y50" s="683">
        <v>98.104291899617465</v>
      </c>
      <c r="Z50" s="683">
        <v>99.86160410273655</v>
      </c>
      <c r="AA50" s="683">
        <v>102.34743789146242</v>
      </c>
      <c r="AB50" s="683">
        <v>105.88667451343056</v>
      </c>
      <c r="AC50" s="683">
        <v>109.30285005674891</v>
      </c>
      <c r="AD50" s="1152">
        <f t="shared" si="13"/>
        <v>0</v>
      </c>
    </row>
    <row r="51" spans="4:40" ht="14.9" customHeight="1" x14ac:dyDescent="0.35">
      <c r="D51" s="729"/>
      <c r="E51" s="724"/>
      <c r="F51" s="671"/>
      <c r="G51" s="671"/>
      <c r="H51" s="671"/>
      <c r="I51" s="671"/>
      <c r="J51" s="671"/>
      <c r="K51" s="671"/>
      <c r="L51" s="671"/>
      <c r="M51" s="671"/>
      <c r="N51" s="671"/>
    </row>
    <row r="52" spans="4:40" ht="14.9" customHeight="1" x14ac:dyDescent="0.35">
      <c r="D52" s="729"/>
      <c r="E52" s="724"/>
      <c r="F52" s="671"/>
      <c r="G52" s="671"/>
      <c r="H52" s="671"/>
      <c r="I52" s="671"/>
      <c r="J52" s="671"/>
      <c r="K52" s="671"/>
      <c r="L52" s="671"/>
      <c r="M52" s="671"/>
      <c r="N52" s="671"/>
    </row>
    <row r="53" spans="4:40" ht="14.9" customHeight="1" x14ac:dyDescent="0.35">
      <c r="D53" s="729"/>
      <c r="E53" s="724"/>
      <c r="F53" s="671"/>
      <c r="G53" s="671"/>
      <c r="H53" s="671"/>
      <c r="I53" s="671"/>
      <c r="J53" s="671"/>
      <c r="K53" s="671"/>
      <c r="L53" s="671"/>
      <c r="M53" s="671"/>
      <c r="N53" s="671"/>
    </row>
    <row r="54" spans="4:40" ht="14.9" customHeight="1" x14ac:dyDescent="0.35">
      <c r="D54" s="729"/>
      <c r="E54" s="724"/>
      <c r="F54" s="671"/>
      <c r="G54" s="671"/>
      <c r="H54" s="671"/>
      <c r="I54" s="671"/>
      <c r="J54" s="671"/>
      <c r="K54" s="671"/>
      <c r="L54" s="671"/>
      <c r="M54" s="671"/>
      <c r="N54" s="671"/>
    </row>
    <row r="55" spans="4:40" ht="14.9" customHeight="1" x14ac:dyDescent="0.35">
      <c r="D55" s="729"/>
      <c r="E55" s="724"/>
      <c r="F55" s="671"/>
      <c r="G55" s="671"/>
      <c r="H55" s="671"/>
      <c r="I55" s="671"/>
      <c r="J55" s="671"/>
      <c r="K55" s="671"/>
      <c r="L55" s="671"/>
      <c r="M55" s="671"/>
      <c r="N55" s="671"/>
    </row>
    <row r="56" spans="4:40" ht="14.9" customHeight="1" x14ac:dyDescent="0.35">
      <c r="D56" s="729"/>
      <c r="E56" s="724"/>
      <c r="F56" s="671"/>
      <c r="G56" s="671"/>
      <c r="H56" s="671"/>
      <c r="I56" s="671"/>
      <c r="J56" s="671"/>
      <c r="K56" s="671"/>
      <c r="L56" s="671"/>
      <c r="M56" s="671"/>
      <c r="N56" s="671"/>
    </row>
    <row r="57" spans="4:40" ht="14.9" customHeight="1" x14ac:dyDescent="0.35">
      <c r="D57" s="729"/>
      <c r="E57" s="724"/>
      <c r="F57" s="671"/>
      <c r="G57" s="671"/>
      <c r="H57" s="671"/>
      <c r="I57" s="671"/>
      <c r="J57" s="671"/>
      <c r="K57" s="671"/>
      <c r="L57" s="671"/>
      <c r="M57" s="671"/>
      <c r="N57" s="671"/>
    </row>
    <row r="58" spans="4:40" ht="14.9" customHeight="1" x14ac:dyDescent="0.35">
      <c r="D58" s="729"/>
      <c r="E58" s="724"/>
      <c r="F58" s="671"/>
      <c r="G58" s="671"/>
      <c r="H58" s="671"/>
      <c r="I58" s="671"/>
      <c r="J58" s="671"/>
      <c r="K58" s="671"/>
      <c r="L58" s="671"/>
      <c r="M58" s="671"/>
      <c r="N58" s="671"/>
    </row>
    <row r="59" spans="4:40" ht="14.9" customHeight="1" x14ac:dyDescent="0.35">
      <c r="D59" s="729"/>
      <c r="E59" s="724"/>
      <c r="F59" s="671"/>
      <c r="G59" s="671"/>
      <c r="H59" s="671"/>
      <c r="I59" s="671"/>
      <c r="J59" s="671"/>
      <c r="K59" s="671"/>
      <c r="L59" s="671"/>
      <c r="M59" s="671"/>
      <c r="N59" s="671"/>
    </row>
    <row r="60" spans="4:40" ht="14.9" customHeight="1" x14ac:dyDescent="0.35">
      <c r="D60" s="729"/>
      <c r="E60" s="724"/>
      <c r="F60" s="752"/>
      <c r="G60" s="752"/>
      <c r="H60" s="671"/>
      <c r="I60" s="671"/>
      <c r="J60" s="671"/>
      <c r="K60" s="671"/>
      <c r="L60" s="671"/>
      <c r="AF60" s="401"/>
      <c r="AG60" s="401"/>
      <c r="AH60" s="401"/>
      <c r="AI60" s="401"/>
      <c r="AJ60" s="401"/>
      <c r="AK60" s="401"/>
      <c r="AL60" s="177"/>
      <c r="AM60" s="177"/>
      <c r="AN60" s="177"/>
    </row>
    <row r="61" spans="4:40" ht="14.9" customHeight="1" x14ac:dyDescent="0.35">
      <c r="D61" s="431"/>
      <c r="E61" s="136"/>
      <c r="F61" s="136"/>
      <c r="G61" s="136"/>
      <c r="H61" s="136"/>
      <c r="I61" s="136"/>
      <c r="J61" s="136"/>
      <c r="K61" s="136"/>
      <c r="L61" s="136"/>
      <c r="AF61" s="177"/>
      <c r="AG61" s="177"/>
      <c r="AH61" s="177"/>
      <c r="AI61" s="177"/>
      <c r="AJ61" s="177"/>
      <c r="AK61" s="177"/>
      <c r="AL61" s="177"/>
      <c r="AM61" s="177"/>
      <c r="AN61" s="177"/>
    </row>
    <row r="62" spans="4:40" ht="14.9" customHeight="1" x14ac:dyDescent="0.35">
      <c r="D62" s="1753" t="s">
        <v>926</v>
      </c>
      <c r="E62" s="1754"/>
      <c r="F62" s="1755"/>
      <c r="G62" s="356">
        <v>2020</v>
      </c>
      <c r="H62" s="356">
        <v>2021</v>
      </c>
      <c r="I62" s="355">
        <v>2022</v>
      </c>
      <c r="J62" s="764">
        <v>2023</v>
      </c>
      <c r="K62" s="764">
        <v>2024</v>
      </c>
      <c r="L62" s="765">
        <v>2025</v>
      </c>
      <c r="AF62" s="177"/>
      <c r="AG62" s="177"/>
      <c r="AH62" s="177"/>
      <c r="AI62" s="177"/>
      <c r="AJ62" s="177"/>
      <c r="AK62" s="177"/>
      <c r="AL62" s="177"/>
      <c r="AM62" s="177"/>
      <c r="AN62" s="177"/>
    </row>
    <row r="63" spans="4:40" ht="14.9" customHeight="1" x14ac:dyDescent="0.35">
      <c r="D63" s="735" t="s">
        <v>493</v>
      </c>
      <c r="E63" s="703"/>
      <c r="F63" s="594"/>
      <c r="G63" s="734">
        <f>AVERAGE(H10:K10)</f>
        <v>1702.5749999999998</v>
      </c>
      <c r="H63" s="164">
        <f>AVERAGE(L10:O10)</f>
        <v>2008.4750000000001</v>
      </c>
      <c r="I63" s="164">
        <f>AVERAGE(P10:S10)</f>
        <v>2509.8999999999996</v>
      </c>
      <c r="J63" s="164">
        <f t="shared" ref="J63:L65" si="14">I63*J76/I76</f>
        <v>2405.556083764382</v>
      </c>
      <c r="K63" s="164">
        <f t="shared" si="14"/>
        <v>2352.4496398944584</v>
      </c>
      <c r="L63" s="242">
        <f t="shared" si="14"/>
        <v>2394.3346262838863</v>
      </c>
      <c r="M63" t="s">
        <v>909</v>
      </c>
    </row>
    <row r="64" spans="4:40" ht="14.9" customHeight="1" x14ac:dyDescent="0.35">
      <c r="D64" s="684" t="s">
        <v>499</v>
      </c>
      <c r="E64" s="159"/>
      <c r="F64" s="480"/>
      <c r="G64" s="734">
        <f>AVERAGE(H13:K13)</f>
        <v>1425.3999999999999</v>
      </c>
      <c r="H64" s="164">
        <f>AVERAGE(L13:O13)</f>
        <v>1495.1000000000001</v>
      </c>
      <c r="I64" s="164">
        <f>AVERAGE(P13:S13)</f>
        <v>1627.425</v>
      </c>
      <c r="J64" s="164">
        <f t="shared" si="14"/>
        <v>1713.8486935180104</v>
      </c>
      <c r="K64" s="164">
        <f t="shared" si="14"/>
        <v>1791.3088166806649</v>
      </c>
      <c r="L64" s="242">
        <f t="shared" si="14"/>
        <v>1867.9626463405427</v>
      </c>
    </row>
    <row r="65" spans="3:40" ht="14.9" customHeight="1" x14ac:dyDescent="0.35">
      <c r="D65" s="684" t="s">
        <v>105</v>
      </c>
      <c r="E65" s="159"/>
      <c r="F65" s="480"/>
      <c r="G65" s="734">
        <f>AVERAGE(H16:K16)</f>
        <v>161.30000000000001</v>
      </c>
      <c r="H65" s="164">
        <f>AVERAGE(L16:O16)</f>
        <v>166.42500000000001</v>
      </c>
      <c r="I65" s="164">
        <f>AVERAGE(P16:S16)</f>
        <v>200.55</v>
      </c>
      <c r="J65" s="164">
        <f t="shared" si="14"/>
        <v>202.68351063829786</v>
      </c>
      <c r="K65" s="164">
        <f t="shared" si="14"/>
        <v>211.21755319148934</v>
      </c>
      <c r="L65" s="242">
        <f t="shared" si="14"/>
        <v>211.21755319148934</v>
      </c>
    </row>
    <row r="66" spans="3:40" ht="14.9" customHeight="1" x14ac:dyDescent="0.35">
      <c r="D66" s="684" t="s">
        <v>258</v>
      </c>
      <c r="E66" s="159"/>
      <c r="F66" s="480"/>
      <c r="G66" s="734">
        <f>AVERAGE(H19:K19)</f>
        <v>201.37499999999997</v>
      </c>
      <c r="H66" s="164">
        <f>AVERAGE(L19:O19)</f>
        <v>258.97500000000002</v>
      </c>
      <c r="I66" s="164">
        <f>AVERAGE(P19:S19)</f>
        <v>328.1</v>
      </c>
      <c r="J66" s="164">
        <f>I66*J81/I81</f>
        <v>367.10824328554583</v>
      </c>
      <c r="K66" s="164">
        <f>J66*K81/J81</f>
        <v>369.53076539246399</v>
      </c>
      <c r="L66" s="242">
        <f>K66*L81/K81</f>
        <v>377.3103279379194</v>
      </c>
    </row>
    <row r="67" spans="3:40" ht="14.9" customHeight="1" x14ac:dyDescent="0.35">
      <c r="C67" s="35"/>
      <c r="D67" s="684" t="s">
        <v>922</v>
      </c>
      <c r="E67" s="35"/>
      <c r="F67" s="546"/>
      <c r="G67" s="163"/>
      <c r="H67" s="685">
        <f>H63/G63-1+0.021</f>
        <v>0.20066903073286077</v>
      </c>
      <c r="I67" s="685">
        <f>I63/H63-1.05</f>
        <v>0.19965458868046615</v>
      </c>
      <c r="J67" s="685">
        <f>J63/I63-1</f>
        <v>-4.1572937661109033E-2</v>
      </c>
      <c r="K67" s="685">
        <f>K63/J63-1</f>
        <v>-2.2076576899765721E-2</v>
      </c>
      <c r="L67" s="686">
        <f>L63/K63-1</f>
        <v>1.7804838700524517E-2</v>
      </c>
      <c r="M67" t="s">
        <v>908</v>
      </c>
    </row>
    <row r="68" spans="3:40" ht="14.9" customHeight="1" x14ac:dyDescent="0.35">
      <c r="C68" s="35"/>
      <c r="D68" s="684" t="s">
        <v>923</v>
      </c>
      <c r="E68" s="35"/>
      <c r="F68" s="546"/>
      <c r="G68" s="163"/>
      <c r="H68" s="685">
        <f>H64/G64-1.03</f>
        <v>1.8898554791637601E-2</v>
      </c>
      <c r="I68" s="685">
        <f>I64/H64-1.013</f>
        <v>7.5505785566182926E-2</v>
      </c>
      <c r="J68" s="687">
        <f>J64/I64-1</f>
        <v>5.3104563047765785E-2</v>
      </c>
      <c r="K68" s="685">
        <f t="shared" ref="K68" si="15">K64/J64-1</f>
        <v>4.5196593757441006E-2</v>
      </c>
      <c r="L68" s="686">
        <f>L64/K64-1</f>
        <v>4.2792079705116892E-2</v>
      </c>
      <c r="M68" t="s">
        <v>910</v>
      </c>
    </row>
    <row r="69" spans="3:40" ht="14.9" customHeight="1" x14ac:dyDescent="0.35">
      <c r="C69" s="35"/>
      <c r="D69" s="684" t="s">
        <v>924</v>
      </c>
      <c r="E69" s="35"/>
      <c r="F69" s="546"/>
      <c r="G69" s="163"/>
      <c r="H69" s="685">
        <f t="shared" ref="H69:H70" si="16">H65/G65-1</f>
        <v>3.1773093614383185E-2</v>
      </c>
      <c r="I69" s="685">
        <f>I65/H65-1.01</f>
        <v>0.19504731861198743</v>
      </c>
      <c r="J69" s="685">
        <f>J65/I65-1</f>
        <v>1.0638297872340274E-2</v>
      </c>
      <c r="K69" s="685">
        <f t="shared" ref="K69" si="17">K65/J65-1</f>
        <v>4.2105263157894646E-2</v>
      </c>
      <c r="L69" s="686">
        <f>L65/K65-1</f>
        <v>0</v>
      </c>
    </row>
    <row r="70" spans="3:40" ht="14.9" customHeight="1" x14ac:dyDescent="0.35">
      <c r="C70" s="35"/>
      <c r="D70" s="688" t="s">
        <v>925</v>
      </c>
      <c r="E70" s="36"/>
      <c r="F70" s="347"/>
      <c r="G70" s="230"/>
      <c r="H70" s="689">
        <f t="shared" si="16"/>
        <v>0.28603351955307299</v>
      </c>
      <c r="I70" s="689">
        <f>I66/H66-1.103</f>
        <v>0.16391765614441556</v>
      </c>
      <c r="J70" s="689">
        <f>J66/I66-1</f>
        <v>0.11889132363775001</v>
      </c>
      <c r="K70" s="689">
        <f>K66/J66-1</f>
        <v>6.5989313812109263E-3</v>
      </c>
      <c r="L70" s="690">
        <f>L66/K66-1</f>
        <v>2.1052543587793071E-2</v>
      </c>
    </row>
    <row r="71" spans="3:40" ht="14.9" customHeight="1" x14ac:dyDescent="0.35">
      <c r="D71" s="729"/>
      <c r="E71" s="724"/>
      <c r="F71" s="752"/>
      <c r="G71" s="752"/>
      <c r="H71" s="671"/>
      <c r="I71" s="671"/>
      <c r="J71" s="671"/>
      <c r="K71" s="671"/>
      <c r="L71" s="671"/>
    </row>
    <row r="72" spans="3:40" ht="14.9" customHeight="1" x14ac:dyDescent="0.35">
      <c r="D72" s="729"/>
      <c r="E72" s="724"/>
      <c r="F72" s="752"/>
      <c r="G72" s="752"/>
      <c r="H72" s="671"/>
      <c r="I72" s="671"/>
      <c r="J72" s="787"/>
      <c r="K72" s="671"/>
      <c r="L72" s="671"/>
    </row>
    <row r="73" spans="3:40" ht="14.9" customHeight="1" x14ac:dyDescent="0.35">
      <c r="D73" s="729"/>
      <c r="E73" s="724"/>
      <c r="F73" s="752"/>
      <c r="G73" s="752"/>
      <c r="H73" s="671"/>
      <c r="I73" s="671"/>
      <c r="J73" s="671"/>
      <c r="K73" s="671"/>
      <c r="L73" s="671"/>
    </row>
    <row r="74" spans="3:40" ht="41.9" customHeight="1" x14ac:dyDescent="0.35">
      <c r="F74" s="163"/>
      <c r="G74" s="163"/>
      <c r="H74" s="587"/>
      <c r="I74" s="587"/>
      <c r="J74" s="587"/>
      <c r="K74" s="587"/>
      <c r="L74" s="587"/>
      <c r="M74" s="225"/>
      <c r="N74" s="225"/>
      <c r="AF74" s="587"/>
      <c r="AG74" s="587"/>
      <c r="AH74" s="587"/>
      <c r="AI74" s="587"/>
      <c r="AJ74" s="587"/>
      <c r="AK74" s="587"/>
      <c r="AM74" s="587"/>
      <c r="AN74" s="587"/>
    </row>
    <row r="75" spans="3:40" ht="30.75" customHeight="1" x14ac:dyDescent="0.35">
      <c r="D75" s="632" t="s">
        <v>1815</v>
      </c>
      <c r="E75" s="572">
        <v>2018</v>
      </c>
      <c r="F75" s="633">
        <v>2019</v>
      </c>
      <c r="G75" s="633">
        <v>2020</v>
      </c>
      <c r="H75" s="633">
        <v>2021</v>
      </c>
      <c r="I75" s="634">
        <v>2022</v>
      </c>
      <c r="J75" s="635">
        <v>2023</v>
      </c>
      <c r="K75" s="635">
        <v>2024</v>
      </c>
      <c r="L75" s="636">
        <v>2025</v>
      </c>
      <c r="N75" s="763"/>
      <c r="O75" s="188"/>
    </row>
    <row r="76" spans="3:40" ht="30.75" customHeight="1" x14ac:dyDescent="0.35">
      <c r="D76" s="639" t="s">
        <v>1814</v>
      </c>
      <c r="E76" s="640">
        <v>1683.5</v>
      </c>
      <c r="F76" s="640">
        <v>1717.9</v>
      </c>
      <c r="G76" s="640">
        <v>1609</v>
      </c>
      <c r="H76" s="248">
        <v>2044.377</v>
      </c>
      <c r="I76" s="395">
        <v>2632.145</v>
      </c>
      <c r="J76" s="789">
        <v>2522.7190000000001</v>
      </c>
      <c r="K76" s="395">
        <v>2467.0259999999998</v>
      </c>
      <c r="L76" s="285">
        <v>2510.951</v>
      </c>
      <c r="M76" s="772" t="s">
        <v>494</v>
      </c>
      <c r="N76" s="763"/>
      <c r="O76" s="188"/>
    </row>
    <row r="77" spans="3:40" ht="16.5" customHeight="1" x14ac:dyDescent="0.35">
      <c r="D77" s="768" t="s">
        <v>1816</v>
      </c>
      <c r="E77" s="637">
        <v>1170.7</v>
      </c>
      <c r="F77" s="637">
        <v>1243.4000000000001</v>
      </c>
      <c r="G77" s="637">
        <v>1310</v>
      </c>
      <c r="H77" s="638">
        <v>1314.088</v>
      </c>
      <c r="I77" s="164">
        <v>1483.5260000000001</v>
      </c>
      <c r="J77" s="788">
        <v>1562.308</v>
      </c>
      <c r="K77" s="164">
        <v>1632.9190000000001</v>
      </c>
      <c r="L77" s="242">
        <v>1702.7950000000001</v>
      </c>
      <c r="M77" s="772"/>
      <c r="N77" s="758"/>
      <c r="O77" s="741"/>
      <c r="P77" s="755"/>
    </row>
    <row r="78" spans="3:40" x14ac:dyDescent="0.35">
      <c r="D78" s="482" t="s">
        <v>496</v>
      </c>
      <c r="E78" s="638">
        <f t="shared" ref="E78:L78" si="18">E79+E80</f>
        <v>136.30000000000001</v>
      </c>
      <c r="F78" s="638">
        <f t="shared" si="18"/>
        <v>170.6</v>
      </c>
      <c r="G78" s="638">
        <f t="shared" si="18"/>
        <v>156</v>
      </c>
      <c r="H78" s="638">
        <f t="shared" si="18"/>
        <v>155.25900000000001</v>
      </c>
      <c r="I78" s="638">
        <f t="shared" si="18"/>
        <v>188</v>
      </c>
      <c r="J78" s="698">
        <f t="shared" si="18"/>
        <v>190</v>
      </c>
      <c r="K78" s="638">
        <f t="shared" si="18"/>
        <v>198</v>
      </c>
      <c r="L78" s="701">
        <f t="shared" si="18"/>
        <v>198</v>
      </c>
      <c r="N78" s="136"/>
      <c r="P78" s="759"/>
      <c r="Q78" s="759"/>
      <c r="R78" s="759"/>
      <c r="S78" s="759"/>
      <c r="T78" s="759"/>
      <c r="U78" s="759"/>
      <c r="V78" s="759"/>
      <c r="W78" s="759"/>
    </row>
    <row r="79" spans="3:40" x14ac:dyDescent="0.35">
      <c r="D79" s="738" t="s">
        <v>1817</v>
      </c>
      <c r="E79" s="637">
        <v>95</v>
      </c>
      <c r="F79" s="637">
        <v>99.8</v>
      </c>
      <c r="G79" s="637">
        <v>87</v>
      </c>
      <c r="H79" s="638">
        <v>75.274000000000001</v>
      </c>
      <c r="I79" s="643">
        <v>88</v>
      </c>
      <c r="J79" s="644">
        <v>91</v>
      </c>
      <c r="K79" s="643">
        <v>101</v>
      </c>
      <c r="L79" s="645">
        <v>100</v>
      </c>
      <c r="N79" s="136"/>
      <c r="P79" s="759"/>
      <c r="Q79" s="759"/>
      <c r="R79" s="759"/>
      <c r="S79" s="759"/>
      <c r="T79" s="759"/>
      <c r="U79" s="759"/>
      <c r="V79" s="759"/>
      <c r="W79" s="759"/>
    </row>
    <row r="80" spans="3:40" ht="16.5" customHeight="1" x14ac:dyDescent="0.35">
      <c r="D80" s="421" t="s">
        <v>1818</v>
      </c>
      <c r="E80" s="637">
        <v>41.3</v>
      </c>
      <c r="F80" s="637">
        <v>70.8</v>
      </c>
      <c r="G80" s="637">
        <v>69</v>
      </c>
      <c r="H80" s="638">
        <v>79.984999999999999</v>
      </c>
      <c r="I80" s="643">
        <v>100</v>
      </c>
      <c r="J80" s="644">
        <v>99</v>
      </c>
      <c r="K80" s="643">
        <v>97</v>
      </c>
      <c r="L80" s="645">
        <v>98</v>
      </c>
      <c r="M80" s="753"/>
      <c r="N80" s="753"/>
      <c r="O80" s="757"/>
      <c r="P80" s="755"/>
      <c r="Q80" s="755"/>
      <c r="R80" s="755"/>
      <c r="S80" s="755"/>
      <c r="T80" s="755"/>
      <c r="U80" s="755"/>
      <c r="V80" s="755"/>
      <c r="W80" s="755"/>
      <c r="X80" s="753"/>
      <c r="Y80" s="753"/>
      <c r="Z80" s="756"/>
    </row>
    <row r="81" spans="4:26" ht="16.5" customHeight="1" x14ac:dyDescent="0.35">
      <c r="D81" s="641" t="s">
        <v>1819</v>
      </c>
      <c r="E81" s="642">
        <v>204.7</v>
      </c>
      <c r="F81" s="642">
        <v>230.2</v>
      </c>
      <c r="G81" s="642">
        <v>212</v>
      </c>
      <c r="H81" s="717">
        <v>371.83100000000002</v>
      </c>
      <c r="I81" s="406">
        <v>424.86700000000002</v>
      </c>
      <c r="J81" s="350">
        <v>475.38</v>
      </c>
      <c r="K81" s="406">
        <v>478.517</v>
      </c>
      <c r="L81" s="318">
        <v>488.59100000000001</v>
      </c>
      <c r="M81" s="753"/>
      <c r="N81" s="753"/>
      <c r="O81" s="757"/>
      <c r="P81" s="755"/>
      <c r="Q81" s="755"/>
      <c r="R81" s="755"/>
      <c r="S81" s="755"/>
      <c r="T81" s="755"/>
      <c r="U81" s="755"/>
      <c r="V81" s="755"/>
      <c r="W81" s="755"/>
      <c r="X81" s="753"/>
      <c r="Y81" s="753"/>
      <c r="Z81" s="756"/>
    </row>
    <row r="82" spans="4:26" ht="16.5" customHeight="1" x14ac:dyDescent="0.35"/>
    <row r="83" spans="4:26" x14ac:dyDescent="0.35">
      <c r="D83" s="746" t="s">
        <v>497</v>
      </c>
      <c r="E83" s="625">
        <v>2018</v>
      </c>
      <c r="F83" s="626">
        <v>2019</v>
      </c>
      <c r="G83" s="627">
        <v>2020</v>
      </c>
      <c r="H83" s="626">
        <v>2021</v>
      </c>
      <c r="I83" s="626">
        <v>2022</v>
      </c>
      <c r="J83" s="764">
        <v>2023</v>
      </c>
      <c r="K83" s="764">
        <v>2024</v>
      </c>
      <c r="L83" s="765">
        <v>2025</v>
      </c>
      <c r="O83" s="431" t="s">
        <v>498</v>
      </c>
    </row>
    <row r="84" spans="4:26" ht="14.9" customHeight="1" x14ac:dyDescent="0.35">
      <c r="D84" s="748" t="s">
        <v>493</v>
      </c>
      <c r="E84" s="159">
        <v>1622</v>
      </c>
      <c r="F84" s="159">
        <v>1687</v>
      </c>
      <c r="G84" s="743">
        <f t="shared" ref="G84:L87" si="19">G63</f>
        <v>1702.5749999999998</v>
      </c>
      <c r="H84" s="743">
        <f t="shared" si="19"/>
        <v>2008.4750000000001</v>
      </c>
      <c r="I84" s="743">
        <f t="shared" si="19"/>
        <v>2509.8999999999996</v>
      </c>
      <c r="J84" s="743">
        <f t="shared" si="19"/>
        <v>2405.556083764382</v>
      </c>
      <c r="K84" s="743">
        <f t="shared" si="19"/>
        <v>2352.4496398944584</v>
      </c>
      <c r="L84" s="743">
        <f t="shared" si="19"/>
        <v>2394.3346262838863</v>
      </c>
    </row>
    <row r="85" spans="4:26" x14ac:dyDescent="0.35">
      <c r="D85" s="748" t="s">
        <v>499</v>
      </c>
      <c r="E85" s="159">
        <v>1332</v>
      </c>
      <c r="F85" s="159">
        <v>1388</v>
      </c>
      <c r="G85" s="743">
        <f t="shared" si="19"/>
        <v>1425.3999999999999</v>
      </c>
      <c r="H85" s="743">
        <f t="shared" si="19"/>
        <v>1495.1000000000001</v>
      </c>
      <c r="I85" s="743">
        <f t="shared" si="19"/>
        <v>1627.425</v>
      </c>
      <c r="J85" s="743">
        <f t="shared" si="19"/>
        <v>1713.8486935180104</v>
      </c>
      <c r="K85" s="743">
        <f t="shared" si="19"/>
        <v>1791.3088166806649</v>
      </c>
      <c r="L85" s="743">
        <f t="shared" si="19"/>
        <v>1867.9626463405427</v>
      </c>
      <c r="N85" s="751"/>
    </row>
    <row r="86" spans="4:26" x14ac:dyDescent="0.35">
      <c r="D86" s="748" t="s">
        <v>105</v>
      </c>
      <c r="E86" s="159">
        <v>150</v>
      </c>
      <c r="F86" s="159">
        <v>175</v>
      </c>
      <c r="G86" s="743">
        <f t="shared" si="19"/>
        <v>161.30000000000001</v>
      </c>
      <c r="H86" s="743">
        <f t="shared" si="19"/>
        <v>166.42500000000001</v>
      </c>
      <c r="I86" s="743">
        <f t="shared" si="19"/>
        <v>200.55</v>
      </c>
      <c r="J86" s="743">
        <f t="shared" si="19"/>
        <v>202.68351063829786</v>
      </c>
      <c r="K86" s="743">
        <f t="shared" si="19"/>
        <v>211.21755319148934</v>
      </c>
      <c r="L86" s="743">
        <f t="shared" si="19"/>
        <v>211.21755319148934</v>
      </c>
      <c r="N86" s="751"/>
    </row>
    <row r="87" spans="4:26" x14ac:dyDescent="0.35">
      <c r="D87" s="747" t="s">
        <v>258</v>
      </c>
      <c r="E87" s="475">
        <v>208</v>
      </c>
      <c r="F87" s="475">
        <v>219</v>
      </c>
      <c r="G87" s="786">
        <f t="shared" si="19"/>
        <v>201.37499999999997</v>
      </c>
      <c r="H87" s="786">
        <f t="shared" si="19"/>
        <v>258.97500000000002</v>
      </c>
      <c r="I87" s="786">
        <f t="shared" si="19"/>
        <v>328.1</v>
      </c>
      <c r="J87" s="786">
        <f t="shared" si="19"/>
        <v>367.10824328554583</v>
      </c>
      <c r="K87" s="786">
        <f t="shared" si="19"/>
        <v>369.53076539246399</v>
      </c>
      <c r="L87" s="786">
        <f t="shared" si="19"/>
        <v>377.3103279379194</v>
      </c>
      <c r="O87" s="1611" t="s">
        <v>903</v>
      </c>
      <c r="P87" s="1611" t="s">
        <v>903</v>
      </c>
      <c r="Q87" s="1611" t="s">
        <v>903</v>
      </c>
      <c r="R87" s="1611" t="s">
        <v>903</v>
      </c>
      <c r="S87" s="1611" t="s">
        <v>903</v>
      </c>
      <c r="T87" s="1611" t="s">
        <v>903</v>
      </c>
      <c r="U87" s="1611" t="s">
        <v>903</v>
      </c>
      <c r="V87" s="1612" t="s">
        <v>903</v>
      </c>
    </row>
    <row r="88" spans="4:26" ht="14.9" customHeight="1" x14ac:dyDescent="0.35">
      <c r="D88" s="184"/>
      <c r="E88" s="159"/>
      <c r="F88" s="159"/>
      <c r="G88" s="159"/>
      <c r="P88" s="1598">
        <v>2022</v>
      </c>
      <c r="Q88" s="1599">
        <v>2022</v>
      </c>
      <c r="R88" s="1599">
        <v>2022</v>
      </c>
      <c r="S88" s="1600">
        <v>2022</v>
      </c>
    </row>
    <row r="89" spans="4:26" ht="17.25" customHeight="1" x14ac:dyDescent="0.35">
      <c r="D89" s="375" t="s">
        <v>501</v>
      </c>
      <c r="E89" s="159"/>
      <c r="F89" s="159"/>
      <c r="G89" s="159"/>
      <c r="P89" s="90" t="s">
        <v>904</v>
      </c>
      <c r="Q89" s="90" t="s">
        <v>905</v>
      </c>
      <c r="R89" s="90" t="s">
        <v>906</v>
      </c>
      <c r="S89" s="90" t="s">
        <v>907</v>
      </c>
      <c r="T89" s="92" t="s">
        <v>921</v>
      </c>
    </row>
    <row r="90" spans="4:26" ht="30" customHeight="1" x14ac:dyDescent="0.35">
      <c r="D90" s="783" t="s">
        <v>502</v>
      </c>
      <c r="E90" s="626">
        <v>2018</v>
      </c>
      <c r="F90" s="626">
        <v>2019</v>
      </c>
      <c r="G90" s="627">
        <v>2020</v>
      </c>
      <c r="H90" s="572">
        <v>2021</v>
      </c>
      <c r="I90" s="573">
        <v>2022</v>
      </c>
      <c r="J90" s="766">
        <v>2023</v>
      </c>
      <c r="K90" s="766">
        <v>2024</v>
      </c>
      <c r="L90" s="767">
        <v>2025</v>
      </c>
      <c r="O90" s="30" t="s">
        <v>500</v>
      </c>
      <c r="P90" s="84">
        <v>2973</v>
      </c>
      <c r="Q90" s="84">
        <v>3062.8</v>
      </c>
      <c r="R90" s="84">
        <v>3085.2</v>
      </c>
      <c r="S90" s="85">
        <v>2106.1999999999998</v>
      </c>
      <c r="T90" s="84">
        <v>3123.2</v>
      </c>
    </row>
    <row r="91" spans="4:26" x14ac:dyDescent="0.35">
      <c r="D91" s="748" t="s">
        <v>493</v>
      </c>
      <c r="E91" s="372">
        <f t="shared" ref="E91:K93" si="20">E84/E76</f>
        <v>0.96346896346896349</v>
      </c>
      <c r="F91" s="372">
        <f t="shared" si="20"/>
        <v>0.98201292275452579</v>
      </c>
      <c r="G91" s="372">
        <f t="shared" si="20"/>
        <v>1.0581572405220632</v>
      </c>
      <c r="H91" s="725">
        <f t="shared" si="20"/>
        <v>0.98243865979709233</v>
      </c>
      <c r="I91" s="726">
        <f t="shared" si="20"/>
        <v>0.9535568899129796</v>
      </c>
      <c r="J91" s="726">
        <f t="shared" si="20"/>
        <v>0.9535568899129796</v>
      </c>
      <c r="K91" s="726">
        <f t="shared" si="20"/>
        <v>0.95355688991297971</v>
      </c>
      <c r="L91" s="727"/>
      <c r="T91" s="188"/>
    </row>
    <row r="92" spans="4:26" x14ac:dyDescent="0.35">
      <c r="D92" s="748" t="s">
        <v>499</v>
      </c>
      <c r="E92" s="372">
        <f t="shared" si="20"/>
        <v>1.1377808148970701</v>
      </c>
      <c r="F92" s="372">
        <f t="shared" si="20"/>
        <v>1.1162940324915553</v>
      </c>
      <c r="G92" s="372">
        <f t="shared" si="20"/>
        <v>1.0880916030534351</v>
      </c>
      <c r="H92" s="691">
        <f t="shared" si="20"/>
        <v>1.1377472437157938</v>
      </c>
      <c r="I92" s="372">
        <f t="shared" si="20"/>
        <v>1.0969979629612152</v>
      </c>
      <c r="J92" s="372">
        <f t="shared" si="20"/>
        <v>1.0969979629612152</v>
      </c>
      <c r="K92" s="372">
        <f t="shared" si="20"/>
        <v>1.0969979629612154</v>
      </c>
      <c r="L92" s="546"/>
    </row>
    <row r="93" spans="4:26" x14ac:dyDescent="0.35">
      <c r="D93" s="748" t="s">
        <v>105</v>
      </c>
      <c r="E93" s="372">
        <f t="shared" si="20"/>
        <v>1.1005135730007336</v>
      </c>
      <c r="F93" s="372">
        <f t="shared" si="20"/>
        <v>1.0257913247362251</v>
      </c>
      <c r="G93" s="372">
        <f t="shared" si="20"/>
        <v>1.0339743589743591</v>
      </c>
      <c r="H93" s="691">
        <f t="shared" si="20"/>
        <v>1.0719185361235097</v>
      </c>
      <c r="I93" s="372">
        <f t="shared" si="20"/>
        <v>1.0667553191489363</v>
      </c>
      <c r="J93" s="372">
        <f t="shared" si="20"/>
        <v>1.0667553191489361</v>
      </c>
      <c r="K93" s="372">
        <f t="shared" si="20"/>
        <v>1.0667553191489361</v>
      </c>
      <c r="L93" s="546"/>
    </row>
    <row r="94" spans="4:26" x14ac:dyDescent="0.35">
      <c r="D94" s="747" t="s">
        <v>258</v>
      </c>
      <c r="E94" s="693">
        <f t="shared" ref="E94:K94" si="21">E87/E81</f>
        <v>1.0161211529066927</v>
      </c>
      <c r="F94" s="693">
        <f t="shared" si="21"/>
        <v>0.95134665508253702</v>
      </c>
      <c r="G94" s="693">
        <f t="shared" si="21"/>
        <v>0.94988207547169801</v>
      </c>
      <c r="H94" s="692">
        <f t="shared" si="21"/>
        <v>0.69648576907250881</v>
      </c>
      <c r="I94" s="693">
        <f t="shared" si="21"/>
        <v>0.77224166621554513</v>
      </c>
      <c r="J94" s="693">
        <f t="shared" si="21"/>
        <v>0.77224166621554513</v>
      </c>
      <c r="K94" s="693">
        <f t="shared" si="21"/>
        <v>0.77224166621554513</v>
      </c>
      <c r="L94" s="347"/>
    </row>
    <row r="96" spans="4:26" x14ac:dyDescent="0.35">
      <c r="D96" s="184"/>
      <c r="E96" s="159"/>
      <c r="F96" s="159"/>
      <c r="G96" s="159"/>
    </row>
    <row r="97" spans="4:12" x14ac:dyDescent="0.35">
      <c r="D97" s="163" t="s">
        <v>503</v>
      </c>
    </row>
    <row r="98" spans="4:12" x14ac:dyDescent="0.35">
      <c r="D98" s="531"/>
      <c r="E98" s="572">
        <v>2018</v>
      </c>
      <c r="F98" s="633">
        <v>2019</v>
      </c>
      <c r="G98" s="633">
        <v>2020</v>
      </c>
      <c r="H98" s="668">
        <v>2021</v>
      </c>
      <c r="I98" s="633">
        <v>2022</v>
      </c>
      <c r="J98" s="646">
        <v>2023</v>
      </c>
      <c r="K98" s="646">
        <v>2024</v>
      </c>
      <c r="L98" s="769">
        <v>2025</v>
      </c>
    </row>
    <row r="99" spans="4:12" x14ac:dyDescent="0.35">
      <c r="D99" s="500" t="s">
        <v>1820</v>
      </c>
      <c r="E99" s="248">
        <v>14016.099999999999</v>
      </c>
      <c r="F99" s="248">
        <v>14604.2</v>
      </c>
      <c r="G99" s="248">
        <v>14711.300000000001</v>
      </c>
      <c r="H99" s="348">
        <v>20725.8</v>
      </c>
      <c r="I99" s="648">
        <v>21482.5</v>
      </c>
      <c r="J99" s="648">
        <v>22812.2</v>
      </c>
      <c r="K99" s="648">
        <v>23945.599999999999</v>
      </c>
      <c r="L99" s="649">
        <v>24950.7</v>
      </c>
    </row>
    <row r="100" spans="4:12" x14ac:dyDescent="0.35">
      <c r="D100" s="684" t="s">
        <v>1821</v>
      </c>
      <c r="E100" s="159">
        <v>8804</v>
      </c>
      <c r="F100" s="159">
        <v>9209</v>
      </c>
      <c r="G100" s="638">
        <v>9300</v>
      </c>
      <c r="H100" s="647">
        <v>10082.5</v>
      </c>
      <c r="I100" s="376">
        <v>10994.5</v>
      </c>
      <c r="J100" s="376">
        <v>11592.6</v>
      </c>
      <c r="K100" s="376">
        <v>12130.9</v>
      </c>
      <c r="L100" s="650">
        <v>12724.9</v>
      </c>
    </row>
    <row r="101" spans="4:12" x14ac:dyDescent="0.35">
      <c r="D101" s="684" t="s">
        <v>1822</v>
      </c>
      <c r="E101" s="159">
        <v>13844</v>
      </c>
      <c r="F101" s="159">
        <v>14403</v>
      </c>
      <c r="G101" s="638">
        <v>14201</v>
      </c>
      <c r="H101" s="647">
        <v>15279.9</v>
      </c>
      <c r="I101" s="376">
        <v>17042.8</v>
      </c>
      <c r="J101" s="376">
        <v>18155</v>
      </c>
      <c r="K101" s="376">
        <v>18926.599999999999</v>
      </c>
      <c r="L101" s="650">
        <v>19683.400000000001</v>
      </c>
    </row>
    <row r="102" spans="4:12" x14ac:dyDescent="0.35">
      <c r="D102" s="688" t="s">
        <v>1824</v>
      </c>
      <c r="E102" s="717">
        <v>2211</v>
      </c>
      <c r="F102" s="717">
        <v>2243</v>
      </c>
      <c r="G102" s="717">
        <v>2125</v>
      </c>
      <c r="H102" s="651">
        <v>2678.6</v>
      </c>
      <c r="I102" s="631">
        <v>2926.6</v>
      </c>
      <c r="J102" s="631">
        <v>2669.9</v>
      </c>
      <c r="K102" s="631">
        <v>2538.6999999999998</v>
      </c>
      <c r="L102" s="652">
        <v>2803.5</v>
      </c>
    </row>
    <row r="104" spans="4:12" x14ac:dyDescent="0.35">
      <c r="D104" s="163" t="s">
        <v>507</v>
      </c>
    </row>
    <row r="105" spans="4:12" x14ac:dyDescent="0.35">
      <c r="D105" s="746" t="s">
        <v>508</v>
      </c>
      <c r="E105" s="573">
        <v>2018</v>
      </c>
      <c r="F105" s="669">
        <v>2019</v>
      </c>
      <c r="G105" s="669">
        <v>2020</v>
      </c>
      <c r="H105" s="668">
        <v>2021</v>
      </c>
      <c r="I105" s="669">
        <v>2022</v>
      </c>
      <c r="J105" s="760">
        <v>2023</v>
      </c>
      <c r="K105" s="760">
        <v>2024</v>
      </c>
      <c r="L105" s="769">
        <v>2025</v>
      </c>
    </row>
    <row r="106" spans="4:12" x14ac:dyDescent="0.35">
      <c r="D106" s="773" t="s">
        <v>493</v>
      </c>
      <c r="E106" s="728">
        <f t="shared" ref="E106:L108" si="22">E76/E99</f>
        <v>0.12011187134794987</v>
      </c>
      <c r="F106" s="706">
        <f t="shared" si="22"/>
        <v>0.11763054463784391</v>
      </c>
      <c r="G106" s="704">
        <f t="shared" si="22"/>
        <v>0.10937170746297063</v>
      </c>
      <c r="H106" s="706">
        <f t="shared" si="22"/>
        <v>9.8639232261239621E-2</v>
      </c>
      <c r="I106" s="706">
        <f t="shared" si="22"/>
        <v>0.12252507855231001</v>
      </c>
      <c r="J106" s="706">
        <f t="shared" si="22"/>
        <v>0.11058639675261482</v>
      </c>
      <c r="K106" s="706">
        <f t="shared" si="22"/>
        <v>0.10302627622611252</v>
      </c>
      <c r="L106" s="704">
        <f t="shared" si="22"/>
        <v>0.10063649516847223</v>
      </c>
    </row>
    <row r="107" spans="4:12" x14ac:dyDescent="0.35">
      <c r="D107" s="773" t="s">
        <v>495</v>
      </c>
      <c r="E107" s="718">
        <f t="shared" si="22"/>
        <v>0.13297364834166289</v>
      </c>
      <c r="F107" s="658">
        <f t="shared" si="22"/>
        <v>0.13502008904332718</v>
      </c>
      <c r="G107" s="705">
        <f t="shared" si="22"/>
        <v>0.14086021505376345</v>
      </c>
      <c r="H107" s="658">
        <f t="shared" si="22"/>
        <v>0.1303335482271262</v>
      </c>
      <c r="I107" s="658">
        <f t="shared" si="22"/>
        <v>0.1349334667333667</v>
      </c>
      <c r="J107" s="658">
        <f t="shared" si="22"/>
        <v>0.13476769663405966</v>
      </c>
      <c r="K107" s="658">
        <f t="shared" si="22"/>
        <v>0.13460823187067739</v>
      </c>
      <c r="L107" s="705">
        <f t="shared" si="22"/>
        <v>0.1338159828368003</v>
      </c>
    </row>
    <row r="108" spans="4:12" x14ac:dyDescent="0.35">
      <c r="D108" s="684" t="s">
        <v>509</v>
      </c>
      <c r="E108" s="718">
        <f t="shared" si="22"/>
        <v>9.8454203987286912E-3</v>
      </c>
      <c r="F108" s="658">
        <f t="shared" si="22"/>
        <v>1.1844754565021176E-2</v>
      </c>
      <c r="G108" s="705">
        <f t="shared" si="22"/>
        <v>1.0985141891416098E-2</v>
      </c>
      <c r="H108" s="658">
        <f t="shared" si="22"/>
        <v>1.016099581803546E-2</v>
      </c>
      <c r="I108" s="658">
        <f t="shared" si="22"/>
        <v>1.1031051235712443E-2</v>
      </c>
      <c r="J108" s="658">
        <f t="shared" si="22"/>
        <v>1.0465436518865326E-2</v>
      </c>
      <c r="K108" s="658">
        <f t="shared" si="22"/>
        <v>1.0461466930140649E-2</v>
      </c>
      <c r="L108" s="705">
        <f t="shared" si="22"/>
        <v>1.0059237733318431E-2</v>
      </c>
    </row>
    <row r="109" spans="4:12" x14ac:dyDescent="0.35">
      <c r="D109" s="774" t="s">
        <v>106</v>
      </c>
      <c r="E109" s="694">
        <f t="shared" ref="E109:L109" si="23">E81/E102</f>
        <v>9.258254183627318E-2</v>
      </c>
      <c r="F109" s="695">
        <f t="shared" si="23"/>
        <v>0.10263040570664288</v>
      </c>
      <c r="G109" s="696">
        <f t="shared" si="23"/>
        <v>9.9764705882352936E-2</v>
      </c>
      <c r="H109" s="695">
        <f t="shared" si="23"/>
        <v>0.13881542596878968</v>
      </c>
      <c r="I109" s="695">
        <f t="shared" si="23"/>
        <v>0.14517426365065264</v>
      </c>
      <c r="J109" s="695">
        <f t="shared" si="23"/>
        <v>0.1780516124199408</v>
      </c>
      <c r="K109" s="695">
        <f t="shared" si="23"/>
        <v>0.18848899042817191</v>
      </c>
      <c r="L109" s="696">
        <f t="shared" si="23"/>
        <v>0.174278937042982</v>
      </c>
    </row>
    <row r="111" spans="4:12" x14ac:dyDescent="0.35">
      <c r="D111" s="163" t="s">
        <v>510</v>
      </c>
    </row>
    <row r="112" spans="4:12" x14ac:dyDescent="0.35">
      <c r="D112" s="780" t="s">
        <v>352</v>
      </c>
    </row>
    <row r="113" spans="4:30" x14ac:dyDescent="0.35">
      <c r="D113" s="746" t="s">
        <v>511</v>
      </c>
      <c r="E113" s="626">
        <v>2018</v>
      </c>
      <c r="F113" s="662">
        <v>2019</v>
      </c>
      <c r="G113" s="662">
        <v>2020</v>
      </c>
      <c r="H113" s="667">
        <v>2021</v>
      </c>
      <c r="I113" s="662">
        <v>2022</v>
      </c>
      <c r="J113" s="770">
        <v>2023</v>
      </c>
      <c r="K113" s="770">
        <v>2024</v>
      </c>
      <c r="L113" s="771">
        <v>2025</v>
      </c>
    </row>
    <row r="114" spans="4:30" ht="20.25" customHeight="1" x14ac:dyDescent="0.35">
      <c r="D114" s="749" t="s">
        <v>493</v>
      </c>
      <c r="E114" s="728">
        <f t="shared" ref="E114:G117" si="24">E106*E91</f>
        <v>0.11572406018792676</v>
      </c>
      <c r="F114" s="706">
        <f t="shared" si="24"/>
        <v>0.11551471494501581</v>
      </c>
      <c r="G114" s="706">
        <f t="shared" si="24"/>
        <v>0.11573246416020334</v>
      </c>
      <c r="H114" s="728">
        <f>N133</f>
        <v>0.13083976407289996</v>
      </c>
      <c r="I114" s="706">
        <f>H114</f>
        <v>0.13083976407289996</v>
      </c>
      <c r="J114" s="706">
        <f t="shared" ref="J114:L114" si="25">I114</f>
        <v>0.13083976407289996</v>
      </c>
      <c r="K114" s="706">
        <f t="shared" si="25"/>
        <v>0.13083976407289996</v>
      </c>
      <c r="L114" s="704">
        <f t="shared" si="25"/>
        <v>0.13083976407289996</v>
      </c>
      <c r="M114" s="776"/>
      <c r="N114" s="775"/>
      <c r="O114" s="658"/>
      <c r="P114" s="658"/>
      <c r="Q114" s="658"/>
      <c r="R114" s="658"/>
      <c r="S114" s="658"/>
      <c r="T114" s="658"/>
      <c r="U114" s="658"/>
      <c r="V114" s="658"/>
      <c r="W114" s="658"/>
      <c r="X114" s="658"/>
      <c r="Y114" s="658"/>
    </row>
    <row r="115" spans="4:30" ht="18.75" customHeight="1" x14ac:dyDescent="0.35">
      <c r="D115" s="749" t="s">
        <v>495</v>
      </c>
      <c r="E115" s="718">
        <f t="shared" si="24"/>
        <v>0.15129486597001363</v>
      </c>
      <c r="F115" s="658">
        <f t="shared" si="24"/>
        <v>0.15072211966554458</v>
      </c>
      <c r="G115" s="658">
        <f t="shared" si="24"/>
        <v>0.15326881720430108</v>
      </c>
      <c r="H115" s="718">
        <f>N135</f>
        <v>0.14822588114733906</v>
      </c>
      <c r="I115" s="658">
        <f>H115</f>
        <v>0.14822588114733906</v>
      </c>
      <c r="J115" s="658">
        <f>I115</f>
        <v>0.14822588114733906</v>
      </c>
      <c r="K115" s="658">
        <f t="shared" ref="K115:L115" si="26">J115</f>
        <v>0.14822588114733906</v>
      </c>
      <c r="L115" s="705">
        <f t="shared" si="26"/>
        <v>0.14822588114733906</v>
      </c>
      <c r="M115" s="776"/>
      <c r="N115" s="775"/>
      <c r="O115" s="658"/>
      <c r="P115" s="658"/>
      <c r="Q115" s="658"/>
      <c r="R115" s="658"/>
      <c r="S115" s="658"/>
      <c r="T115" s="658"/>
      <c r="U115" s="658"/>
      <c r="V115" s="658"/>
      <c r="W115" s="658"/>
      <c r="X115" s="658"/>
      <c r="Y115" s="658"/>
    </row>
    <row r="116" spans="4:30" ht="19.399999999999999" customHeight="1" x14ac:dyDescent="0.35">
      <c r="D116" s="748" t="s">
        <v>105</v>
      </c>
      <c r="E116" s="718">
        <f t="shared" si="24"/>
        <v>1.0835018780699219E-2</v>
      </c>
      <c r="F116" s="658">
        <f t="shared" si="24"/>
        <v>1.2150246476428523E-2</v>
      </c>
      <c r="G116" s="658">
        <f t="shared" si="24"/>
        <v>1.1358355045419337E-2</v>
      </c>
      <c r="H116" s="718">
        <f>N136</f>
        <v>1.1211939165902553E-2</v>
      </c>
      <c r="I116" s="658">
        <f>AVERAGE($F93:$G93)*I108</f>
        <v>1.1360690395286862E-2</v>
      </c>
      <c r="J116" s="658">
        <f>AVERAGE($F93:$G93)*J108</f>
        <v>1.0778173503305177E-2</v>
      </c>
      <c r="K116" s="658">
        <f>J116</f>
        <v>1.0778173503305177E-2</v>
      </c>
      <c r="L116" s="705">
        <f>K116</f>
        <v>1.0778173503305177E-2</v>
      </c>
      <c r="M116" s="776"/>
      <c r="N116" s="775"/>
      <c r="O116" s="658"/>
      <c r="P116" s="658"/>
      <c r="Q116" s="658"/>
      <c r="R116" s="658"/>
      <c r="S116" s="658"/>
      <c r="T116" s="658"/>
      <c r="U116" s="658"/>
      <c r="V116" s="658"/>
      <c r="W116" s="658"/>
      <c r="X116" s="658"/>
      <c r="Y116" s="658"/>
    </row>
    <row r="117" spans="4:30" ht="19.399999999999999" customHeight="1" x14ac:dyDescent="0.35">
      <c r="D117" s="750" t="s">
        <v>106</v>
      </c>
      <c r="E117" s="694">
        <f t="shared" si="24"/>
        <v>9.4075079149706017E-2</v>
      </c>
      <c r="F117" s="695">
        <f t="shared" si="24"/>
        <v>9.7637093178778417E-2</v>
      </c>
      <c r="G117" s="695">
        <f t="shared" si="24"/>
        <v>9.4764705882352931E-2</v>
      </c>
      <c r="H117" s="694">
        <f>M137</f>
        <v>0.11594202898550723</v>
      </c>
      <c r="I117" s="695">
        <f>N137</f>
        <v>0.11690415853101242</v>
      </c>
      <c r="J117" s="695">
        <f>I117</f>
        <v>0.11690415853101242</v>
      </c>
      <c r="K117" s="695">
        <f>J117</f>
        <v>0.11690415853101242</v>
      </c>
      <c r="L117" s="696">
        <f>K117</f>
        <v>0.11690415853101242</v>
      </c>
      <c r="M117" s="776"/>
      <c r="N117" s="775"/>
      <c r="O117" s="658"/>
      <c r="P117" s="658"/>
      <c r="Q117" s="658"/>
      <c r="R117" s="658"/>
      <c r="S117" s="658"/>
      <c r="T117" s="658"/>
      <c r="U117" s="658"/>
      <c r="V117" s="658"/>
      <c r="W117" s="658"/>
      <c r="X117" s="658"/>
      <c r="Y117" s="658"/>
    </row>
    <row r="118" spans="4:30" x14ac:dyDescent="0.35">
      <c r="E118" s="665"/>
      <c r="F118" s="665"/>
      <c r="G118" s="665"/>
      <c r="H118" s="665"/>
      <c r="I118" s="665"/>
      <c r="J118" s="665"/>
      <c r="K118" s="665"/>
      <c r="L118" s="665"/>
    </row>
    <row r="119" spans="4:30" x14ac:dyDescent="0.35">
      <c r="D119" s="779" t="s">
        <v>365</v>
      </c>
      <c r="E119" s="658"/>
      <c r="F119" s="658"/>
      <c r="G119" s="658"/>
      <c r="H119" s="658"/>
      <c r="I119" s="658"/>
      <c r="J119" s="658"/>
      <c r="K119" s="658"/>
      <c r="L119" s="658"/>
      <c r="M119" s="658"/>
      <c r="N119" s="658"/>
      <c r="O119" s="658"/>
      <c r="P119" s="658"/>
      <c r="Q119" s="658"/>
      <c r="R119" s="658"/>
      <c r="S119" s="658"/>
      <c r="T119" s="658"/>
      <c r="U119" s="658"/>
      <c r="V119" s="658"/>
      <c r="W119" s="658"/>
      <c r="X119" s="658"/>
      <c r="Y119" s="658"/>
    </row>
    <row r="120" spans="4:30" x14ac:dyDescent="0.35">
      <c r="D120" s="1727" t="s">
        <v>1835</v>
      </c>
      <c r="E120" s="1744"/>
      <c r="F120" s="1624">
        <v>2019</v>
      </c>
      <c r="G120" s="1646"/>
      <c r="H120" s="1661"/>
      <c r="I120" s="1624">
        <v>2020</v>
      </c>
      <c r="J120" s="1646"/>
      <c r="K120" s="1646"/>
      <c r="L120" s="1661"/>
      <c r="M120" s="1624">
        <v>2021</v>
      </c>
      <c r="N120" s="1646"/>
      <c r="O120" s="1646"/>
      <c r="P120" s="1646"/>
      <c r="Q120" s="1624">
        <v>2022</v>
      </c>
      <c r="R120" s="1625"/>
      <c r="S120" s="1625"/>
      <c r="T120" s="1661"/>
      <c r="U120" s="1228"/>
      <c r="V120" s="1229">
        <v>2023</v>
      </c>
      <c r="W120" s="1229"/>
      <c r="X120" s="1230"/>
      <c r="Y120" s="1633">
        <v>2024</v>
      </c>
      <c r="Z120" s="1631"/>
      <c r="AA120" s="1631"/>
      <c r="AB120" s="1632"/>
      <c r="AC120" s="178">
        <v>2025</v>
      </c>
    </row>
    <row r="121" spans="4:30" x14ac:dyDescent="0.35">
      <c r="D121" s="1745"/>
      <c r="E121" s="1746"/>
      <c r="F121" s="118" t="s">
        <v>284</v>
      </c>
      <c r="G121" s="132" t="s">
        <v>238</v>
      </c>
      <c r="H121" s="115" t="s">
        <v>282</v>
      </c>
      <c r="I121" s="118" t="s">
        <v>283</v>
      </c>
      <c r="J121" s="132" t="s">
        <v>284</v>
      </c>
      <c r="K121" s="132" t="s">
        <v>238</v>
      </c>
      <c r="L121" s="115" t="s">
        <v>282</v>
      </c>
      <c r="M121" s="118" t="s">
        <v>283</v>
      </c>
      <c r="N121" s="132" t="s">
        <v>284</v>
      </c>
      <c r="O121" s="132" t="s">
        <v>238</v>
      </c>
      <c r="P121" s="132" t="s">
        <v>282</v>
      </c>
      <c r="Q121" s="118" t="s">
        <v>283</v>
      </c>
      <c r="R121" s="132" t="s">
        <v>284</v>
      </c>
      <c r="S121" s="132" t="s">
        <v>238</v>
      </c>
      <c r="T121" s="115" t="s">
        <v>282</v>
      </c>
      <c r="U121" s="1127" t="s">
        <v>283</v>
      </c>
      <c r="V121" s="190" t="s">
        <v>284</v>
      </c>
      <c r="W121" s="190" t="s">
        <v>238</v>
      </c>
      <c r="X121" s="191" t="s">
        <v>282</v>
      </c>
      <c r="Y121" s="189" t="s">
        <v>283</v>
      </c>
      <c r="Z121" s="186" t="s">
        <v>284</v>
      </c>
      <c r="AA121" s="190" t="s">
        <v>238</v>
      </c>
      <c r="AB121" s="190" t="s">
        <v>282</v>
      </c>
      <c r="AC121" s="324" t="s">
        <v>283</v>
      </c>
      <c r="AD121" s="658"/>
    </row>
    <row r="122" spans="4:30" x14ac:dyDescent="0.35">
      <c r="D122" s="784" t="s">
        <v>504</v>
      </c>
      <c r="E122" s="653"/>
      <c r="F122" s="248">
        <f t="shared" ref="F122:AC122" si="27">F123+F124</f>
        <v>0</v>
      </c>
      <c r="G122" s="248">
        <f t="shared" si="27"/>
        <v>0</v>
      </c>
      <c r="H122" s="248">
        <f t="shared" si="27"/>
        <v>0</v>
      </c>
      <c r="I122" s="248">
        <f t="shared" si="27"/>
        <v>15134.800000000001</v>
      </c>
      <c r="J122" s="248">
        <f t="shared" si="27"/>
        <v>14265.5</v>
      </c>
      <c r="K122" s="248">
        <f t="shared" si="27"/>
        <v>14943.5</v>
      </c>
      <c r="L122" s="248">
        <f t="shared" si="27"/>
        <v>15319.300000000001</v>
      </c>
      <c r="M122" s="248">
        <f t="shared" si="27"/>
        <v>15357.6</v>
      </c>
      <c r="N122" s="248">
        <f t="shared" si="27"/>
        <v>15825.2</v>
      </c>
      <c r="O122" s="248">
        <f t="shared" si="27"/>
        <v>16160.699999999999</v>
      </c>
      <c r="P122" s="248">
        <f t="shared" si="27"/>
        <v>16536.3</v>
      </c>
      <c r="Q122" s="248">
        <f t="shared" si="27"/>
        <v>16751.7</v>
      </c>
      <c r="R122" s="248">
        <f t="shared" si="27"/>
        <v>16992.3</v>
      </c>
      <c r="S122" s="248">
        <f t="shared" si="27"/>
        <v>17266.900000000001</v>
      </c>
      <c r="T122" s="1429">
        <f t="shared" si="27"/>
        <v>17639.8</v>
      </c>
      <c r="U122" s="1430">
        <f t="shared" si="27"/>
        <v>17860.099999999999</v>
      </c>
      <c r="V122" s="661">
        <f t="shared" si="27"/>
        <v>18096.2</v>
      </c>
      <c r="W122" s="661">
        <f>W123+W124</f>
        <v>18317.400000000001</v>
      </c>
      <c r="X122" s="661">
        <f t="shared" si="27"/>
        <v>18552.3</v>
      </c>
      <c r="Y122" s="661">
        <f t="shared" si="27"/>
        <v>18754.800000000003</v>
      </c>
      <c r="Z122" s="661">
        <f t="shared" si="27"/>
        <v>18946.099999999999</v>
      </c>
      <c r="AA122" s="661">
        <f t="shared" si="27"/>
        <v>19138.2</v>
      </c>
      <c r="AB122" s="661">
        <f t="shared" si="27"/>
        <v>19333.099999999999</v>
      </c>
      <c r="AC122" s="660">
        <f t="shared" si="27"/>
        <v>19534.599999999999</v>
      </c>
      <c r="AD122" s="658"/>
    </row>
    <row r="123" spans="4:30" x14ac:dyDescent="0.35">
      <c r="D123" s="738" t="s">
        <v>1821</v>
      </c>
      <c r="E123" s="504"/>
      <c r="F123" s="638"/>
      <c r="G123" s="638"/>
      <c r="H123" s="638"/>
      <c r="I123" s="376">
        <v>9624.7000000000007</v>
      </c>
      <c r="J123" s="376">
        <v>8995.7000000000007</v>
      </c>
      <c r="K123" s="376">
        <v>9425.4</v>
      </c>
      <c r="L123" s="376">
        <v>9783.7000000000007</v>
      </c>
      <c r="M123" s="376">
        <v>9851.2000000000007</v>
      </c>
      <c r="N123" s="376">
        <v>10138.5</v>
      </c>
      <c r="O123" s="376">
        <v>10422.299999999999</v>
      </c>
      <c r="P123" s="376">
        <v>10748.4</v>
      </c>
      <c r="Q123" s="376">
        <v>10925.5</v>
      </c>
      <c r="R123" s="376">
        <v>11058</v>
      </c>
      <c r="S123" s="376">
        <v>11245.9</v>
      </c>
      <c r="T123" s="1301">
        <v>11411.5</v>
      </c>
      <c r="U123" s="1431">
        <v>11537.2</v>
      </c>
      <c r="V123" s="377">
        <v>11648</v>
      </c>
      <c r="W123" s="377">
        <v>11773.6</v>
      </c>
      <c r="X123" s="377">
        <v>11917.1</v>
      </c>
      <c r="Y123" s="377">
        <v>12060.2</v>
      </c>
      <c r="Z123" s="377">
        <v>12201.2</v>
      </c>
      <c r="AA123" s="377">
        <v>12345.2</v>
      </c>
      <c r="AB123" s="377">
        <v>12495.8</v>
      </c>
      <c r="AC123" s="378">
        <v>12653.4</v>
      </c>
      <c r="AD123" s="658"/>
    </row>
    <row r="124" spans="4:30" x14ac:dyDescent="0.35">
      <c r="D124" s="195" t="s">
        <v>1825</v>
      </c>
      <c r="E124" s="473"/>
      <c r="F124" s="638"/>
      <c r="G124" s="638"/>
      <c r="H124" s="638"/>
      <c r="I124" s="376">
        <v>5510.1</v>
      </c>
      <c r="J124" s="376">
        <v>5269.8</v>
      </c>
      <c r="K124" s="376">
        <v>5518.1</v>
      </c>
      <c r="L124" s="376">
        <v>5535.6</v>
      </c>
      <c r="M124" s="376">
        <v>5506.4</v>
      </c>
      <c r="N124" s="376">
        <v>5686.7</v>
      </c>
      <c r="O124" s="376">
        <v>5738.4</v>
      </c>
      <c r="P124" s="376">
        <v>5787.9</v>
      </c>
      <c r="Q124" s="376">
        <v>5826.2</v>
      </c>
      <c r="R124" s="376">
        <v>5934.3</v>
      </c>
      <c r="S124" s="376">
        <v>6021</v>
      </c>
      <c r="T124" s="1301">
        <v>6228.3</v>
      </c>
      <c r="U124" s="1431">
        <v>6322.9</v>
      </c>
      <c r="V124" s="377">
        <v>6448.2</v>
      </c>
      <c r="W124" s="377">
        <v>6543.8</v>
      </c>
      <c r="X124" s="377">
        <v>6635.2</v>
      </c>
      <c r="Y124" s="377">
        <v>6694.6</v>
      </c>
      <c r="Z124" s="377">
        <v>6744.9</v>
      </c>
      <c r="AA124" s="377">
        <v>6793</v>
      </c>
      <c r="AB124" s="377">
        <v>6837.3</v>
      </c>
      <c r="AC124" s="378">
        <v>6881.2</v>
      </c>
      <c r="AD124" s="658"/>
    </row>
    <row r="125" spans="4:30" x14ac:dyDescent="0.35">
      <c r="D125" s="195" t="s">
        <v>1822</v>
      </c>
      <c r="E125" s="473"/>
      <c r="F125" s="638"/>
      <c r="G125" s="638"/>
      <c r="H125" s="638"/>
      <c r="I125" s="376">
        <v>14440.2</v>
      </c>
      <c r="J125" s="376">
        <v>13049.8</v>
      </c>
      <c r="K125" s="376">
        <v>14388.7</v>
      </c>
      <c r="L125" s="376">
        <v>14586</v>
      </c>
      <c r="M125" s="376">
        <v>15131.5</v>
      </c>
      <c r="N125" s="376">
        <v>15813.5</v>
      </c>
      <c r="O125" s="376">
        <v>16147.3</v>
      </c>
      <c r="P125" s="376">
        <v>16518</v>
      </c>
      <c r="Q125" s="376">
        <v>16874.8</v>
      </c>
      <c r="R125" s="376">
        <v>17261.3</v>
      </c>
      <c r="S125" s="376">
        <v>17517.099999999999</v>
      </c>
      <c r="T125" s="1301">
        <v>17851.099999999999</v>
      </c>
      <c r="U125" s="1431">
        <v>18063.900000000001</v>
      </c>
      <c r="V125" s="377">
        <v>18252.3</v>
      </c>
      <c r="W125" s="377">
        <v>18452.8</v>
      </c>
      <c r="X125" s="377">
        <v>18649.400000000001</v>
      </c>
      <c r="Y125" s="377">
        <v>18836.5</v>
      </c>
      <c r="Z125" s="377">
        <v>19019.400000000001</v>
      </c>
      <c r="AA125" s="377">
        <v>19200.900000000001</v>
      </c>
      <c r="AB125" s="377">
        <v>19391.900000000001</v>
      </c>
      <c r="AC125" s="378">
        <v>19588.599999999999</v>
      </c>
      <c r="AD125" s="658"/>
    </row>
    <row r="126" spans="4:30" x14ac:dyDescent="0.35">
      <c r="D126" s="583" t="s">
        <v>1823</v>
      </c>
      <c r="E126" s="499"/>
      <c r="F126" s="499"/>
      <c r="G126" s="499"/>
      <c r="H126" s="717"/>
      <c r="I126" s="631">
        <v>1736.3</v>
      </c>
      <c r="J126" s="631">
        <v>1597.1</v>
      </c>
      <c r="K126" s="631">
        <v>2041.1</v>
      </c>
      <c r="L126" s="631">
        <v>1947.4</v>
      </c>
      <c r="M126" s="631">
        <v>2152.8000000000002</v>
      </c>
      <c r="N126" s="631">
        <v>2407.1</v>
      </c>
      <c r="O126" s="631">
        <v>2431.8000000000002</v>
      </c>
      <c r="P126" s="631">
        <v>2443.1999999999998</v>
      </c>
      <c r="Q126" s="631">
        <v>2432.6999999999998</v>
      </c>
      <c r="R126" s="631">
        <v>2538.9</v>
      </c>
      <c r="S126" s="631">
        <v>2512.1</v>
      </c>
      <c r="T126" s="631">
        <v>2378.9</v>
      </c>
      <c r="U126" s="655">
        <v>2219.1999999999998</v>
      </c>
      <c r="V126" s="654">
        <v>2093.4</v>
      </c>
      <c r="W126" s="654">
        <v>2022.5</v>
      </c>
      <c r="X126" s="654">
        <v>1970.7</v>
      </c>
      <c r="Y126" s="654">
        <v>1993</v>
      </c>
      <c r="Z126" s="654">
        <v>2028.7</v>
      </c>
      <c r="AA126" s="654">
        <v>2079.1999999999998</v>
      </c>
      <c r="AB126" s="654">
        <v>2151.1</v>
      </c>
      <c r="AC126" s="655">
        <v>2220.5</v>
      </c>
    </row>
    <row r="127" spans="4:30" ht="18.75" customHeight="1" x14ac:dyDescent="0.35"/>
    <row r="128" spans="4:30" x14ac:dyDescent="0.35">
      <c r="D128" s="785"/>
      <c r="E128" s="504"/>
      <c r="F128" s="504"/>
      <c r="G128" s="504"/>
      <c r="H128" s="638"/>
      <c r="I128" s="638"/>
      <c r="J128" s="638"/>
      <c r="K128" s="638"/>
      <c r="L128" s="638"/>
      <c r="M128" s="638"/>
      <c r="N128" s="638"/>
      <c r="O128" s="638"/>
      <c r="P128" s="638"/>
      <c r="Q128" s="638"/>
      <c r="R128" s="638"/>
      <c r="S128" s="638"/>
      <c r="T128" s="638"/>
      <c r="U128" s="638"/>
      <c r="V128" s="638"/>
      <c r="W128" s="638"/>
      <c r="X128" s="638"/>
      <c r="Y128" s="638"/>
      <c r="Z128" s="638"/>
      <c r="AA128" s="638"/>
      <c r="AB128" s="638"/>
      <c r="AC128" s="638"/>
    </row>
    <row r="129" spans="4:32" x14ac:dyDescent="0.35">
      <c r="D129" s="431"/>
      <c r="AC129" s="35"/>
    </row>
    <row r="130" spans="4:32" x14ac:dyDescent="0.35">
      <c r="D130" s="1727" t="s">
        <v>513</v>
      </c>
      <c r="E130" s="1744"/>
      <c r="F130" s="1624">
        <v>2019</v>
      </c>
      <c r="G130" s="1646"/>
      <c r="H130" s="1661"/>
      <c r="I130" s="1646">
        <v>2020</v>
      </c>
      <c r="J130" s="1646"/>
      <c r="K130" s="1646"/>
      <c r="L130" s="1661"/>
      <c r="M130" s="1624">
        <v>2021</v>
      </c>
      <c r="N130" s="1646"/>
      <c r="O130" s="1646"/>
      <c r="P130" s="1646"/>
      <c r="Q130" s="1624">
        <v>2022</v>
      </c>
      <c r="R130" s="1625"/>
      <c r="S130" s="1625"/>
      <c r="T130" s="1661"/>
      <c r="U130" s="1228"/>
      <c r="V130" s="1229">
        <v>2023</v>
      </c>
      <c r="W130" s="1229"/>
      <c r="X130" s="1230"/>
      <c r="Y130" s="1633">
        <v>2024</v>
      </c>
      <c r="Z130" s="1631"/>
      <c r="AA130" s="1631"/>
      <c r="AB130" s="1632"/>
      <c r="AC130" s="178">
        <v>2025</v>
      </c>
    </row>
    <row r="131" spans="4:32" x14ac:dyDescent="0.35">
      <c r="D131" s="1745"/>
      <c r="E131" s="1746"/>
      <c r="F131" s="118" t="s">
        <v>284</v>
      </c>
      <c r="G131" s="132" t="s">
        <v>238</v>
      </c>
      <c r="H131" s="115" t="s">
        <v>282</v>
      </c>
      <c r="I131" s="132" t="s">
        <v>283</v>
      </c>
      <c r="J131" s="132" t="s">
        <v>284</v>
      </c>
      <c r="K131" s="132" t="s">
        <v>238</v>
      </c>
      <c r="L131" s="115" t="s">
        <v>282</v>
      </c>
      <c r="M131" s="118" t="s">
        <v>283</v>
      </c>
      <c r="N131" s="132" t="s">
        <v>284</v>
      </c>
      <c r="O131" s="132" t="s">
        <v>238</v>
      </c>
      <c r="P131" s="132" t="s">
        <v>282</v>
      </c>
      <c r="Q131" s="118" t="s">
        <v>283</v>
      </c>
      <c r="R131" s="132" t="s">
        <v>284</v>
      </c>
      <c r="S131" s="132" t="s">
        <v>238</v>
      </c>
      <c r="T131" s="115" t="s">
        <v>282</v>
      </c>
      <c r="U131" s="1300" t="s">
        <v>283</v>
      </c>
      <c r="V131" s="190" t="s">
        <v>284</v>
      </c>
      <c r="W131" s="190" t="s">
        <v>238</v>
      </c>
      <c r="X131" s="191" t="s">
        <v>282</v>
      </c>
      <c r="Y131" s="189" t="s">
        <v>283</v>
      </c>
      <c r="Z131" s="186" t="s">
        <v>284</v>
      </c>
      <c r="AA131" s="190" t="s">
        <v>238</v>
      </c>
      <c r="AB131" s="190" t="s">
        <v>282</v>
      </c>
      <c r="AC131" s="192" t="s">
        <v>283</v>
      </c>
    </row>
    <row r="132" spans="4:32" x14ac:dyDescent="0.35">
      <c r="D132" s="1742" t="s">
        <v>514</v>
      </c>
      <c r="E132" s="1743"/>
      <c r="F132" s="171"/>
      <c r="G132" s="172"/>
      <c r="H132" s="172"/>
      <c r="I132" s="172"/>
      <c r="J132" s="172"/>
      <c r="K132" s="172"/>
      <c r="L132" s="172"/>
      <c r="M132" s="172"/>
      <c r="N132" s="172"/>
      <c r="O132" s="172"/>
      <c r="P132" s="172"/>
      <c r="Q132" s="172"/>
      <c r="R132" s="172"/>
      <c r="S132" s="172"/>
      <c r="T132" s="703"/>
      <c r="U132" s="1330"/>
      <c r="V132" s="1267"/>
      <c r="W132" s="1267"/>
      <c r="X132" s="1267"/>
      <c r="Y132" s="1267"/>
      <c r="Z132" s="1267"/>
      <c r="AA132" s="1267"/>
      <c r="AB132" s="1267"/>
      <c r="AC132" s="1268"/>
    </row>
    <row r="133" spans="4:32" x14ac:dyDescent="0.35">
      <c r="D133" s="421" t="s">
        <v>484</v>
      </c>
      <c r="F133" s="718"/>
      <c r="G133" s="658"/>
      <c r="H133" s="658">
        <f t="shared" ref="H133:T133" si="28">H10/H140</f>
        <v>0.11520931070611083</v>
      </c>
      <c r="I133" s="658">
        <f t="shared" si="28"/>
        <v>0.11566144134388082</v>
      </c>
      <c r="J133" s="658">
        <f t="shared" si="28"/>
        <v>0.11281835698020669</v>
      </c>
      <c r="K133" s="658">
        <f t="shared" si="28"/>
        <v>0.11518678305073408</v>
      </c>
      <c r="L133" s="658">
        <f t="shared" si="28"/>
        <v>0.11990448353254346</v>
      </c>
      <c r="M133" s="658">
        <f t="shared" si="28"/>
        <v>0.12789328127541891</v>
      </c>
      <c r="N133" s="658">
        <f t="shared" si="28"/>
        <v>0.13083976407289996</v>
      </c>
      <c r="O133" s="658">
        <f t="shared" si="28"/>
        <v>0.13349080813015168</v>
      </c>
      <c r="P133" s="658">
        <f t="shared" si="28"/>
        <v>0.13507699001667917</v>
      </c>
      <c r="Q133" s="658">
        <f t="shared" si="28"/>
        <v>0.15293907130714859</v>
      </c>
      <c r="R133" s="658">
        <f t="shared" si="28"/>
        <v>0.15280309534169892</v>
      </c>
      <c r="S133" s="702">
        <f t="shared" si="28"/>
        <v>0.15189254768024193</v>
      </c>
      <c r="T133" s="1433">
        <f t="shared" si="28"/>
        <v>0.14987727493807193</v>
      </c>
      <c r="U133" s="713">
        <f t="shared" ref="U133" si="29">U10/U140</f>
        <v>0.1349236013098512</v>
      </c>
      <c r="V133" s="659">
        <f t="shared" ref="V133:AC133" si="30">U133+V134</f>
        <v>0.1349236013098512</v>
      </c>
      <c r="W133" s="659">
        <f t="shared" si="30"/>
        <v>0.1349236013098512</v>
      </c>
      <c r="X133" s="659">
        <f t="shared" si="30"/>
        <v>0.1349236013098512</v>
      </c>
      <c r="Y133" s="659">
        <f t="shared" si="30"/>
        <v>0.1349236013098512</v>
      </c>
      <c r="Z133" s="659">
        <f t="shared" si="30"/>
        <v>0.1349236013098512</v>
      </c>
      <c r="AA133" s="659">
        <f t="shared" si="30"/>
        <v>0.1349236013098512</v>
      </c>
      <c r="AB133" s="659">
        <f t="shared" si="30"/>
        <v>0.1349236013098512</v>
      </c>
      <c r="AC133" s="659">
        <f t="shared" si="30"/>
        <v>0.1349236013098512</v>
      </c>
    </row>
    <row r="134" spans="4:32" x14ac:dyDescent="0.35">
      <c r="D134" s="421" t="s">
        <v>898</v>
      </c>
      <c r="F134" s="718"/>
      <c r="G134" s="658"/>
      <c r="H134" s="658"/>
      <c r="I134" s="658"/>
      <c r="J134" s="658"/>
      <c r="K134" s="658"/>
      <c r="L134" s="658"/>
      <c r="M134" s="658"/>
      <c r="N134" s="658"/>
      <c r="O134" s="658"/>
      <c r="P134" s="658"/>
      <c r="Q134" s="658"/>
      <c r="R134" s="658"/>
      <c r="S134" s="702"/>
      <c r="T134" s="1433"/>
      <c r="U134" s="713"/>
      <c r="V134" s="659"/>
      <c r="W134" s="659"/>
      <c r="X134" s="659"/>
      <c r="Y134" s="659"/>
      <c r="Z134" s="659"/>
      <c r="AA134" s="659"/>
      <c r="AB134" s="659"/>
      <c r="AC134" s="659"/>
    </row>
    <row r="135" spans="4:32" x14ac:dyDescent="0.35">
      <c r="D135" s="421" t="s">
        <v>485</v>
      </c>
      <c r="F135" s="718"/>
      <c r="G135" s="658"/>
      <c r="H135" s="658">
        <f t="shared" ref="H135:T135" si="31">H13/H145</f>
        <v>0.15062717402761674</v>
      </c>
      <c r="I135" s="658">
        <f t="shared" si="31"/>
        <v>0.15103642270684339</v>
      </c>
      <c r="J135" s="658">
        <f t="shared" si="31"/>
        <v>0.15387605940440088</v>
      </c>
      <c r="K135" s="658">
        <f t="shared" si="31"/>
        <v>0.15183673469387757</v>
      </c>
      <c r="L135" s="658">
        <f t="shared" si="31"/>
        <v>0.1496195679926467</v>
      </c>
      <c r="M135" s="658">
        <f t="shared" si="31"/>
        <v>0.14955735161391731</v>
      </c>
      <c r="N135" s="658">
        <f t="shared" si="31"/>
        <v>0.14822588114733906</v>
      </c>
      <c r="O135" s="658">
        <f t="shared" si="31"/>
        <v>0.14724543781628582</v>
      </c>
      <c r="P135" s="658">
        <f t="shared" si="31"/>
        <v>0.14666765802020501</v>
      </c>
      <c r="Q135" s="658">
        <f t="shared" si="31"/>
        <v>0.1478248151161409</v>
      </c>
      <c r="R135" s="658">
        <f t="shared" si="31"/>
        <v>0.14783370514545832</v>
      </c>
      <c r="S135" s="702">
        <f t="shared" si="31"/>
        <v>0.14749399984175407</v>
      </c>
      <c r="T135" s="1433">
        <f t="shared" si="31"/>
        <v>0.14725289930900884</v>
      </c>
      <c r="U135" s="713">
        <f t="shared" ref="U135" si="32">U13/U145</f>
        <v>0.14777943368107302</v>
      </c>
      <c r="V135" s="659">
        <f t="shared" ref="V135:AC135" si="33">U135</f>
        <v>0.14777943368107302</v>
      </c>
      <c r="W135" s="659">
        <f t="shared" si="33"/>
        <v>0.14777943368107302</v>
      </c>
      <c r="X135" s="659">
        <f t="shared" si="33"/>
        <v>0.14777943368107302</v>
      </c>
      <c r="Y135" s="659">
        <f t="shared" si="33"/>
        <v>0.14777943368107302</v>
      </c>
      <c r="Z135" s="659">
        <f t="shared" si="33"/>
        <v>0.14777943368107302</v>
      </c>
      <c r="AA135" s="659">
        <f t="shared" si="33"/>
        <v>0.14777943368107302</v>
      </c>
      <c r="AB135" s="659">
        <f t="shared" si="33"/>
        <v>0.14777943368107302</v>
      </c>
      <c r="AC135" s="659">
        <f t="shared" si="33"/>
        <v>0.14777943368107302</v>
      </c>
    </row>
    <row r="136" spans="4:32" x14ac:dyDescent="0.35">
      <c r="D136" s="421" t="s">
        <v>486</v>
      </c>
      <c r="F136" s="718"/>
      <c r="G136" s="658"/>
      <c r="H136" s="658">
        <f t="shared" ref="H136:T136" si="34">H16/H146</f>
        <v>1.2100690881729256E-2</v>
      </c>
      <c r="I136" s="658">
        <f t="shared" si="34"/>
        <v>1.2922258694477915E-2</v>
      </c>
      <c r="J136" s="658">
        <f t="shared" si="34"/>
        <v>1.016107526552131E-2</v>
      </c>
      <c r="K136" s="658">
        <f t="shared" si="34"/>
        <v>1.0362298192331481E-2</v>
      </c>
      <c r="L136" s="658">
        <f t="shared" si="34"/>
        <v>1.0626628273687096E-2</v>
      </c>
      <c r="M136" s="658">
        <f t="shared" si="34"/>
        <v>1.0349271387502891E-2</v>
      </c>
      <c r="N136" s="658">
        <f t="shared" si="34"/>
        <v>1.1211939165902553E-2</v>
      </c>
      <c r="O136" s="658">
        <f t="shared" si="34"/>
        <v>1.0949198937283633E-2</v>
      </c>
      <c r="P136" s="658">
        <f t="shared" si="34"/>
        <v>1.135730718004601E-2</v>
      </c>
      <c r="Q136" s="658">
        <f t="shared" si="34"/>
        <v>1.1994216227747885E-2</v>
      </c>
      <c r="R136" s="658">
        <f t="shared" si="34"/>
        <v>1.2131183630433398E-2</v>
      </c>
      <c r="S136" s="702">
        <f t="shared" si="34"/>
        <v>1.1560364140069659E-2</v>
      </c>
      <c r="T136" s="1433">
        <f t="shared" si="34"/>
        <v>1.0839497687310913E-2</v>
      </c>
      <c r="U136" s="713">
        <f t="shared" ref="U136" si="35">U16/U146</f>
        <v>1.0488911485302814E-2</v>
      </c>
      <c r="V136" s="659">
        <f t="shared" ref="V136:AC136" si="36">U136</f>
        <v>1.0488911485302814E-2</v>
      </c>
      <c r="W136" s="659">
        <f t="shared" si="36"/>
        <v>1.0488911485302814E-2</v>
      </c>
      <c r="X136" s="659">
        <f t="shared" si="36"/>
        <v>1.0488911485302814E-2</v>
      </c>
      <c r="Y136" s="659">
        <f t="shared" si="36"/>
        <v>1.0488911485302814E-2</v>
      </c>
      <c r="Z136" s="659">
        <f t="shared" si="36"/>
        <v>1.0488911485302814E-2</v>
      </c>
      <c r="AA136" s="659">
        <f t="shared" si="36"/>
        <v>1.0488911485302814E-2</v>
      </c>
      <c r="AB136" s="659">
        <f t="shared" si="36"/>
        <v>1.0488911485302814E-2</v>
      </c>
      <c r="AC136" s="659">
        <f t="shared" si="36"/>
        <v>1.0488911485302814E-2</v>
      </c>
    </row>
    <row r="137" spans="4:32" x14ac:dyDescent="0.35">
      <c r="D137" s="337" t="s">
        <v>487</v>
      </c>
      <c r="F137" s="718"/>
      <c r="G137" s="658"/>
      <c r="H137" s="658">
        <f t="shared" ref="H137:T137" si="37">H19/H147</f>
        <v>0.11697176543592926</v>
      </c>
      <c r="I137" s="658">
        <f t="shared" si="37"/>
        <v>0.10545412659102689</v>
      </c>
      <c r="J137" s="658">
        <f t="shared" si="37"/>
        <v>0.11132677978836643</v>
      </c>
      <c r="K137" s="658">
        <f t="shared" si="37"/>
        <v>0.10700112684336878</v>
      </c>
      <c r="L137" s="658">
        <f t="shared" si="37"/>
        <v>0.11630892472013966</v>
      </c>
      <c r="M137" s="658">
        <f t="shared" si="37"/>
        <v>0.11594202898550723</v>
      </c>
      <c r="N137" s="658">
        <f t="shared" si="37"/>
        <v>0.11690415853101242</v>
      </c>
      <c r="O137" s="658">
        <f t="shared" si="37"/>
        <v>0.11448309893905748</v>
      </c>
      <c r="P137" s="658">
        <f t="shared" si="37"/>
        <v>0.12475442043222006</v>
      </c>
      <c r="Q137" s="658">
        <f t="shared" si="37"/>
        <v>0.12899247749414233</v>
      </c>
      <c r="R137" s="702">
        <f t="shared" si="37"/>
        <v>0.13911536492181653</v>
      </c>
      <c r="S137" s="702">
        <f t="shared" si="37"/>
        <v>0.13340122199592669</v>
      </c>
      <c r="T137" s="713">
        <f t="shared" si="37"/>
        <v>0.13442317808440901</v>
      </c>
      <c r="U137" s="659">
        <f>T137+U138</f>
        <v>0.12242317808440902</v>
      </c>
      <c r="V137" s="659">
        <f t="shared" ref="V137:AC137" si="38">U137+V138</f>
        <v>0.12242317808440902</v>
      </c>
      <c r="W137" s="659">
        <f t="shared" si="38"/>
        <v>0.12242317808440902</v>
      </c>
      <c r="X137" s="659">
        <f t="shared" si="38"/>
        <v>0.12242317808440902</v>
      </c>
      <c r="Y137" s="659">
        <f t="shared" si="38"/>
        <v>0.12242317808440902</v>
      </c>
      <c r="Z137" s="659">
        <f t="shared" si="38"/>
        <v>0.12242317808440902</v>
      </c>
      <c r="AA137" s="659">
        <f t="shared" si="38"/>
        <v>0.12242317808440902</v>
      </c>
      <c r="AB137" s="659">
        <f t="shared" si="38"/>
        <v>0.12242317808440902</v>
      </c>
      <c r="AC137" s="659">
        <f t="shared" si="38"/>
        <v>0.12242317808440902</v>
      </c>
    </row>
    <row r="138" spans="4:32" x14ac:dyDescent="0.35">
      <c r="D138" s="337" t="s">
        <v>1832</v>
      </c>
      <c r="F138" s="718"/>
      <c r="G138" s="658"/>
      <c r="H138" s="658"/>
      <c r="I138" s="658"/>
      <c r="J138" s="658"/>
      <c r="K138" s="658"/>
      <c r="L138" s="658"/>
      <c r="M138" s="658"/>
      <c r="N138" s="658"/>
      <c r="O138" s="658"/>
      <c r="P138" s="658"/>
      <c r="Q138" s="658"/>
      <c r="R138" s="1264"/>
      <c r="S138" s="1264"/>
      <c r="T138" s="1265"/>
      <c r="U138" s="659">
        <v>-1.2E-2</v>
      </c>
      <c r="V138" s="659"/>
      <c r="W138" s="659"/>
      <c r="X138" s="659"/>
      <c r="Y138" s="659"/>
      <c r="Z138" s="659"/>
      <c r="AA138" s="659"/>
      <c r="AB138" s="659"/>
      <c r="AC138" s="659"/>
    </row>
    <row r="139" spans="4:32" x14ac:dyDescent="0.35">
      <c r="D139" s="629" t="s">
        <v>515</v>
      </c>
      <c r="F139" s="196"/>
      <c r="G139" s="159"/>
      <c r="H139" s="159"/>
      <c r="I139" s="159"/>
      <c r="J139" s="159"/>
      <c r="K139" s="159"/>
      <c r="L139" s="159"/>
      <c r="M139" s="159"/>
      <c r="N139" s="159"/>
      <c r="O139" s="159"/>
      <c r="P139" s="159"/>
      <c r="Q139" s="159"/>
      <c r="R139" s="159"/>
      <c r="S139" s="159"/>
      <c r="T139" s="1208"/>
      <c r="U139" s="1167"/>
      <c r="V139" s="1160"/>
      <c r="W139" s="1160"/>
      <c r="X139" s="1160"/>
      <c r="Y139" s="1160"/>
      <c r="Z139" s="1160"/>
      <c r="AA139" s="1160"/>
      <c r="AB139" s="1160"/>
      <c r="AC139" s="1266"/>
    </row>
    <row r="140" spans="4:32" ht="14.9" customHeight="1" x14ac:dyDescent="0.35">
      <c r="D140" s="738" t="s">
        <v>516</v>
      </c>
      <c r="F140" s="698">
        <f>SUM(F141:F144)</f>
        <v>14677.800000000003</v>
      </c>
      <c r="G140" s="638">
        <f t="shared" ref="G140:O140" si="39">SUM(G141:G144)</f>
        <v>14803.5</v>
      </c>
      <c r="H140" s="638">
        <f t="shared" si="39"/>
        <v>14984.9</v>
      </c>
      <c r="I140" s="638">
        <f t="shared" si="39"/>
        <v>15144.2</v>
      </c>
      <c r="J140" s="638">
        <f t="shared" si="39"/>
        <v>14272.5</v>
      </c>
      <c r="K140" s="638">
        <f t="shared" si="39"/>
        <v>14950.5</v>
      </c>
      <c r="L140" s="638">
        <f t="shared" si="39"/>
        <v>15327.199999999999</v>
      </c>
      <c r="M140" s="638">
        <f t="shared" si="39"/>
        <v>15367.5</v>
      </c>
      <c r="N140" s="638">
        <f t="shared" si="39"/>
        <v>15835.400000000001</v>
      </c>
      <c r="O140" s="638">
        <f t="shared" si="39"/>
        <v>16171.900000000001</v>
      </c>
      <c r="P140" s="638">
        <f t="shared" ref="P140:T140" si="40">SUM(P141:P144)</f>
        <v>16547.599999999999</v>
      </c>
      <c r="Q140" s="638">
        <f t="shared" si="40"/>
        <v>16765.5</v>
      </c>
      <c r="R140" s="638">
        <f t="shared" si="40"/>
        <v>17006.199999999997</v>
      </c>
      <c r="S140" s="700">
        <f t="shared" si="40"/>
        <v>17391.900000000001</v>
      </c>
      <c r="T140" s="1434">
        <f t="shared" si="40"/>
        <v>17681.8</v>
      </c>
      <c r="U140" s="714">
        <f t="shared" ref="U140" si="41">SUM(U141:U144)</f>
        <v>17925.7</v>
      </c>
      <c r="V140" s="243"/>
      <c r="W140" s="243"/>
      <c r="X140" s="243"/>
      <c r="Y140" s="243"/>
      <c r="Z140" s="243"/>
      <c r="AA140" s="243"/>
      <c r="AB140" s="243"/>
      <c r="AC140" s="241"/>
      <c r="AD140" s="754"/>
      <c r="AE140" s="754"/>
      <c r="AF140" s="754"/>
    </row>
    <row r="141" spans="4:32" x14ac:dyDescent="0.35">
      <c r="D141" s="777" t="s">
        <v>790</v>
      </c>
      <c r="E141" s="163" t="s">
        <v>786</v>
      </c>
      <c r="F141" s="698">
        <f>'Haver Pivoted'!GQ81</f>
        <v>9284.7000000000007</v>
      </c>
      <c r="G141" s="638">
        <f>'Haver Pivoted'!GR81</f>
        <v>9340.5</v>
      </c>
      <c r="H141" s="638">
        <f>'Haver Pivoted'!GS81</f>
        <v>9487</v>
      </c>
      <c r="I141" s="638">
        <f>'Haver Pivoted'!GT81</f>
        <v>9634.1</v>
      </c>
      <c r="J141" s="638">
        <f>'Haver Pivoted'!GU81</f>
        <v>9002.7000000000007</v>
      </c>
      <c r="K141" s="638">
        <f>'Haver Pivoted'!GV81</f>
        <v>9432.5</v>
      </c>
      <c r="L141" s="638">
        <f>'Haver Pivoted'!GW81</f>
        <v>9791.5</v>
      </c>
      <c r="M141" s="638">
        <f>'Haver Pivoted'!GX81</f>
        <v>9861.1</v>
      </c>
      <c r="N141" s="638">
        <f>'Haver Pivoted'!GY81</f>
        <v>10148.700000000001</v>
      </c>
      <c r="O141" s="638">
        <f>'Haver Pivoted'!GZ81</f>
        <v>10433.6</v>
      </c>
      <c r="P141" s="638">
        <f>'Haver Pivoted'!HA81</f>
        <v>10759.7</v>
      </c>
      <c r="Q141" s="638">
        <f>'Haver Pivoted'!HB81</f>
        <v>10939.3</v>
      </c>
      <c r="R141" s="638">
        <f>'Haver Pivoted'!HC81</f>
        <v>11071.9</v>
      </c>
      <c r="S141" s="700">
        <f>'Haver Pivoted'!HD81</f>
        <v>11374.7</v>
      </c>
      <c r="T141" s="1434">
        <f>'Haver Pivoted'!HE81</f>
        <v>11563.1</v>
      </c>
      <c r="U141" s="714">
        <f>'Haver Pivoted'!HF81</f>
        <v>11742.5</v>
      </c>
      <c r="V141" s="243"/>
      <c r="W141" s="243"/>
      <c r="X141" s="243"/>
      <c r="Y141" s="243"/>
      <c r="Z141" s="243"/>
      <c r="AA141" s="243"/>
      <c r="AB141" s="243"/>
      <c r="AC141" s="241"/>
    </row>
    <row r="142" spans="4:32" x14ac:dyDescent="0.35">
      <c r="D142" s="777" t="s">
        <v>517</v>
      </c>
      <c r="E142" s="163" t="s">
        <v>787</v>
      </c>
      <c r="F142" s="698">
        <f>'Haver Pivoted'!GQ82</f>
        <v>1575.2</v>
      </c>
      <c r="G142" s="638">
        <f>'Haver Pivoted'!GR82</f>
        <v>1615.3</v>
      </c>
      <c r="H142" s="638">
        <f>'Haver Pivoted'!GS82</f>
        <v>1631.9</v>
      </c>
      <c r="I142" s="638">
        <f>'Haver Pivoted'!GT82</f>
        <v>1643.2</v>
      </c>
      <c r="J142" s="638">
        <f>'Haver Pivoted'!GU82</f>
        <v>1475.6</v>
      </c>
      <c r="K142" s="638">
        <f>'Haver Pivoted'!GV82</f>
        <v>1751.6</v>
      </c>
      <c r="L142" s="638">
        <f>'Haver Pivoted'!GW82</f>
        <v>1702</v>
      </c>
      <c r="M142" s="638">
        <f>'Haver Pivoted'!GX82</f>
        <v>1655</v>
      </c>
      <c r="N142" s="638">
        <f>'Haver Pivoted'!GY82</f>
        <v>1776.9</v>
      </c>
      <c r="O142" s="638">
        <f>'Haver Pivoted'!GZ82</f>
        <v>1792.7</v>
      </c>
      <c r="P142" s="638">
        <f>'Haver Pivoted'!HA82</f>
        <v>1789.8</v>
      </c>
      <c r="Q142" s="638">
        <f>'Haver Pivoted'!HB82</f>
        <v>1811.4</v>
      </c>
      <c r="R142" s="638">
        <f>'Haver Pivoted'!HC82</f>
        <v>1835.4</v>
      </c>
      <c r="S142" s="700">
        <f>'Haver Pivoted'!HD82</f>
        <v>1863.5</v>
      </c>
      <c r="T142" s="1434">
        <f>'Haver Pivoted'!HE82</f>
        <v>1882.9</v>
      </c>
      <c r="U142" s="714">
        <f>'Haver Pivoted'!HF82</f>
        <v>1887.4</v>
      </c>
      <c r="V142" s="243"/>
      <c r="W142" s="243"/>
      <c r="X142" s="243"/>
      <c r="Y142" s="243"/>
      <c r="Z142" s="243"/>
      <c r="AA142" s="243"/>
      <c r="AB142" s="243"/>
      <c r="AC142" s="241"/>
    </row>
    <row r="143" spans="4:32" x14ac:dyDescent="0.35">
      <c r="D143" s="777" t="s">
        <v>518</v>
      </c>
      <c r="E143" s="163" t="s">
        <v>793</v>
      </c>
      <c r="F143" s="698">
        <f>'Haver Pivoted'!GQ83</f>
        <v>696.1</v>
      </c>
      <c r="G143" s="638">
        <f>'Haver Pivoted'!GR83</f>
        <v>699.1</v>
      </c>
      <c r="H143" s="638">
        <f>'Haver Pivoted'!GS83</f>
        <v>708</v>
      </c>
      <c r="I143" s="638">
        <f>'Haver Pivoted'!GT83</f>
        <v>722.6</v>
      </c>
      <c r="J143" s="638">
        <f>'Haver Pivoted'!GU83</f>
        <v>717.9</v>
      </c>
      <c r="K143" s="638">
        <f>'Haver Pivoted'!GV83</f>
        <v>722.6</v>
      </c>
      <c r="L143" s="638">
        <f>'Haver Pivoted'!GW83</f>
        <v>716.3</v>
      </c>
      <c r="M143" s="638">
        <f>'Haver Pivoted'!GX83</f>
        <v>719.4</v>
      </c>
      <c r="N143" s="638">
        <f>'Haver Pivoted'!GY83</f>
        <v>713.5</v>
      </c>
      <c r="O143" s="638">
        <f>'Haver Pivoted'!GZ83</f>
        <v>722.7</v>
      </c>
      <c r="P143" s="638">
        <f>'Haver Pivoted'!HA83</f>
        <v>739.6</v>
      </c>
      <c r="Q143" s="638">
        <f>'Haver Pivoted'!HB83</f>
        <v>744.9</v>
      </c>
      <c r="R143" s="638">
        <f>'Haver Pivoted'!HC83</f>
        <v>775.9</v>
      </c>
      <c r="S143" s="700">
        <f>'Haver Pivoted'!HD83</f>
        <v>794.9</v>
      </c>
      <c r="T143" s="1434">
        <f>'Haver Pivoted'!HE83</f>
        <v>811.8</v>
      </c>
      <c r="U143" s="714">
        <f>'Haver Pivoted'!HF83</f>
        <v>841.7</v>
      </c>
      <c r="V143" s="243"/>
      <c r="W143" s="243"/>
      <c r="X143" s="243"/>
      <c r="Y143" s="243"/>
      <c r="Z143" s="243"/>
      <c r="AA143" s="243"/>
      <c r="AB143" s="243"/>
      <c r="AC143" s="241"/>
    </row>
    <row r="144" spans="4:32" x14ac:dyDescent="0.35">
      <c r="D144" s="777" t="s">
        <v>519</v>
      </c>
      <c r="E144" s="163" t="s">
        <v>789</v>
      </c>
      <c r="F144" s="698">
        <f>'Haver Pivoted'!GQ84</f>
        <v>3121.8</v>
      </c>
      <c r="G144" s="638">
        <f>'Haver Pivoted'!GR84</f>
        <v>3148.6</v>
      </c>
      <c r="H144" s="638">
        <f>'Haver Pivoted'!GS84</f>
        <v>3158</v>
      </c>
      <c r="I144" s="638">
        <f>'Haver Pivoted'!GT84</f>
        <v>3144.3</v>
      </c>
      <c r="J144" s="638">
        <f>'Haver Pivoted'!GU84</f>
        <v>3076.3</v>
      </c>
      <c r="K144" s="638">
        <f>'Haver Pivoted'!GV84</f>
        <v>3043.8</v>
      </c>
      <c r="L144" s="638">
        <f>'Haver Pivoted'!GW84</f>
        <v>3117.4</v>
      </c>
      <c r="M144" s="638">
        <f>'Haver Pivoted'!GX84</f>
        <v>3132</v>
      </c>
      <c r="N144" s="638">
        <f>'Haver Pivoted'!GY84</f>
        <v>3196.3</v>
      </c>
      <c r="O144" s="638">
        <f>'Haver Pivoted'!GZ84</f>
        <v>3222.9</v>
      </c>
      <c r="P144" s="638">
        <f>'Haver Pivoted'!HA84</f>
        <v>3258.5</v>
      </c>
      <c r="Q144" s="638">
        <f>'Haver Pivoted'!HB84</f>
        <v>3269.9</v>
      </c>
      <c r="R144" s="638">
        <f>'Haver Pivoted'!HC84</f>
        <v>3323</v>
      </c>
      <c r="S144" s="700">
        <f>'Haver Pivoted'!HD84</f>
        <v>3358.8</v>
      </c>
      <c r="T144" s="1434">
        <f>'Haver Pivoted'!HE84</f>
        <v>3424</v>
      </c>
      <c r="U144" s="714">
        <f>'Haver Pivoted'!HF84</f>
        <v>3454.1</v>
      </c>
      <c r="V144" s="243"/>
      <c r="W144" s="243"/>
      <c r="X144" s="243"/>
      <c r="Y144" s="243"/>
      <c r="Z144" s="243"/>
      <c r="AA144" s="243"/>
      <c r="AB144" s="243"/>
      <c r="AC144" s="241"/>
    </row>
    <row r="145" spans="4:29" x14ac:dyDescent="0.35">
      <c r="D145" s="738" t="s">
        <v>505</v>
      </c>
      <c r="F145" s="698">
        <f>F141</f>
        <v>9284.7000000000007</v>
      </c>
      <c r="G145" s="638">
        <f t="shared" ref="G145:O145" si="42">G141</f>
        <v>9340.5</v>
      </c>
      <c r="H145" s="638">
        <f t="shared" si="42"/>
        <v>9487</v>
      </c>
      <c r="I145" s="638">
        <f t="shared" si="42"/>
        <v>9634.1</v>
      </c>
      <c r="J145" s="638">
        <f t="shared" si="42"/>
        <v>9002.7000000000007</v>
      </c>
      <c r="K145" s="638">
        <f t="shared" si="42"/>
        <v>9432.5</v>
      </c>
      <c r="L145" s="638">
        <f t="shared" si="42"/>
        <v>9791.5</v>
      </c>
      <c r="M145" s="638">
        <f t="shared" si="42"/>
        <v>9861.1</v>
      </c>
      <c r="N145" s="638">
        <f t="shared" si="42"/>
        <v>10148.700000000001</v>
      </c>
      <c r="O145" s="638">
        <f t="shared" si="42"/>
        <v>10433.6</v>
      </c>
      <c r="P145" s="638">
        <f t="shared" ref="P145:T145" si="43">P141</f>
        <v>10759.7</v>
      </c>
      <c r="Q145" s="638">
        <f t="shared" si="43"/>
        <v>10939.3</v>
      </c>
      <c r="R145" s="638">
        <f t="shared" si="43"/>
        <v>11071.9</v>
      </c>
      <c r="S145" s="700">
        <f t="shared" si="43"/>
        <v>11374.7</v>
      </c>
      <c r="T145" s="1434">
        <f t="shared" si="43"/>
        <v>11563.1</v>
      </c>
      <c r="U145" s="714">
        <f t="shared" ref="U145" si="44">U141</f>
        <v>11742.5</v>
      </c>
      <c r="V145" s="243"/>
      <c r="W145" s="243"/>
      <c r="X145" s="243"/>
      <c r="Y145" s="243"/>
      <c r="Z145" s="243"/>
      <c r="AA145" s="243"/>
      <c r="AB145" s="243"/>
      <c r="AC145" s="241"/>
    </row>
    <row r="146" spans="4:29" x14ac:dyDescent="0.35">
      <c r="D146" s="738" t="s">
        <v>506</v>
      </c>
      <c r="E146" s="163" t="s">
        <v>523</v>
      </c>
      <c r="F146" s="698">
        <f>'Haver Pivoted'!GQ5</f>
        <v>14323.7</v>
      </c>
      <c r="G146" s="638">
        <f>'Haver Pivoted'!GR5</f>
        <v>14482.2</v>
      </c>
      <c r="H146" s="638">
        <f>'Haver Pivoted'!GS5</f>
        <v>14619</v>
      </c>
      <c r="I146" s="638">
        <f>'Haver Pivoted'!GT5</f>
        <v>14440.2</v>
      </c>
      <c r="J146" s="638">
        <f>'Haver Pivoted'!GU5</f>
        <v>13049.8</v>
      </c>
      <c r="K146" s="638">
        <f>'Haver Pivoted'!GV5</f>
        <v>14388.7</v>
      </c>
      <c r="L146" s="638">
        <f>'Haver Pivoted'!GW5</f>
        <v>14586</v>
      </c>
      <c r="M146" s="638">
        <f>'Haver Pivoted'!GX5</f>
        <v>15131.5</v>
      </c>
      <c r="N146" s="638">
        <f>'Haver Pivoted'!GY5</f>
        <v>15813.5</v>
      </c>
      <c r="O146" s="638">
        <f>'Haver Pivoted'!GZ5</f>
        <v>16147.3</v>
      </c>
      <c r="P146" s="638">
        <f>'Haver Pivoted'!HA5</f>
        <v>16518</v>
      </c>
      <c r="Q146" s="638">
        <f>'Haver Pivoted'!HB5</f>
        <v>16874.8</v>
      </c>
      <c r="R146" s="638">
        <f>'Haver Pivoted'!HC5</f>
        <v>17261.3</v>
      </c>
      <c r="S146" s="700">
        <f>'Haver Pivoted'!HD5</f>
        <v>17542.7</v>
      </c>
      <c r="T146" s="1434">
        <f>'Haver Pivoted'!HE5</f>
        <v>17749.900000000001</v>
      </c>
      <c r="U146" s="714">
        <f>'Haver Pivoted'!HF5</f>
        <v>18095.3</v>
      </c>
      <c r="V146" s="243"/>
      <c r="W146" s="243"/>
      <c r="X146" s="243"/>
      <c r="Y146" s="243"/>
      <c r="Z146" s="243"/>
      <c r="AA146" s="243"/>
      <c r="AB146" s="243"/>
      <c r="AC146" s="241"/>
    </row>
    <row r="147" spans="4:29" x14ac:dyDescent="0.35">
      <c r="D147" s="738" t="s">
        <v>520</v>
      </c>
      <c r="E147" s="163" t="s">
        <v>788</v>
      </c>
      <c r="F147" s="698">
        <f>'Haver Pivoted'!GQ85</f>
        <v>1872</v>
      </c>
      <c r="G147" s="638">
        <f>'Haver Pivoted'!GR85</f>
        <v>1882</v>
      </c>
      <c r="H147" s="638">
        <f>'Haver Pivoted'!GS85</f>
        <v>1933.8</v>
      </c>
      <c r="I147" s="638">
        <f>'Haver Pivoted'!GT85</f>
        <v>1736.3</v>
      </c>
      <c r="J147" s="638">
        <f>'Haver Pivoted'!GU85</f>
        <v>1597.1</v>
      </c>
      <c r="K147" s="638">
        <f>'Haver Pivoted'!GV85</f>
        <v>2041.1</v>
      </c>
      <c r="L147" s="638">
        <f>'Haver Pivoted'!GW85</f>
        <v>1947.4</v>
      </c>
      <c r="M147" s="638">
        <f>'Haver Pivoted'!GX85</f>
        <v>2152.8000000000002</v>
      </c>
      <c r="N147" s="638">
        <f>'Haver Pivoted'!GY85</f>
        <v>2407.1</v>
      </c>
      <c r="O147" s="638">
        <f>'Haver Pivoted'!GZ85</f>
        <v>2431.8000000000002</v>
      </c>
      <c r="P147" s="638">
        <f>'Haver Pivoted'!HA85</f>
        <v>2443.1999999999998</v>
      </c>
      <c r="Q147" s="638">
        <f>'Haver Pivoted'!HB85</f>
        <v>2432.6999999999998</v>
      </c>
      <c r="R147" s="700">
        <f>'Haver Pivoted'!HC85</f>
        <v>2538.9</v>
      </c>
      <c r="S147" s="700">
        <f>'Haver Pivoted'!HD85</f>
        <v>2553.1999999999998</v>
      </c>
      <c r="T147" s="700">
        <f>'Haver Pivoted'!HE85</f>
        <v>2471.3000000000002</v>
      </c>
      <c r="U147" s="1435"/>
      <c r="V147" s="243"/>
      <c r="W147" s="243"/>
      <c r="X147" s="243"/>
      <c r="Y147" s="243"/>
      <c r="Z147" s="243"/>
      <c r="AA147" s="243"/>
      <c r="AB147" s="243"/>
      <c r="AC147" s="241"/>
    </row>
    <row r="148" spans="4:29" x14ac:dyDescent="0.35">
      <c r="D148" s="629" t="s">
        <v>521</v>
      </c>
      <c r="F148" s="196"/>
      <c r="G148" s="159"/>
      <c r="H148" s="159"/>
      <c r="I148" s="159"/>
      <c r="J148" s="159"/>
      <c r="K148" s="159"/>
      <c r="L148" s="159"/>
      <c r="M148" s="159"/>
      <c r="N148" s="159"/>
      <c r="O148" s="159"/>
      <c r="P148" s="159"/>
      <c r="Q148" s="159"/>
      <c r="R148" s="159"/>
      <c r="S148" s="159"/>
      <c r="T148" s="1208"/>
      <c r="U148" s="1160"/>
      <c r="V148" s="1160"/>
      <c r="W148" s="1160"/>
      <c r="X148" s="1160"/>
      <c r="Y148" s="1160"/>
      <c r="Z148" s="1160"/>
      <c r="AA148" s="1160"/>
      <c r="AB148" s="1160"/>
      <c r="AC148" s="1266"/>
    </row>
    <row r="149" spans="4:29" x14ac:dyDescent="0.35">
      <c r="D149" s="684" t="s">
        <v>488</v>
      </c>
      <c r="F149" s="718">
        <f t="shared" ref="F149:U149" si="45">F25/F140</f>
        <v>3.6040823556663798E-2</v>
      </c>
      <c r="G149" s="658">
        <f t="shared" si="45"/>
        <v>3.3451548620258724E-2</v>
      </c>
      <c r="H149" s="658">
        <f t="shared" si="45"/>
        <v>3.2672890709981382E-2</v>
      </c>
      <c r="I149" s="658">
        <f t="shared" si="45"/>
        <v>3.2850860395398897E-2</v>
      </c>
      <c r="J149" s="658">
        <f t="shared" si="45"/>
        <v>3.419162725521107E-2</v>
      </c>
      <c r="K149" s="658">
        <f t="shared" si="45"/>
        <v>3.4473763419283633E-2</v>
      </c>
      <c r="L149" s="658">
        <f t="shared" si="45"/>
        <v>3.4115820241139933E-2</v>
      </c>
      <c r="M149" s="658">
        <f t="shared" si="45"/>
        <v>3.5373352855051249E-2</v>
      </c>
      <c r="N149" s="658">
        <f t="shared" si="45"/>
        <v>3.5780592848933403E-2</v>
      </c>
      <c r="O149" s="658">
        <f t="shared" si="45"/>
        <v>3.3044973070573025E-2</v>
      </c>
      <c r="P149" s="658">
        <f t="shared" si="45"/>
        <v>3.449442819502526E-2</v>
      </c>
      <c r="Q149" s="658">
        <f t="shared" si="45"/>
        <v>3.4672392711222445E-2</v>
      </c>
      <c r="R149" s="658">
        <f t="shared" si="45"/>
        <v>3.4681469111265309E-2</v>
      </c>
      <c r="S149" s="702">
        <f t="shared" si="45"/>
        <v>3.4199828655868528E-2</v>
      </c>
      <c r="T149" s="1433">
        <f t="shared" si="45"/>
        <v>3.2926512006696156E-2</v>
      </c>
      <c r="U149" s="713">
        <f t="shared" si="45"/>
        <v>2.9086730225318953E-2</v>
      </c>
      <c r="V149" s="659">
        <f t="shared" ref="V149:AC151" si="46">U149</f>
        <v>2.9086730225318953E-2</v>
      </c>
      <c r="W149" s="659">
        <f t="shared" si="46"/>
        <v>2.9086730225318953E-2</v>
      </c>
      <c r="X149" s="659">
        <f>W149</f>
        <v>2.9086730225318953E-2</v>
      </c>
      <c r="Y149" s="659">
        <f t="shared" si="46"/>
        <v>2.9086730225318953E-2</v>
      </c>
      <c r="Z149" s="659">
        <f t="shared" si="46"/>
        <v>2.9086730225318953E-2</v>
      </c>
      <c r="AA149" s="659">
        <f t="shared" si="46"/>
        <v>2.9086730225318953E-2</v>
      </c>
      <c r="AB149" s="659">
        <f t="shared" si="46"/>
        <v>2.9086730225318953E-2</v>
      </c>
      <c r="AC149" s="709">
        <f t="shared" si="46"/>
        <v>2.9086730225318953E-2</v>
      </c>
    </row>
    <row r="150" spans="4:29" x14ac:dyDescent="0.35">
      <c r="D150" s="684" t="s">
        <v>485</v>
      </c>
      <c r="F150" s="718">
        <f t="shared" ref="F150:U150" si="47">F26/F145</f>
        <v>2.2402447036522452E-3</v>
      </c>
      <c r="G150" s="658">
        <f t="shared" si="47"/>
        <v>2.2161554520635941E-3</v>
      </c>
      <c r="H150" s="658">
        <f t="shared" si="47"/>
        <v>2.1819331717086539E-3</v>
      </c>
      <c r="I150" s="658">
        <f t="shared" si="47"/>
        <v>2.1486179300609291E-3</v>
      </c>
      <c r="J150" s="658">
        <f t="shared" si="47"/>
        <v>2.1993401979406176E-3</v>
      </c>
      <c r="K150" s="658">
        <f t="shared" si="47"/>
        <v>2.1733368672144184E-3</v>
      </c>
      <c r="L150" s="658">
        <f t="shared" si="47"/>
        <v>2.1753561762753409E-3</v>
      </c>
      <c r="M150" s="658">
        <f t="shared" si="47"/>
        <v>2.2309884292827371E-3</v>
      </c>
      <c r="N150" s="658">
        <f t="shared" si="47"/>
        <v>2.2367396809443571E-3</v>
      </c>
      <c r="O150" s="658">
        <f t="shared" si="47"/>
        <v>2.2235853396718294E-3</v>
      </c>
      <c r="P150" s="658">
        <f t="shared" si="47"/>
        <v>2.1747818247720659E-3</v>
      </c>
      <c r="Q150" s="658">
        <f t="shared" si="47"/>
        <v>2.1390765405464702E-3</v>
      </c>
      <c r="R150" s="658">
        <f t="shared" si="47"/>
        <v>2.1315221416378402E-3</v>
      </c>
      <c r="S150" s="702">
        <f t="shared" si="47"/>
        <v>2.1011543161577884E-3</v>
      </c>
      <c r="T150" s="1433">
        <f t="shared" si="47"/>
        <v>2.1188089699129124E-3</v>
      </c>
      <c r="U150" s="713">
        <f t="shared" si="47"/>
        <v>2.1630828188205237E-3</v>
      </c>
      <c r="V150" s="659">
        <f t="shared" si="46"/>
        <v>2.1630828188205237E-3</v>
      </c>
      <c r="W150" s="659">
        <f t="shared" si="46"/>
        <v>2.1630828188205237E-3</v>
      </c>
      <c r="X150" s="659">
        <f>W150</f>
        <v>2.1630828188205237E-3</v>
      </c>
      <c r="Y150" s="659">
        <f t="shared" si="46"/>
        <v>2.1630828188205237E-3</v>
      </c>
      <c r="Z150" s="659">
        <f t="shared" si="46"/>
        <v>2.1630828188205237E-3</v>
      </c>
      <c r="AA150" s="659">
        <f t="shared" si="46"/>
        <v>2.1630828188205237E-3</v>
      </c>
      <c r="AB150" s="659">
        <f t="shared" si="46"/>
        <v>2.1630828188205237E-3</v>
      </c>
      <c r="AC150" s="709">
        <f t="shared" si="46"/>
        <v>2.1630828188205237E-3</v>
      </c>
    </row>
    <row r="151" spans="4:29" x14ac:dyDescent="0.35">
      <c r="D151" s="684" t="s">
        <v>486</v>
      </c>
      <c r="F151" s="718">
        <f t="shared" ref="F151:U151" si="48">F27/F146</f>
        <v>9.3886356178920244E-2</v>
      </c>
      <c r="G151" s="658">
        <f t="shared" si="48"/>
        <v>9.4826752841419115E-2</v>
      </c>
      <c r="H151" s="658">
        <f t="shared" si="48"/>
        <v>9.3898351460428214E-2</v>
      </c>
      <c r="I151" s="658">
        <f t="shared" si="48"/>
        <v>9.5518067616792005E-2</v>
      </c>
      <c r="J151" s="658">
        <f t="shared" si="48"/>
        <v>9.9143281889377613E-2</v>
      </c>
      <c r="K151" s="658">
        <f t="shared" si="48"/>
        <v>9.7117877223098684E-2</v>
      </c>
      <c r="L151" s="658">
        <f t="shared" si="48"/>
        <v>9.6764020293432063E-2</v>
      </c>
      <c r="M151" s="658">
        <f t="shared" si="48"/>
        <v>9.4306578990846907E-2</v>
      </c>
      <c r="N151" s="658">
        <f t="shared" si="48"/>
        <v>9.4817719037531223E-2</v>
      </c>
      <c r="O151" s="658">
        <f t="shared" si="48"/>
        <v>9.309296291020791E-2</v>
      </c>
      <c r="P151" s="658">
        <f t="shared" si="48"/>
        <v>9.236590386245308E-2</v>
      </c>
      <c r="Q151" s="658">
        <f t="shared" si="48"/>
        <v>9.1716642567615622E-2</v>
      </c>
      <c r="R151" s="658">
        <f t="shared" si="48"/>
        <v>9.072897174604462E-2</v>
      </c>
      <c r="S151" s="702">
        <f t="shared" si="48"/>
        <v>9.0197062025799898E-2</v>
      </c>
      <c r="T151" s="1433">
        <f t="shared" si="48"/>
        <v>8.9386419078417337E-2</v>
      </c>
      <c r="U151" s="713">
        <f t="shared" si="48"/>
        <v>8.8608644233585526E-2</v>
      </c>
      <c r="V151" s="659">
        <f t="shared" si="46"/>
        <v>8.8608644233585526E-2</v>
      </c>
      <c r="W151" s="659">
        <f t="shared" si="46"/>
        <v>8.8608644233585526E-2</v>
      </c>
      <c r="X151" s="659">
        <f>W151</f>
        <v>8.8608644233585526E-2</v>
      </c>
      <c r="Y151" s="659">
        <f t="shared" si="46"/>
        <v>8.8608644233585526E-2</v>
      </c>
      <c r="Z151" s="659">
        <f t="shared" si="46"/>
        <v>8.8608644233585526E-2</v>
      </c>
      <c r="AA151" s="659">
        <f t="shared" si="46"/>
        <v>8.8608644233585526E-2</v>
      </c>
      <c r="AB151" s="659">
        <f t="shared" si="46"/>
        <v>8.8608644233585526E-2</v>
      </c>
      <c r="AC151" s="709">
        <f t="shared" si="46"/>
        <v>8.8608644233585526E-2</v>
      </c>
    </row>
    <row r="152" spans="4:29" x14ac:dyDescent="0.35">
      <c r="D152" s="688" t="s">
        <v>522</v>
      </c>
      <c r="E152" s="230"/>
      <c r="F152" s="694">
        <f t="shared" ref="F152:T152" si="49">F28/F147</f>
        <v>3.9797008547008544E-2</v>
      </c>
      <c r="G152" s="695">
        <f t="shared" si="49"/>
        <v>3.9001062699256114E-2</v>
      </c>
      <c r="H152" s="695">
        <f t="shared" si="49"/>
        <v>3.728410383700486E-2</v>
      </c>
      <c r="I152" s="695">
        <f t="shared" si="49"/>
        <v>3.8990957783793127E-2</v>
      </c>
      <c r="J152" s="695">
        <f t="shared" si="49"/>
        <v>4.0698766514307184E-2</v>
      </c>
      <c r="K152" s="695">
        <f t="shared" si="49"/>
        <v>3.9635490666797321E-2</v>
      </c>
      <c r="L152" s="695">
        <f t="shared" si="49"/>
        <v>4.3545239806922049E-2</v>
      </c>
      <c r="M152" s="695">
        <f t="shared" si="49"/>
        <v>4.0876997398736528E-2</v>
      </c>
      <c r="N152" s="695">
        <f t="shared" si="49"/>
        <v>3.7514021021145774E-2</v>
      </c>
      <c r="O152" s="695">
        <f t="shared" si="49"/>
        <v>3.8818981824163171E-2</v>
      </c>
      <c r="P152" s="695">
        <f t="shared" si="49"/>
        <v>4.52275703994761E-2</v>
      </c>
      <c r="Q152" s="695">
        <f t="shared" si="49"/>
        <v>6.8195831791836234E-2</v>
      </c>
      <c r="R152" s="715">
        <f t="shared" si="49"/>
        <v>4.3247075505140016E-2</v>
      </c>
      <c r="S152" s="715">
        <f t="shared" si="49"/>
        <v>3.9440701864327125E-2</v>
      </c>
      <c r="T152" s="1432">
        <f t="shared" si="49"/>
        <v>4.7383967952089989E-2</v>
      </c>
      <c r="U152" s="710">
        <f t="shared" ref="U152:AC152" si="50">T152</f>
        <v>4.7383967952089989E-2</v>
      </c>
      <c r="V152" s="710">
        <f t="shared" si="50"/>
        <v>4.7383967952089989E-2</v>
      </c>
      <c r="W152" s="710">
        <f t="shared" si="50"/>
        <v>4.7383967952089989E-2</v>
      </c>
      <c r="X152" s="710">
        <f>W152</f>
        <v>4.7383967952089989E-2</v>
      </c>
      <c r="Y152" s="710">
        <f t="shared" si="50"/>
        <v>4.7383967952089989E-2</v>
      </c>
      <c r="Z152" s="710">
        <f t="shared" si="50"/>
        <v>4.7383967952089989E-2</v>
      </c>
      <c r="AA152" s="710">
        <f t="shared" si="50"/>
        <v>4.7383967952089989E-2</v>
      </c>
      <c r="AB152" s="710">
        <f t="shared" si="50"/>
        <v>4.7383967952089989E-2</v>
      </c>
      <c r="AC152" s="711">
        <f t="shared" si="50"/>
        <v>4.7383967952089989E-2</v>
      </c>
    </row>
    <row r="156" spans="4:29" x14ac:dyDescent="0.35">
      <c r="D156" s="1751" t="s">
        <v>1717</v>
      </c>
      <c r="E156" s="1751"/>
      <c r="F156" s="1751"/>
      <c r="G156" s="1751"/>
      <c r="H156" s="1751"/>
      <c r="I156" s="1751"/>
      <c r="J156" s="1751"/>
      <c r="K156" s="1751"/>
      <c r="L156" s="1751"/>
      <c r="M156" s="1751"/>
      <c r="N156" s="1751"/>
      <c r="O156" s="1751"/>
      <c r="P156" s="1751"/>
      <c r="Q156" s="1751"/>
      <c r="R156" s="1751"/>
      <c r="S156" s="1751"/>
      <c r="T156" s="1751"/>
      <c r="U156" s="1751"/>
      <c r="V156" s="1751"/>
      <c r="W156" s="1751"/>
      <c r="X156" s="1751"/>
      <c r="Y156" s="1751"/>
      <c r="Z156" s="1751"/>
      <c r="AA156" s="1751"/>
      <c r="AB156" s="1751"/>
      <c r="AC156" s="1751"/>
    </row>
    <row r="157" spans="4:29" x14ac:dyDescent="0.35">
      <c r="D157" s="630" t="s">
        <v>1710</v>
      </c>
      <c r="E157" s="78"/>
      <c r="F157" s="703"/>
      <c r="G157" s="703"/>
      <c r="H157" s="703"/>
      <c r="I157" s="703"/>
      <c r="J157" s="703"/>
      <c r="K157" s="703"/>
      <c r="L157" s="703"/>
      <c r="M157" s="703"/>
      <c r="N157" s="703"/>
      <c r="O157" s="703"/>
      <c r="P157" s="703"/>
      <c r="Q157" s="703"/>
      <c r="R157" s="703"/>
      <c r="S157" s="594"/>
      <c r="T157" s="703"/>
      <c r="U157" s="151"/>
      <c r="V157" s="151"/>
      <c r="W157" s="151"/>
      <c r="X157" s="151"/>
      <c r="Y157" s="151"/>
      <c r="Z157" s="151"/>
      <c r="AA157" s="151"/>
      <c r="AB157" s="151"/>
      <c r="AC157" s="152"/>
    </row>
    <row r="158" spans="4:29" x14ac:dyDescent="0.35">
      <c r="D158" s="1436" t="s">
        <v>516</v>
      </c>
      <c r="E158" s="1437"/>
      <c r="F158" s="1438"/>
      <c r="G158" s="1438">
        <f>(G140/F140)^4-1</f>
        <v>3.4698380469732282E-2</v>
      </c>
      <c r="H158" s="1438">
        <f t="shared" ref="H158:S158" si="51">(H140/G140)^4-1</f>
        <v>4.9923760445010679E-2</v>
      </c>
      <c r="I158" s="1438">
        <f t="shared" si="51"/>
        <v>4.3205695538489852E-2</v>
      </c>
      <c r="J158" s="1438">
        <f t="shared" si="51"/>
        <v>-0.21111288829196628</v>
      </c>
      <c r="K158" s="1438">
        <f t="shared" si="51"/>
        <v>0.2039893976975653</v>
      </c>
      <c r="L158" s="1438">
        <f t="shared" si="51"/>
        <v>0.10465949131480801</v>
      </c>
      <c r="M158" s="1438">
        <f t="shared" si="51"/>
        <v>1.0558802843273263E-2</v>
      </c>
      <c r="N158" s="1438">
        <f t="shared" si="51"/>
        <v>0.12746550927768152</v>
      </c>
      <c r="O158" s="1438">
        <f t="shared" si="51"/>
        <v>8.7747356366950635E-2</v>
      </c>
      <c r="P158" s="1438">
        <f t="shared" si="51"/>
        <v>9.6215323061816349E-2</v>
      </c>
      <c r="Q158" s="1438">
        <f t="shared" si="51"/>
        <v>5.3721843023527782E-2</v>
      </c>
      <c r="R158" s="1438">
        <f t="shared" si="51"/>
        <v>5.8676051825151676E-2</v>
      </c>
      <c r="S158" s="1438">
        <f t="shared" si="51"/>
        <v>9.3853068788779082E-2</v>
      </c>
      <c r="T158" s="1439"/>
      <c r="U158" s="243"/>
      <c r="V158" s="243"/>
      <c r="W158" s="243"/>
      <c r="X158" s="243"/>
      <c r="Y158" s="243"/>
      <c r="Z158" s="243"/>
      <c r="AA158" s="243"/>
      <c r="AB158" s="243"/>
      <c r="AC158" s="241"/>
    </row>
    <row r="159" spans="4:29" x14ac:dyDescent="0.35">
      <c r="D159" s="1440" t="s">
        <v>790</v>
      </c>
      <c r="E159" s="1441"/>
      <c r="F159" s="1438"/>
      <c r="G159" s="1438">
        <f t="shared" ref="G159:S159" si="52">(G141/F141)^4-1</f>
        <v>2.4257130985616993E-2</v>
      </c>
      <c r="H159" s="1438">
        <f t="shared" si="52"/>
        <v>6.4229034399477136E-2</v>
      </c>
      <c r="I159" s="1438">
        <f t="shared" si="52"/>
        <v>6.3479192755366398E-2</v>
      </c>
      <c r="J159" s="1438">
        <f t="shared" si="52"/>
        <v>-0.23748829732952048</v>
      </c>
      <c r="K159" s="1438">
        <f t="shared" si="52"/>
        <v>0.20508073180198716</v>
      </c>
      <c r="L159" s="1438">
        <f t="shared" si="52"/>
        <v>0.1611535586248285</v>
      </c>
      <c r="M159" s="1438">
        <f t="shared" si="52"/>
        <v>2.873742311872407E-2</v>
      </c>
      <c r="N159" s="1438">
        <f t="shared" si="52"/>
        <v>0.12186398788851394</v>
      </c>
      <c r="O159" s="1438">
        <f t="shared" si="52"/>
        <v>0.11710776964011727</v>
      </c>
      <c r="P159" s="1438">
        <f t="shared" si="52"/>
        <v>0.13100342179485458</v>
      </c>
      <c r="Q159" s="1438">
        <f t="shared" si="52"/>
        <v>6.8458061444058416E-2</v>
      </c>
      <c r="R159" s="1438">
        <f t="shared" si="52"/>
        <v>4.9374455409313622E-2</v>
      </c>
      <c r="S159" s="1438">
        <f t="shared" si="52"/>
        <v>0.11396407828544985</v>
      </c>
      <c r="T159" s="1439"/>
      <c r="U159" s="243"/>
      <c r="V159" s="243"/>
      <c r="W159" s="243"/>
      <c r="X159" s="243"/>
      <c r="Y159" s="243"/>
      <c r="Z159" s="243"/>
      <c r="AA159" s="243"/>
      <c r="AB159" s="243"/>
      <c r="AC159" s="241"/>
    </row>
    <row r="160" spans="4:29" x14ac:dyDescent="0.35">
      <c r="D160" s="1440" t="s">
        <v>517</v>
      </c>
      <c r="E160" s="1441"/>
      <c r="F160" s="1438"/>
      <c r="G160" s="1438">
        <f t="shared" ref="G160:S160" si="53">(G142/F142)^4-1</f>
        <v>0.10578312944398705</v>
      </c>
      <c r="H160" s="1438">
        <f t="shared" si="53"/>
        <v>4.1744934553236801E-2</v>
      </c>
      <c r="I160" s="1438">
        <f t="shared" si="53"/>
        <v>2.7986793488743444E-2</v>
      </c>
      <c r="J160" s="1438">
        <f t="shared" si="53"/>
        <v>-0.34970130690663714</v>
      </c>
      <c r="K160" s="1438">
        <f t="shared" si="53"/>
        <v>0.98547836855144699</v>
      </c>
      <c r="L160" s="1438">
        <f t="shared" si="53"/>
        <v>-0.1085469464882084</v>
      </c>
      <c r="M160" s="1438">
        <f t="shared" si="53"/>
        <v>-0.10596654721724863</v>
      </c>
      <c r="N160" s="1438">
        <f t="shared" si="53"/>
        <v>0.32880103280025574</v>
      </c>
      <c r="O160" s="1438">
        <f t="shared" si="53"/>
        <v>3.6044774195732154E-2</v>
      </c>
      <c r="P160" s="1438">
        <f t="shared" si="53"/>
        <v>-6.4550024300153996E-3</v>
      </c>
      <c r="Q160" s="1438">
        <f t="shared" si="53"/>
        <v>4.9154478043828886E-2</v>
      </c>
      <c r="R160" s="1438">
        <f t="shared" si="53"/>
        <v>5.4060298595324685E-2</v>
      </c>
      <c r="S160" s="1438">
        <f t="shared" si="53"/>
        <v>6.2660845264692622E-2</v>
      </c>
      <c r="T160" s="1439"/>
      <c r="U160" s="243"/>
      <c r="V160" s="243"/>
      <c r="W160" s="243"/>
      <c r="X160" s="243"/>
      <c r="Y160" s="243"/>
      <c r="Z160" s="243"/>
      <c r="AA160" s="243"/>
      <c r="AB160" s="243"/>
      <c r="AC160" s="241"/>
    </row>
    <row r="161" spans="4:29" x14ac:dyDescent="0.35">
      <c r="D161" s="1440" t="s">
        <v>518</v>
      </c>
      <c r="E161" s="1441"/>
      <c r="F161" s="1438"/>
      <c r="G161" s="1438">
        <f t="shared" ref="G161:S161" si="54">(G143/F143)^4-1</f>
        <v>1.7350665401546284E-2</v>
      </c>
      <c r="H161" s="1438">
        <f t="shared" si="54"/>
        <v>5.1903311323329371E-2</v>
      </c>
      <c r="I161" s="1438">
        <f t="shared" si="54"/>
        <v>8.5072603128263369E-2</v>
      </c>
      <c r="J161" s="1438">
        <f t="shared" si="54"/>
        <v>-2.5764424405961162E-2</v>
      </c>
      <c r="K161" s="1438">
        <f t="shared" si="54"/>
        <v>2.6445784830072538E-2</v>
      </c>
      <c r="L161" s="1438">
        <f t="shared" si="54"/>
        <v>-3.4420635784840226E-2</v>
      </c>
      <c r="M161" s="1438">
        <f t="shared" si="54"/>
        <v>1.7423885940878847E-2</v>
      </c>
      <c r="N161" s="1438">
        <f t="shared" si="54"/>
        <v>-3.2403751505907019E-2</v>
      </c>
      <c r="O161" s="1438">
        <f t="shared" si="54"/>
        <v>5.2582897021147934E-2</v>
      </c>
      <c r="P161" s="1438">
        <f t="shared" si="54"/>
        <v>9.6870587526498575E-2</v>
      </c>
      <c r="Q161" s="1438">
        <f t="shared" si="54"/>
        <v>2.8973729785401803E-2</v>
      </c>
      <c r="R161" s="1438">
        <f t="shared" si="54"/>
        <v>0.17714811192574409</v>
      </c>
      <c r="S161" s="1438">
        <f t="shared" si="54"/>
        <v>0.101607744588458</v>
      </c>
      <c r="T161" s="1439"/>
      <c r="U161" s="243"/>
      <c r="V161" s="243"/>
      <c r="W161" s="243"/>
      <c r="X161" s="243"/>
      <c r="Y161" s="243"/>
      <c r="Z161" s="243"/>
      <c r="AA161" s="243"/>
      <c r="AB161" s="243"/>
      <c r="AC161" s="241"/>
    </row>
    <row r="162" spans="4:29" x14ac:dyDescent="0.35">
      <c r="D162" s="1440" t="s">
        <v>519</v>
      </c>
      <c r="E162" s="1441"/>
      <c r="F162" s="1438"/>
      <c r="G162" s="1438">
        <f t="shared" ref="G162:S162" si="55">(G144/F144)^4-1</f>
        <v>3.4783891285258939E-2</v>
      </c>
      <c r="H162" s="1438">
        <f t="shared" si="55"/>
        <v>1.1995399534317164E-2</v>
      </c>
      <c r="I162" s="1438">
        <f t="shared" si="55"/>
        <v>-1.72401618421828E-2</v>
      </c>
      <c r="J162" s="1438">
        <f t="shared" si="55"/>
        <v>-8.3739764588403598E-2</v>
      </c>
      <c r="K162" s="1438">
        <f t="shared" si="55"/>
        <v>-4.1593591819862108E-2</v>
      </c>
      <c r="L162" s="1438">
        <f t="shared" si="55"/>
        <v>0.10028621896444267</v>
      </c>
      <c r="M162" s="1438">
        <f t="shared" si="55"/>
        <v>1.8865576255239436E-2</v>
      </c>
      <c r="N162" s="1438">
        <f t="shared" si="55"/>
        <v>8.4683729354623427E-2</v>
      </c>
      <c r="O162" s="1438">
        <f t="shared" si="55"/>
        <v>3.3706346430805167E-2</v>
      </c>
      <c r="P162" s="1438">
        <f t="shared" si="55"/>
        <v>4.492129388861188E-2</v>
      </c>
      <c r="Q162" s="1438">
        <f t="shared" si="55"/>
        <v>1.4067779320086293E-2</v>
      </c>
      <c r="R162" s="1438">
        <f t="shared" si="55"/>
        <v>6.6555550049419487E-2</v>
      </c>
      <c r="S162" s="1438">
        <f t="shared" si="55"/>
        <v>4.3795001871779204E-2</v>
      </c>
      <c r="T162" s="1439"/>
      <c r="U162" s="243"/>
      <c r="V162" s="243"/>
      <c r="W162" s="243"/>
      <c r="X162" s="243"/>
      <c r="Y162" s="243"/>
      <c r="Z162" s="243"/>
      <c r="AA162" s="243"/>
      <c r="AB162" s="243"/>
      <c r="AC162" s="241"/>
    </row>
    <row r="163" spans="4:29" x14ac:dyDescent="0.35">
      <c r="D163" s="1436" t="s">
        <v>505</v>
      </c>
      <c r="E163" s="1437"/>
      <c r="F163" s="1438"/>
      <c r="G163" s="1438">
        <f t="shared" ref="G163:S163" si="56">(G145/F145)^4-1</f>
        <v>2.4257130985616993E-2</v>
      </c>
      <c r="H163" s="1438">
        <f t="shared" si="56"/>
        <v>6.4229034399477136E-2</v>
      </c>
      <c r="I163" s="1438">
        <f t="shared" si="56"/>
        <v>6.3479192755366398E-2</v>
      </c>
      <c r="J163" s="1438">
        <f t="shared" si="56"/>
        <v>-0.23748829732952048</v>
      </c>
      <c r="K163" s="1438">
        <f t="shared" si="56"/>
        <v>0.20508073180198716</v>
      </c>
      <c r="L163" s="1438">
        <f t="shared" si="56"/>
        <v>0.1611535586248285</v>
      </c>
      <c r="M163" s="1438">
        <f t="shared" si="56"/>
        <v>2.873742311872407E-2</v>
      </c>
      <c r="N163" s="1438">
        <f t="shared" si="56"/>
        <v>0.12186398788851394</v>
      </c>
      <c r="O163" s="1438">
        <f t="shared" si="56"/>
        <v>0.11710776964011727</v>
      </c>
      <c r="P163" s="1438">
        <f t="shared" si="56"/>
        <v>0.13100342179485458</v>
      </c>
      <c r="Q163" s="1438">
        <f t="shared" si="56"/>
        <v>6.8458061444058416E-2</v>
      </c>
      <c r="R163" s="1438">
        <f t="shared" si="56"/>
        <v>4.9374455409313622E-2</v>
      </c>
      <c r="S163" s="1438">
        <f t="shared" si="56"/>
        <v>0.11396407828544985</v>
      </c>
      <c r="T163" s="1439"/>
      <c r="U163" s="243"/>
      <c r="V163" s="243"/>
      <c r="W163" s="243"/>
      <c r="X163" s="243"/>
      <c r="Y163" s="243"/>
      <c r="Z163" s="243"/>
      <c r="AA163" s="243"/>
      <c r="AB163" s="243"/>
      <c r="AC163" s="241"/>
    </row>
    <row r="164" spans="4:29" x14ac:dyDescent="0.35">
      <c r="D164" s="1436" t="s">
        <v>506</v>
      </c>
      <c r="E164" s="1441"/>
      <c r="F164" s="1438"/>
      <c r="G164" s="1438">
        <f t="shared" ref="G164:S164" si="57">(G146/F146)^4-1</f>
        <v>4.5002423223402754E-2</v>
      </c>
      <c r="H164" s="1438">
        <f t="shared" si="57"/>
        <v>3.8323064342955293E-2</v>
      </c>
      <c r="I164" s="1438">
        <f t="shared" si="57"/>
        <v>-4.8032396760868568E-2</v>
      </c>
      <c r="J164" s="1438">
        <f t="shared" si="57"/>
        <v>-0.33300498256979416</v>
      </c>
      <c r="K164" s="1438">
        <f t="shared" si="57"/>
        <v>0.47798765988551417</v>
      </c>
      <c r="L164" s="1438">
        <f t="shared" si="57"/>
        <v>5.5987082820652123E-2</v>
      </c>
      <c r="M164" s="1438">
        <f t="shared" si="57"/>
        <v>0.15819874984710092</v>
      </c>
      <c r="N164" s="1438">
        <f t="shared" si="57"/>
        <v>0.1928451879925992</v>
      </c>
      <c r="O164" s="1438">
        <f t="shared" si="57"/>
        <v>8.7145430326741824E-2</v>
      </c>
      <c r="P164" s="1438">
        <f t="shared" si="57"/>
        <v>9.5040522503139657E-2</v>
      </c>
      <c r="Q164" s="1438">
        <f t="shared" si="57"/>
        <v>8.9242780231497676E-2</v>
      </c>
      <c r="R164" s="1438">
        <f t="shared" si="57"/>
        <v>9.481178927373124E-2</v>
      </c>
      <c r="S164" s="1438">
        <f t="shared" si="57"/>
        <v>6.6821460633025076E-2</v>
      </c>
      <c r="T164" s="1439"/>
      <c r="U164" s="243"/>
      <c r="V164" s="243"/>
      <c r="W164" s="243"/>
      <c r="X164" s="243"/>
      <c r="Y164" s="243"/>
      <c r="Z164" s="243"/>
      <c r="AA164" s="243"/>
      <c r="AB164" s="243"/>
      <c r="AC164" s="241"/>
    </row>
    <row r="165" spans="4:29" x14ac:dyDescent="0.35">
      <c r="D165" s="1442" t="s">
        <v>520</v>
      </c>
      <c r="E165" s="1443"/>
      <c r="F165" s="1444"/>
      <c r="G165" s="1444">
        <f t="shared" ref="G165:S165" si="58">(G147/F147)^4-1</f>
        <v>2.1539346032199758E-2</v>
      </c>
      <c r="H165" s="1444">
        <f t="shared" si="58"/>
        <v>0.11472501548972591</v>
      </c>
      <c r="I165" s="1444">
        <f t="shared" si="58"/>
        <v>-0.35009057164746982</v>
      </c>
      <c r="J165" s="1444">
        <f t="shared" si="58"/>
        <v>-0.28413788741165624</v>
      </c>
      <c r="K165" s="1444">
        <f t="shared" si="58"/>
        <v>1.667649037274042</v>
      </c>
      <c r="L165" s="1444">
        <f t="shared" si="58"/>
        <v>-0.17136450639292922</v>
      </c>
      <c r="M165" s="1444">
        <f t="shared" si="58"/>
        <v>0.49346165457827729</v>
      </c>
      <c r="N165" s="1444">
        <f t="shared" si="58"/>
        <v>0.56301012914725668</v>
      </c>
      <c r="O165" s="1444">
        <f t="shared" si="58"/>
        <v>4.1681341019436546E-2</v>
      </c>
      <c r="P165" s="1444">
        <f t="shared" si="58"/>
        <v>1.8883812263239985E-2</v>
      </c>
      <c r="Q165" s="1444">
        <f t="shared" si="58"/>
        <v>-1.7080068525602621E-2</v>
      </c>
      <c r="R165" s="1444">
        <f t="shared" si="58"/>
        <v>0.18639186970056576</v>
      </c>
      <c r="S165" s="1444">
        <f t="shared" si="58"/>
        <v>2.2720498509915421E-2</v>
      </c>
      <c r="T165" s="1445"/>
      <c r="U165" s="190"/>
      <c r="V165" s="190"/>
      <c r="W165" s="190"/>
      <c r="X165" s="190"/>
      <c r="Y165" s="190"/>
      <c r="Z165" s="190"/>
      <c r="AA165" s="190"/>
      <c r="AB165" s="190"/>
      <c r="AC165" s="191"/>
    </row>
    <row r="168" spans="4:29" x14ac:dyDescent="0.35">
      <c r="D168" s="1751" t="s">
        <v>1718</v>
      </c>
      <c r="E168" s="1751"/>
      <c r="F168" s="1751"/>
      <c r="G168" s="1751"/>
      <c r="H168" s="1751"/>
      <c r="I168" s="1751"/>
      <c r="J168" s="1751"/>
      <c r="K168" s="1751"/>
      <c r="L168" s="1751"/>
      <c r="M168" s="1751"/>
      <c r="N168" s="1751"/>
      <c r="O168" s="1751"/>
      <c r="P168" s="1751"/>
      <c r="Q168" s="1752"/>
      <c r="R168" s="1752"/>
      <c r="S168" s="1752"/>
      <c r="T168" s="1752"/>
      <c r="U168" s="1751"/>
      <c r="V168" s="1751"/>
      <c r="W168" s="1751"/>
      <c r="X168" s="1751"/>
      <c r="Y168" s="1751"/>
      <c r="Z168" s="1751"/>
      <c r="AA168" s="1751"/>
      <c r="AB168" s="1751"/>
      <c r="AC168" s="1751"/>
    </row>
    <row r="169" spans="4:29" x14ac:dyDescent="0.35">
      <c r="D169" s="1727" t="s">
        <v>902</v>
      </c>
      <c r="E169" s="1744"/>
      <c r="F169" s="1624">
        <v>2019</v>
      </c>
      <c r="G169" s="1646"/>
      <c r="H169" s="1661"/>
      <c r="I169" s="1624">
        <v>2020</v>
      </c>
      <c r="J169" s="1646"/>
      <c r="K169" s="1646"/>
      <c r="L169" s="1661"/>
      <c r="M169" s="1624">
        <v>2021</v>
      </c>
      <c r="N169" s="1646"/>
      <c r="O169" s="1646"/>
      <c r="P169" s="1646"/>
      <c r="Q169" s="1624">
        <v>2022</v>
      </c>
      <c r="R169" s="1625"/>
      <c r="S169" s="1625"/>
      <c r="T169" s="1661"/>
      <c r="U169" s="1228"/>
      <c r="V169" s="1229">
        <v>2023</v>
      </c>
      <c r="W169" s="1229"/>
      <c r="X169" s="1230"/>
      <c r="Y169" s="1633">
        <v>2024</v>
      </c>
      <c r="Z169" s="1631"/>
      <c r="AA169" s="1631"/>
      <c r="AB169" s="1632"/>
      <c r="AC169" s="178">
        <v>2025</v>
      </c>
    </row>
    <row r="170" spans="4:29" x14ac:dyDescent="0.35">
      <c r="D170" s="1747"/>
      <c r="E170" s="1748"/>
      <c r="F170" s="118" t="s">
        <v>284</v>
      </c>
      <c r="G170" s="132" t="s">
        <v>238</v>
      </c>
      <c r="H170" s="115" t="s">
        <v>282</v>
      </c>
      <c r="I170" s="118" t="s">
        <v>283</v>
      </c>
      <c r="J170" s="132" t="s">
        <v>284</v>
      </c>
      <c r="K170" s="132" t="s">
        <v>238</v>
      </c>
      <c r="L170" s="115" t="s">
        <v>282</v>
      </c>
      <c r="M170" s="118" t="s">
        <v>283</v>
      </c>
      <c r="N170" s="132" t="s">
        <v>284</v>
      </c>
      <c r="O170" s="132" t="s">
        <v>238</v>
      </c>
      <c r="P170" s="132" t="s">
        <v>282</v>
      </c>
      <c r="Q170" s="118" t="s">
        <v>283</v>
      </c>
      <c r="R170" s="132" t="s">
        <v>284</v>
      </c>
      <c r="S170" s="132" t="s">
        <v>238</v>
      </c>
      <c r="T170" s="115" t="s">
        <v>282</v>
      </c>
      <c r="U170" s="1127" t="s">
        <v>283</v>
      </c>
      <c r="V170" s="190" t="s">
        <v>284</v>
      </c>
      <c r="W170" s="190" t="s">
        <v>238</v>
      </c>
      <c r="X170" s="191" t="s">
        <v>282</v>
      </c>
      <c r="Y170" s="189" t="s">
        <v>283</v>
      </c>
      <c r="Z170" s="186" t="s">
        <v>284</v>
      </c>
      <c r="AA170" s="190" t="s">
        <v>238</v>
      </c>
      <c r="AB170" s="190" t="s">
        <v>282</v>
      </c>
      <c r="AC170" s="324" t="s">
        <v>283</v>
      </c>
    </row>
    <row r="171" spans="4:29" x14ac:dyDescent="0.35">
      <c r="D171" s="1446" t="s">
        <v>504</v>
      </c>
      <c r="E171" s="1447"/>
      <c r="F171" s="1448">
        <f>F173+F175</f>
        <v>14660.3</v>
      </c>
      <c r="G171" s="1449">
        <f t="shared" ref="G171:P171" si="59">G173+G175</f>
        <v>14748</v>
      </c>
      <c r="H171" s="1449">
        <f t="shared" si="59"/>
        <v>14896.1</v>
      </c>
      <c r="I171" s="1449">
        <f t="shared" si="59"/>
        <v>5492.6</v>
      </c>
      <c r="J171" s="1449">
        <f t="shared" si="59"/>
        <v>14127</v>
      </c>
      <c r="K171" s="1449">
        <f t="shared" si="59"/>
        <v>14803.099999999999</v>
      </c>
      <c r="L171" s="1449">
        <f t="shared" si="59"/>
        <v>15014.2</v>
      </c>
      <c r="M171" s="1449">
        <f t="shared" si="59"/>
        <v>15152.900000000001</v>
      </c>
      <c r="N171" s="1449">
        <f t="shared" si="59"/>
        <v>15654.4</v>
      </c>
      <c r="O171" s="1449">
        <f t="shared" si="59"/>
        <v>15799.3</v>
      </c>
      <c r="P171" s="1449">
        <f t="shared" si="59"/>
        <v>15983.8</v>
      </c>
      <c r="Q171" s="1449">
        <f>Q173+Q175</f>
        <v>16571.400000000001</v>
      </c>
      <c r="R171" s="1449">
        <f t="shared" ref="R171:S171" si="60">R173+R175</f>
        <v>16848</v>
      </c>
      <c r="S171" s="1449">
        <f t="shared" si="60"/>
        <v>17094.3</v>
      </c>
      <c r="T171" s="1450">
        <f>S171*(1+T183)^(1/4)</f>
        <v>17463.472490140091</v>
      </c>
      <c r="U171" s="778">
        <f t="shared" ref="U171:AC171" si="61">T171*(1+U183)^(1/4)</f>
        <v>17681.570370477613</v>
      </c>
      <c r="V171" s="778">
        <f t="shared" si="61"/>
        <v>17915.310313953283</v>
      </c>
      <c r="W171" s="778">
        <f t="shared" si="61"/>
        <v>18134.299197887285</v>
      </c>
      <c r="X171" s="778">
        <f t="shared" si="61"/>
        <v>18366.85113656765</v>
      </c>
      <c r="Y171" s="778">
        <f t="shared" si="61"/>
        <v>18567.326945774861</v>
      </c>
      <c r="Z171" s="778">
        <f t="shared" si="61"/>
        <v>18756.714710225915</v>
      </c>
      <c r="AA171" s="778">
        <f t="shared" si="61"/>
        <v>18946.894477873844</v>
      </c>
      <c r="AB171" s="778">
        <f t="shared" si="61"/>
        <v>19139.846256710807</v>
      </c>
      <c r="AC171" s="660">
        <f t="shared" si="61"/>
        <v>19339.332061921934</v>
      </c>
    </row>
    <row r="172" spans="4:29" x14ac:dyDescent="0.35">
      <c r="D172" s="1436"/>
      <c r="E172" s="1451"/>
      <c r="F172" s="1452"/>
      <c r="G172" s="1453"/>
      <c r="H172" s="1453"/>
      <c r="I172" s="1453"/>
      <c r="J172" s="1453"/>
      <c r="K172" s="1453"/>
      <c r="L172" s="1453"/>
      <c r="M172" s="1453"/>
      <c r="N172" s="1453"/>
      <c r="O172" s="1453"/>
      <c r="P172" s="1453"/>
      <c r="Q172" s="1453"/>
      <c r="R172" s="1453"/>
      <c r="S172" s="1453"/>
      <c r="T172" s="1454"/>
      <c r="U172" s="657"/>
      <c r="V172" s="657"/>
      <c r="W172" s="657"/>
      <c r="X172" s="657"/>
      <c r="Y172" s="657"/>
      <c r="Z172" s="657"/>
      <c r="AA172" s="657"/>
      <c r="AB172" s="657"/>
      <c r="AC172" s="697"/>
    </row>
    <row r="173" spans="4:29" x14ac:dyDescent="0.35">
      <c r="D173" s="1455" t="s">
        <v>505</v>
      </c>
      <c r="E173" s="1456"/>
      <c r="F173" s="1452">
        <v>9274.9</v>
      </c>
      <c r="G173" s="1453">
        <v>9311.2999999999993</v>
      </c>
      <c r="H173" s="1453">
        <v>9422.5</v>
      </c>
      <c r="I173" s="1453">
        <v>0</v>
      </c>
      <c r="J173" s="1453">
        <v>8908.7999999999993</v>
      </c>
      <c r="K173" s="1453">
        <v>9343.2999999999993</v>
      </c>
      <c r="L173" s="1453">
        <v>9546</v>
      </c>
      <c r="M173" s="1453">
        <v>9702.2000000000007</v>
      </c>
      <c r="N173" s="1453">
        <v>9950.4</v>
      </c>
      <c r="O173" s="1453">
        <v>10175.1</v>
      </c>
      <c r="P173" s="1453">
        <v>10336.6</v>
      </c>
      <c r="Q173" s="1453">
        <v>10995.9</v>
      </c>
      <c r="R173" s="1453">
        <v>11172.6</v>
      </c>
      <c r="S173" s="1453">
        <v>11320.4</v>
      </c>
      <c r="T173" s="1454">
        <f>S173*(1+T185)^(1/4)</f>
        <v>11487.097039810064</v>
      </c>
      <c r="U173" s="657">
        <f t="shared" ref="U173:AC173" si="62">T173*(1+U185)^(1/4)</f>
        <v>11613.629756622413</v>
      </c>
      <c r="V173" s="657">
        <f t="shared" si="62"/>
        <v>11725.163766350403</v>
      </c>
      <c r="W173" s="657">
        <f t="shared" si="62"/>
        <v>11851.5958206991</v>
      </c>
      <c r="X173" s="657">
        <f t="shared" si="62"/>
        <v>11996.046456041759</v>
      </c>
      <c r="Y173" s="657">
        <f t="shared" si="62"/>
        <v>12140.094441529804</v>
      </c>
      <c r="Z173" s="657">
        <f t="shared" si="62"/>
        <v>12282.028515281125</v>
      </c>
      <c r="AA173" s="657">
        <f t="shared" si="62"/>
        <v>12426.982462942049</v>
      </c>
      <c r="AB173" s="657">
        <f t="shared" si="62"/>
        <v>12578.580133204099</v>
      </c>
      <c r="AC173" s="697">
        <f t="shared" si="62"/>
        <v>12737.224175921889</v>
      </c>
    </row>
    <row r="174" spans="4:29" x14ac:dyDescent="0.35">
      <c r="D174" s="1455"/>
      <c r="E174" s="1456"/>
      <c r="F174" s="1452"/>
      <c r="G174" s="1453"/>
      <c r="H174" s="1453"/>
      <c r="I174" s="1453"/>
      <c r="J174" s="1453"/>
      <c r="K174" s="1453"/>
      <c r="L174" s="1453"/>
      <c r="M174" s="1453"/>
      <c r="N174" s="1453"/>
      <c r="O174" s="1453"/>
      <c r="P174" s="1453"/>
      <c r="Q174" s="1453"/>
      <c r="R174" s="1453"/>
      <c r="S174" s="1453"/>
      <c r="T174" s="1454"/>
      <c r="U174" s="657"/>
      <c r="V174" s="657"/>
      <c r="W174" s="657"/>
      <c r="X174" s="657"/>
      <c r="Y174" s="657"/>
      <c r="Z174" s="657"/>
      <c r="AA174" s="657"/>
      <c r="AB174" s="657"/>
      <c r="AC174" s="697"/>
    </row>
    <row r="175" spans="4:29" x14ac:dyDescent="0.35">
      <c r="D175" s="1455" t="s">
        <v>901</v>
      </c>
      <c r="E175" s="1456"/>
      <c r="F175" s="1452">
        <v>5385.4</v>
      </c>
      <c r="G175" s="1453">
        <v>5436.7</v>
      </c>
      <c r="H175" s="1453">
        <v>5473.6</v>
      </c>
      <c r="I175" s="1453">
        <v>5492.6</v>
      </c>
      <c r="J175" s="1453">
        <v>5218.2</v>
      </c>
      <c r="K175" s="1453">
        <v>5459.8</v>
      </c>
      <c r="L175" s="1453">
        <v>5468.2</v>
      </c>
      <c r="M175" s="1453">
        <v>5450.7</v>
      </c>
      <c r="N175" s="1453">
        <v>5704</v>
      </c>
      <c r="O175" s="1453">
        <v>5624.2</v>
      </c>
      <c r="P175" s="1453">
        <v>5647.2</v>
      </c>
      <c r="Q175" s="1453">
        <v>5575.5</v>
      </c>
      <c r="R175" s="1453">
        <v>5675.4</v>
      </c>
      <c r="S175" s="1453">
        <v>5773.9</v>
      </c>
      <c r="T175" s="1454">
        <f t="shared" ref="T175:AC175" si="63">S175*(1+T187)^(1/4)</f>
        <v>5972.692471350274</v>
      </c>
      <c r="U175" s="657">
        <f t="shared" si="63"/>
        <v>6063.4101162597572</v>
      </c>
      <c r="V175" s="657">
        <f t="shared" si="63"/>
        <v>6183.5678425510705</v>
      </c>
      <c r="W175" s="657">
        <f t="shared" si="63"/>
        <v>6275.2444477661511</v>
      </c>
      <c r="X175" s="657">
        <f t="shared" si="63"/>
        <v>6362.8934196977234</v>
      </c>
      <c r="Y175" s="657">
        <f t="shared" si="63"/>
        <v>6419.8556618501898</v>
      </c>
      <c r="Z175" s="657">
        <f t="shared" si="63"/>
        <v>6468.0913652217214</v>
      </c>
      <c r="AA175" s="657">
        <f t="shared" si="63"/>
        <v>6514.2173559209414</v>
      </c>
      <c r="AB175" s="657">
        <f t="shared" si="63"/>
        <v>6556.699297458892</v>
      </c>
      <c r="AC175" s="697">
        <f t="shared" si="63"/>
        <v>6598.7976548746037</v>
      </c>
    </row>
    <row r="176" spans="4:29" x14ac:dyDescent="0.35">
      <c r="D176" s="1455"/>
      <c r="E176" s="1456"/>
      <c r="F176" s="1452"/>
      <c r="G176" s="1453"/>
      <c r="H176" s="1453"/>
      <c r="I176" s="1453"/>
      <c r="J176" s="1453"/>
      <c r="K176" s="1453"/>
      <c r="L176" s="1453"/>
      <c r="M176" s="1453"/>
      <c r="N176" s="1453"/>
      <c r="O176" s="1453"/>
      <c r="P176" s="1453"/>
      <c r="Q176" s="1453"/>
      <c r="R176" s="1453"/>
      <c r="S176" s="1453"/>
      <c r="T176" s="1454"/>
      <c r="U176" s="657"/>
      <c r="V176" s="657"/>
      <c r="W176" s="657"/>
      <c r="X176" s="657"/>
      <c r="Y176" s="657"/>
      <c r="Z176" s="657"/>
      <c r="AA176" s="657"/>
      <c r="AB176" s="657"/>
      <c r="AC176" s="697"/>
    </row>
    <row r="177" spans="3:30" x14ac:dyDescent="0.35">
      <c r="D177" s="1457" t="s">
        <v>506</v>
      </c>
      <c r="E177" s="1456"/>
      <c r="F177" s="1458"/>
      <c r="G177" s="1456"/>
      <c r="H177" s="1453"/>
      <c r="I177" s="1453"/>
      <c r="J177" s="1453"/>
      <c r="K177" s="1453"/>
      <c r="L177" s="1453"/>
      <c r="M177" s="1453">
        <v>15041</v>
      </c>
      <c r="N177" s="1453">
        <v>15551</v>
      </c>
      <c r="O177" s="1453">
        <v>15824</v>
      </c>
      <c r="P177" s="1453">
        <v>16056</v>
      </c>
      <c r="Q177" s="1453">
        <v>16690.7</v>
      </c>
      <c r="R177" s="1453">
        <v>16993</v>
      </c>
      <c r="S177" s="1453">
        <v>17251.3</v>
      </c>
      <c r="T177" s="1454">
        <f t="shared" ref="T177:AC177" si="64">S177*(1+T189)^(1/4)</f>
        <v>17580.231969332821</v>
      </c>
      <c r="U177" s="657">
        <f t="shared" si="64"/>
        <v>17789.802996500563</v>
      </c>
      <c r="V177" s="657">
        <f t="shared" si="64"/>
        <v>17975.344263034403</v>
      </c>
      <c r="W177" s="657">
        <f t="shared" si="64"/>
        <v>18172.801927259647</v>
      </c>
      <c r="X177" s="657">
        <f t="shared" si="64"/>
        <v>18366.41876908849</v>
      </c>
      <c r="Y177" s="657">
        <f t="shared" si="64"/>
        <v>18550.679761490199</v>
      </c>
      <c r="Z177" s="657">
        <f t="shared" si="64"/>
        <v>18730.804483618864</v>
      </c>
      <c r="AA177" s="657">
        <f t="shared" si="64"/>
        <v>18909.550448989845</v>
      </c>
      <c r="AB177" s="657">
        <f t="shared" si="64"/>
        <v>19097.652263787957</v>
      </c>
      <c r="AC177" s="697">
        <f t="shared" si="64"/>
        <v>19291.367588242345</v>
      </c>
    </row>
    <row r="178" spans="3:30" x14ac:dyDescent="0.35">
      <c r="D178" s="1457"/>
      <c r="E178" s="1456"/>
      <c r="F178" s="1458"/>
      <c r="G178" s="1456"/>
      <c r="H178" s="1453"/>
      <c r="I178" s="1453"/>
      <c r="J178" s="1453"/>
      <c r="K178" s="1453"/>
      <c r="L178" s="1453"/>
      <c r="M178" s="1453"/>
      <c r="N178" s="1453"/>
      <c r="O178" s="1453"/>
      <c r="P178" s="1453"/>
      <c r="Q178" s="1453"/>
      <c r="R178" s="1453"/>
      <c r="S178" s="1453"/>
      <c r="T178" s="1454"/>
      <c r="U178" s="657"/>
      <c r="V178" s="657"/>
      <c r="W178" s="657"/>
      <c r="X178" s="657"/>
      <c r="Y178" s="657"/>
      <c r="Z178" s="657"/>
      <c r="AA178" s="657"/>
      <c r="AB178" s="657"/>
      <c r="AC178" s="697"/>
    </row>
    <row r="179" spans="3:30" x14ac:dyDescent="0.35">
      <c r="C179" s="35"/>
      <c r="D179" s="1459" t="s">
        <v>512</v>
      </c>
      <c r="E179" s="1460"/>
      <c r="F179" s="1461"/>
      <c r="G179" s="1460"/>
      <c r="H179" s="1462"/>
      <c r="I179" s="1462"/>
      <c r="J179" s="1462"/>
      <c r="K179" s="1462"/>
      <c r="L179" s="1462"/>
      <c r="M179" s="1462">
        <v>1874</v>
      </c>
      <c r="N179" s="1462">
        <v>2307</v>
      </c>
      <c r="O179" s="1462">
        <v>2443</v>
      </c>
      <c r="P179" s="1462">
        <v>2460</v>
      </c>
      <c r="Q179" s="1462">
        <v>2329.5</v>
      </c>
      <c r="R179" s="1462">
        <v>2420.1999999999998</v>
      </c>
      <c r="S179" s="1462">
        <v>2468.6999999999998</v>
      </c>
      <c r="T179" s="1463">
        <f t="shared" ref="T179:AC179" si="65">S179*(1+T191)^(1/4)</f>
        <v>2337.8012141236418</v>
      </c>
      <c r="U179" s="719">
        <f t="shared" si="65"/>
        <v>2180.860252378488</v>
      </c>
      <c r="V179" s="719">
        <f t="shared" si="65"/>
        <v>2057.2336212730388</v>
      </c>
      <c r="W179" s="719">
        <f t="shared" si="65"/>
        <v>1987.5585167787908</v>
      </c>
      <c r="X179" s="719">
        <f t="shared" si="65"/>
        <v>1936.6534333824293</v>
      </c>
      <c r="Y179" s="719">
        <f t="shared" si="65"/>
        <v>1958.5681700569246</v>
      </c>
      <c r="Z179" s="719">
        <f t="shared" si="65"/>
        <v>1993.6514032084713</v>
      </c>
      <c r="AA179" s="719">
        <f t="shared" si="65"/>
        <v>2043.2789459018352</v>
      </c>
      <c r="AB179" s="719">
        <f t="shared" si="65"/>
        <v>2113.9367740137736</v>
      </c>
      <c r="AC179" s="720">
        <f t="shared" si="65"/>
        <v>2182.1377930814861</v>
      </c>
      <c r="AD179" s="35"/>
    </row>
    <row r="180" spans="3:30" s="1157" customFormat="1" ht="14.9" customHeight="1" x14ac:dyDescent="0.35">
      <c r="C180" s="1202"/>
      <c r="D180" s="1160"/>
      <c r="E180" s="1269"/>
      <c r="F180" s="1269"/>
      <c r="G180" s="1269"/>
      <c r="H180" s="1270"/>
      <c r="I180" s="1270"/>
      <c r="J180" s="1270"/>
      <c r="K180" s="1270"/>
      <c r="L180" s="1270"/>
      <c r="M180" s="1270"/>
      <c r="N180" s="1270"/>
      <c r="O180" s="1270"/>
      <c r="P180" s="1270"/>
      <c r="Q180" s="1270"/>
      <c r="R180" s="1270"/>
      <c r="S180" s="1270"/>
      <c r="T180" s="1270"/>
      <c r="U180" s="1270"/>
      <c r="V180" s="1270"/>
      <c r="W180" s="1270"/>
      <c r="X180" s="1270"/>
      <c r="Y180" s="1270"/>
      <c r="Z180" s="1270"/>
      <c r="AA180" s="1270"/>
      <c r="AB180" s="1270"/>
      <c r="AC180" s="1270"/>
      <c r="AD180" s="1202"/>
    </row>
    <row r="181" spans="3:30" x14ac:dyDescent="0.35">
      <c r="C181" s="35"/>
      <c r="D181" s="1727" t="s">
        <v>902</v>
      </c>
      <c r="E181" s="1744"/>
      <c r="F181" s="1624">
        <v>2019</v>
      </c>
      <c r="G181" s="1646"/>
      <c r="H181" s="1661"/>
      <c r="I181" s="1624">
        <v>2020</v>
      </c>
      <c r="J181" s="1646"/>
      <c r="K181" s="1646"/>
      <c r="L181" s="1661"/>
      <c r="M181" s="1624">
        <v>2021</v>
      </c>
      <c r="N181" s="1646"/>
      <c r="O181" s="1646"/>
      <c r="P181" s="1625"/>
      <c r="Q181" s="1624">
        <v>2022</v>
      </c>
      <c r="R181" s="1625"/>
      <c r="S181" s="1625"/>
      <c r="T181" s="1661"/>
      <c r="U181" s="1228"/>
      <c r="V181" s="1229">
        <v>2023</v>
      </c>
      <c r="W181" s="1229"/>
      <c r="X181" s="1230"/>
      <c r="Y181" s="1633">
        <v>2024</v>
      </c>
      <c r="Z181" s="1631"/>
      <c r="AA181" s="1631"/>
      <c r="AB181" s="1632"/>
      <c r="AC181" s="178">
        <v>2025</v>
      </c>
      <c r="AD181" s="35"/>
    </row>
    <row r="182" spans="3:30" x14ac:dyDescent="0.35">
      <c r="C182" s="35"/>
      <c r="D182" s="1747"/>
      <c r="E182" s="1748"/>
      <c r="F182" s="118" t="s">
        <v>284</v>
      </c>
      <c r="G182" s="132" t="s">
        <v>238</v>
      </c>
      <c r="H182" s="115" t="s">
        <v>282</v>
      </c>
      <c r="I182" s="118" t="s">
        <v>283</v>
      </c>
      <c r="J182" s="132" t="s">
        <v>284</v>
      </c>
      <c r="K182" s="132" t="s">
        <v>238</v>
      </c>
      <c r="L182" s="115" t="s">
        <v>282</v>
      </c>
      <c r="M182" s="118" t="s">
        <v>283</v>
      </c>
      <c r="N182" s="132" t="s">
        <v>284</v>
      </c>
      <c r="O182" s="132" t="s">
        <v>238</v>
      </c>
      <c r="P182" s="132" t="s">
        <v>282</v>
      </c>
      <c r="Q182" s="118" t="s">
        <v>283</v>
      </c>
      <c r="R182" s="132" t="s">
        <v>284</v>
      </c>
      <c r="S182" s="132" t="s">
        <v>238</v>
      </c>
      <c r="T182" s="115" t="s">
        <v>282</v>
      </c>
      <c r="U182" s="1127" t="s">
        <v>283</v>
      </c>
      <c r="V182" s="190" t="s">
        <v>284</v>
      </c>
      <c r="W182" s="190" t="s">
        <v>238</v>
      </c>
      <c r="X182" s="191" t="s">
        <v>282</v>
      </c>
      <c r="Y182" s="189" t="s">
        <v>283</v>
      </c>
      <c r="Z182" s="186" t="s">
        <v>284</v>
      </c>
      <c r="AA182" s="190" t="s">
        <v>238</v>
      </c>
      <c r="AB182" s="190" t="s">
        <v>282</v>
      </c>
      <c r="AC182" s="324" t="s">
        <v>283</v>
      </c>
      <c r="AD182" s="35"/>
    </row>
    <row r="183" spans="3:30" ht="27.65" customHeight="1" x14ac:dyDescent="0.35">
      <c r="C183" s="35"/>
      <c r="D183" s="1446" t="s">
        <v>504</v>
      </c>
      <c r="E183" s="1447"/>
      <c r="F183" s="1464"/>
      <c r="G183" s="1465" t="e">
        <f t="shared" ref="G183:AC183" si="66">(G122/F122)^4-1</f>
        <v>#DIV/0!</v>
      </c>
      <c r="H183" s="1465" t="e">
        <f t="shared" si="66"/>
        <v>#DIV/0!</v>
      </c>
      <c r="I183" s="1465" t="e">
        <f t="shared" si="66"/>
        <v>#DIV/0!</v>
      </c>
      <c r="J183" s="1465">
        <f t="shared" si="66"/>
        <v>-0.21070155504838917</v>
      </c>
      <c r="K183" s="1465">
        <f t="shared" si="66"/>
        <v>0.20409656990320446</v>
      </c>
      <c r="L183" s="1465">
        <f t="shared" si="66"/>
        <v>0.10445079655049061</v>
      </c>
      <c r="M183" s="1465">
        <f t="shared" si="66"/>
        <v>1.0038022914703681E-2</v>
      </c>
      <c r="N183" s="1465">
        <f t="shared" si="66"/>
        <v>0.12746591651095995</v>
      </c>
      <c r="O183" s="1465">
        <f t="shared" si="66"/>
        <v>8.7536504987418162E-2</v>
      </c>
      <c r="P183" s="1465">
        <f t="shared" si="66"/>
        <v>9.6257802203331799E-2</v>
      </c>
      <c r="Q183" s="1465">
        <f t="shared" si="66"/>
        <v>5.3130466022335732E-2</v>
      </c>
      <c r="R183" s="1465">
        <f t="shared" si="66"/>
        <v>5.8700506146537323E-2</v>
      </c>
      <c r="S183" s="1465">
        <f t="shared" si="66"/>
        <v>6.6224916945864853E-2</v>
      </c>
      <c r="T183" s="1466">
        <f t="shared" si="66"/>
        <v>8.9223823992267803E-2</v>
      </c>
      <c r="U183" s="707">
        <f t="shared" si="66"/>
        <v>5.0898852075559109E-2</v>
      </c>
      <c r="V183" s="707">
        <f t="shared" si="66"/>
        <v>5.39354314600895E-2</v>
      </c>
      <c r="W183" s="707">
        <f t="shared" si="66"/>
        <v>4.9798063494010059E-2</v>
      </c>
      <c r="X183" s="707">
        <f t="shared" si="66"/>
        <v>5.229066242697944E-2</v>
      </c>
      <c r="Y183" s="707">
        <f t="shared" si="66"/>
        <v>4.4380405600340955E-2</v>
      </c>
      <c r="Z183" s="707">
        <f t="shared" si="66"/>
        <v>4.1428724323071764E-2</v>
      </c>
      <c r="AA183" s="707">
        <f t="shared" si="66"/>
        <v>4.1178170772385725E-2</v>
      </c>
      <c r="AB183" s="707">
        <f t="shared" si="66"/>
        <v>4.1361780021860417E-2</v>
      </c>
      <c r="AC183" s="708">
        <f t="shared" si="66"/>
        <v>4.2346474891928665E-2</v>
      </c>
      <c r="AD183" s="35"/>
    </row>
    <row r="184" spans="3:30" ht="27.65" customHeight="1" x14ac:dyDescent="0.35">
      <c r="C184" s="35"/>
      <c r="D184" s="1436"/>
      <c r="E184" s="1451"/>
      <c r="F184" s="843"/>
      <c r="G184" s="1438"/>
      <c r="H184" s="1438"/>
      <c r="I184" s="1438"/>
      <c r="J184" s="1438"/>
      <c r="K184" s="1438"/>
      <c r="L184" s="1438"/>
      <c r="M184" s="1438"/>
      <c r="N184" s="1438"/>
      <c r="O184" s="1438"/>
      <c r="P184" s="1438"/>
      <c r="Q184" s="1438"/>
      <c r="R184" s="1438"/>
      <c r="S184" s="1438"/>
      <c r="T184" s="1467"/>
      <c r="U184" s="659"/>
      <c r="V184" s="659"/>
      <c r="W184" s="659"/>
      <c r="X184" s="659"/>
      <c r="Y184" s="659"/>
      <c r="Z184" s="659"/>
      <c r="AA184" s="659"/>
      <c r="AB184" s="659"/>
      <c r="AC184" s="709"/>
      <c r="AD184" s="35"/>
    </row>
    <row r="185" spans="3:30" ht="27.65" customHeight="1" x14ac:dyDescent="0.35">
      <c r="C185" s="35"/>
      <c r="D185" s="1455" t="s">
        <v>505</v>
      </c>
      <c r="E185" s="1456"/>
      <c r="F185" s="843"/>
      <c r="G185" s="1438" t="e">
        <f t="shared" ref="G185:AC185" si="67">(G123/F123)^4-1</f>
        <v>#DIV/0!</v>
      </c>
      <c r="H185" s="1438" t="e">
        <f t="shared" si="67"/>
        <v>#DIV/0!</v>
      </c>
      <c r="I185" s="1438" t="e">
        <f t="shared" si="67"/>
        <v>#DIV/0!</v>
      </c>
      <c r="J185" s="1438">
        <f t="shared" si="67"/>
        <v>-0.23688314079507089</v>
      </c>
      <c r="K185" s="1438">
        <f t="shared" si="67"/>
        <v>0.20520050761606656</v>
      </c>
      <c r="L185" s="1438">
        <f t="shared" si="67"/>
        <v>0.16094955415161705</v>
      </c>
      <c r="M185" s="1438">
        <f t="shared" si="67"/>
        <v>2.7883833548878467E-2</v>
      </c>
      <c r="N185" s="1438">
        <f t="shared" si="67"/>
        <v>0.12185900162885499</v>
      </c>
      <c r="O185" s="1438">
        <f t="shared" si="67"/>
        <v>0.11675899119493027</v>
      </c>
      <c r="P185" s="1438">
        <f t="shared" si="67"/>
        <v>0.13115208751063179</v>
      </c>
      <c r="Q185" s="1438">
        <f t="shared" si="67"/>
        <v>6.7554374316260324E-2</v>
      </c>
      <c r="R185" s="1438">
        <f t="shared" si="67"/>
        <v>4.9399992962044781E-2</v>
      </c>
      <c r="S185" s="1438">
        <f t="shared" si="67"/>
        <v>6.9721013529006282E-2</v>
      </c>
      <c r="T185" s="1467">
        <f t="shared" si="67"/>
        <v>6.0215303838485168E-2</v>
      </c>
      <c r="U185" s="659">
        <f t="shared" si="67"/>
        <v>4.4794184982262397E-2</v>
      </c>
      <c r="V185" s="659">
        <f t="shared" si="67"/>
        <v>3.8971806498267147E-2</v>
      </c>
      <c r="W185" s="659">
        <f t="shared" si="67"/>
        <v>4.3834530964215634E-2</v>
      </c>
      <c r="X185" s="659">
        <f t="shared" si="67"/>
        <v>4.9651733025286138E-2</v>
      </c>
      <c r="Y185" s="659">
        <f t="shared" si="67"/>
        <v>4.8903912261530902E-2</v>
      </c>
      <c r="Z185" s="659">
        <f t="shared" si="67"/>
        <v>4.7591930307703478E-2</v>
      </c>
      <c r="AA185" s="659">
        <f t="shared" si="67"/>
        <v>4.8050806277727842E-2</v>
      </c>
      <c r="AB185" s="659">
        <f t="shared" si="67"/>
        <v>4.9696481519596158E-2</v>
      </c>
      <c r="AC185" s="709">
        <f t="shared" si="67"/>
        <v>5.1411412231850306E-2</v>
      </c>
      <c r="AD185" s="35"/>
    </row>
    <row r="186" spans="3:30" ht="27.65" customHeight="1" x14ac:dyDescent="0.35">
      <c r="C186" s="35"/>
      <c r="D186" s="1455"/>
      <c r="E186" s="1456"/>
      <c r="F186" s="843"/>
      <c r="G186" s="1438"/>
      <c r="H186" s="1438"/>
      <c r="I186" s="1438"/>
      <c r="J186" s="1438"/>
      <c r="K186" s="1438"/>
      <c r="L186" s="1438"/>
      <c r="M186" s="1438"/>
      <c r="N186" s="1438"/>
      <c r="O186" s="1438"/>
      <c r="P186" s="1438"/>
      <c r="Q186" s="1438"/>
      <c r="R186" s="1438"/>
      <c r="S186" s="1438"/>
      <c r="T186" s="1467"/>
      <c r="U186" s="659"/>
      <c r="V186" s="659"/>
      <c r="W186" s="659"/>
      <c r="X186" s="659"/>
      <c r="Y186" s="659"/>
      <c r="Z186" s="659"/>
      <c r="AA186" s="659"/>
      <c r="AB186" s="659"/>
      <c r="AC186" s="709"/>
      <c r="AD186" s="35"/>
    </row>
    <row r="187" spans="3:30" x14ac:dyDescent="0.35">
      <c r="C187" s="35"/>
      <c r="D187" s="1455" t="s">
        <v>901</v>
      </c>
      <c r="E187" s="1456"/>
      <c r="F187" s="843"/>
      <c r="G187" s="1438" t="e">
        <f t="shared" ref="G187:AC187" si="68">(G124/F124)^4-1</f>
        <v>#DIV/0!</v>
      </c>
      <c r="H187" s="1438" t="e">
        <f t="shared" si="68"/>
        <v>#DIV/0!</v>
      </c>
      <c r="I187" s="1438" t="e">
        <f t="shared" si="68"/>
        <v>#DIV/0!</v>
      </c>
      <c r="J187" s="1438">
        <f t="shared" si="68"/>
        <v>-0.16336002849894693</v>
      </c>
      <c r="K187" s="1438">
        <f t="shared" si="68"/>
        <v>0.20221386896849047</v>
      </c>
      <c r="L187" s="1438">
        <f t="shared" si="68"/>
        <v>1.2745999464862878E-2</v>
      </c>
      <c r="M187" s="1438">
        <f t="shared" si="68"/>
        <v>-2.0933426342402583E-2</v>
      </c>
      <c r="N187" s="1438">
        <f t="shared" si="68"/>
        <v>0.13754934573019617</v>
      </c>
      <c r="O187" s="1438">
        <f t="shared" si="68"/>
        <v>3.6864487370476651E-2</v>
      </c>
      <c r="P187" s="1438">
        <f t="shared" si="68"/>
        <v>3.4953421847994104E-2</v>
      </c>
      <c r="Q187" s="1438">
        <f t="shared" si="68"/>
        <v>2.6732902126662683E-2</v>
      </c>
      <c r="R187" s="1438">
        <f t="shared" si="68"/>
        <v>7.630767003118466E-2</v>
      </c>
      <c r="S187" s="1438">
        <f t="shared" si="68"/>
        <v>5.9733145707485225E-2</v>
      </c>
      <c r="T187" s="1467">
        <f t="shared" si="68"/>
        <v>0.14499498323752569</v>
      </c>
      <c r="U187" s="659">
        <f t="shared" si="68"/>
        <v>6.2153196479126871E-2</v>
      </c>
      <c r="V187" s="659">
        <f t="shared" si="68"/>
        <v>8.1654954647559119E-2</v>
      </c>
      <c r="W187" s="659">
        <f t="shared" si="68"/>
        <v>6.0635288713164925E-2</v>
      </c>
      <c r="X187" s="659">
        <f t="shared" si="68"/>
        <v>5.7051148629246429E-2</v>
      </c>
      <c r="Y187" s="659">
        <f t="shared" si="68"/>
        <v>3.6292752006835016E-2</v>
      </c>
      <c r="Z187" s="659">
        <f t="shared" si="68"/>
        <v>3.0394491009306357E-2</v>
      </c>
      <c r="AA187" s="659">
        <f t="shared" si="68"/>
        <v>2.8831843214639719E-2</v>
      </c>
      <c r="AB187" s="659">
        <f t="shared" si="68"/>
        <v>2.634196107872655E-2</v>
      </c>
      <c r="AC187" s="709">
        <f t="shared" si="68"/>
        <v>2.5931062463653953E-2</v>
      </c>
      <c r="AD187" s="35"/>
    </row>
    <row r="188" spans="3:30" x14ac:dyDescent="0.35">
      <c r="C188" s="35"/>
      <c r="D188" s="1455"/>
      <c r="E188" s="1456"/>
      <c r="F188" s="843"/>
      <c r="G188" s="1438"/>
      <c r="H188" s="1438"/>
      <c r="I188" s="1438"/>
      <c r="J188" s="1438"/>
      <c r="K188" s="1438"/>
      <c r="L188" s="1438"/>
      <c r="M188" s="1438"/>
      <c r="N188" s="1438"/>
      <c r="O188" s="1438"/>
      <c r="P188" s="1438"/>
      <c r="Q188" s="1438"/>
      <c r="R188" s="1438"/>
      <c r="S188" s="1438"/>
      <c r="T188" s="1467"/>
      <c r="U188" s="659"/>
      <c r="V188" s="659"/>
      <c r="W188" s="659"/>
      <c r="X188" s="659"/>
      <c r="Y188" s="659"/>
      <c r="Z188" s="659"/>
      <c r="AA188" s="659"/>
      <c r="AB188" s="659"/>
      <c r="AC188" s="709"/>
      <c r="AD188" s="35"/>
    </row>
    <row r="189" spans="3:30" x14ac:dyDescent="0.35">
      <c r="C189" s="35"/>
      <c r="D189" s="1457" t="s">
        <v>506</v>
      </c>
      <c r="E189" s="1456"/>
      <c r="F189" s="843"/>
      <c r="G189" s="1438"/>
      <c r="H189" s="1438"/>
      <c r="I189" s="1438"/>
      <c r="J189" s="1438"/>
      <c r="K189" s="1438"/>
      <c r="L189" s="1438"/>
      <c r="M189" s="1438"/>
      <c r="N189" s="1438">
        <f t="shared" ref="N189:AC189" si="69">(N125/M125)^4-1</f>
        <v>0.1928451879925992</v>
      </c>
      <c r="O189" s="1438">
        <f t="shared" si="69"/>
        <v>8.7145430326741824E-2</v>
      </c>
      <c r="P189" s="1438">
        <f t="shared" si="69"/>
        <v>9.5040522503139657E-2</v>
      </c>
      <c r="Q189" s="1438">
        <f t="shared" si="69"/>
        <v>8.9242780231497676E-2</v>
      </c>
      <c r="R189" s="1438">
        <f t="shared" si="69"/>
        <v>9.481178927373124E-2</v>
      </c>
      <c r="S189" s="1438">
        <f t="shared" si="69"/>
        <v>6.0607843328261746E-2</v>
      </c>
      <c r="T189" s="1467">
        <f t="shared" si="69"/>
        <v>7.8477513818825395E-2</v>
      </c>
      <c r="U189" s="659">
        <f t="shared" si="69"/>
        <v>4.8542770037778959E-2</v>
      </c>
      <c r="V189" s="659">
        <f t="shared" si="69"/>
        <v>4.2375780152070552E-2</v>
      </c>
      <c r="W189" s="659">
        <f t="shared" si="69"/>
        <v>4.4668994972735243E-2</v>
      </c>
      <c r="X189" s="659">
        <f t="shared" si="69"/>
        <v>4.3302762153154983E-2</v>
      </c>
      <c r="Y189" s="659">
        <f t="shared" si="69"/>
        <v>4.0737932279044653E-2</v>
      </c>
      <c r="Z189" s="659">
        <f t="shared" si="69"/>
        <v>3.9408847565527205E-2</v>
      </c>
      <c r="AA189" s="659">
        <f t="shared" si="69"/>
        <v>3.8721435847691943E-2</v>
      </c>
      <c r="AB189" s="659">
        <f t="shared" si="69"/>
        <v>4.0387459196791431E-2</v>
      </c>
      <c r="AC189" s="709">
        <f t="shared" si="69"/>
        <v>4.1195159376754775E-2</v>
      </c>
      <c r="AD189" s="35"/>
    </row>
    <row r="190" spans="3:30" x14ac:dyDescent="0.35">
      <c r="C190" s="35"/>
      <c r="D190" s="1457"/>
      <c r="E190" s="1456"/>
      <c r="F190" s="843"/>
      <c r="G190" s="1438"/>
      <c r="H190" s="1438"/>
      <c r="I190" s="1438"/>
      <c r="J190" s="1438"/>
      <c r="K190" s="1438"/>
      <c r="L190" s="1438"/>
      <c r="M190" s="1438"/>
      <c r="N190" s="1438"/>
      <c r="O190" s="1438"/>
      <c r="P190" s="1438"/>
      <c r="Q190" s="1438"/>
      <c r="R190" s="1438"/>
      <c r="S190" s="1438"/>
      <c r="T190" s="1467"/>
      <c r="U190" s="659"/>
      <c r="V190" s="659"/>
      <c r="W190" s="659"/>
      <c r="X190" s="659"/>
      <c r="Y190" s="659"/>
      <c r="Z190" s="659"/>
      <c r="AA190" s="659"/>
      <c r="AB190" s="659"/>
      <c r="AC190" s="709"/>
      <c r="AD190" s="35"/>
    </row>
    <row r="191" spans="3:30" x14ac:dyDescent="0.35">
      <c r="D191" s="1459" t="s">
        <v>512</v>
      </c>
      <c r="E191" s="1460"/>
      <c r="F191" s="844"/>
      <c r="G191" s="1444"/>
      <c r="H191" s="1444"/>
      <c r="I191" s="1444"/>
      <c r="J191" s="1444"/>
      <c r="K191" s="1444"/>
      <c r="L191" s="1444"/>
      <c r="M191" s="1444"/>
      <c r="N191" s="1444">
        <f t="shared" ref="N191:AC191" si="70">(N126/M126)^4-1</f>
        <v>0.56301012914725668</v>
      </c>
      <c r="O191" s="1444">
        <f t="shared" si="70"/>
        <v>4.1681341019436546E-2</v>
      </c>
      <c r="P191" s="1444">
        <f t="shared" si="70"/>
        <v>1.8883812263239985E-2</v>
      </c>
      <c r="Q191" s="1444">
        <f t="shared" si="70"/>
        <v>-1.7080068525602621E-2</v>
      </c>
      <c r="R191" s="1444">
        <f t="shared" si="70"/>
        <v>0.18639186970056576</v>
      </c>
      <c r="S191" s="1444">
        <f t="shared" si="70"/>
        <v>-4.155915873861038E-2</v>
      </c>
      <c r="T191" s="1468">
        <f t="shared" si="70"/>
        <v>-0.19581299458313783</v>
      </c>
      <c r="U191" s="710">
        <f t="shared" si="70"/>
        <v>-0.24267720394260905</v>
      </c>
      <c r="V191" s="710">
        <f t="shared" si="70"/>
        <v>-0.20818613090691662</v>
      </c>
      <c r="W191" s="710">
        <f t="shared" si="70"/>
        <v>-0.12874508356170977</v>
      </c>
      <c r="X191" s="710">
        <f t="shared" si="70"/>
        <v>-9.8578431708765346E-2</v>
      </c>
      <c r="Y191" s="710">
        <f t="shared" si="70"/>
        <v>4.6037197407029051E-2</v>
      </c>
      <c r="Z191" s="710">
        <f t="shared" si="70"/>
        <v>7.3599058606389711E-2</v>
      </c>
      <c r="AA191" s="710">
        <f t="shared" si="70"/>
        <v>0.10335114277663515</v>
      </c>
      <c r="AB191" s="710">
        <f t="shared" si="70"/>
        <v>0.14566418086862276</v>
      </c>
      <c r="AC191" s="711">
        <f t="shared" si="70"/>
        <v>0.13543089965831157</v>
      </c>
    </row>
    <row r="192" spans="3:30" x14ac:dyDescent="0.35">
      <c r="D192" s="159"/>
      <c r="E192" s="473"/>
      <c r="G192" s="473"/>
      <c r="H192" s="638"/>
      <c r="I192" s="638"/>
      <c r="J192" s="638"/>
      <c r="K192" s="638"/>
      <c r="L192" s="638"/>
      <c r="M192" s="638"/>
      <c r="N192" s="638"/>
      <c r="O192" s="638"/>
      <c r="P192" s="638"/>
      <c r="Q192" s="638"/>
      <c r="R192" s="638"/>
      <c r="S192" s="638"/>
      <c r="T192" s="638"/>
      <c r="U192" s="638"/>
      <c r="V192" s="638"/>
      <c r="W192" s="638"/>
      <c r="X192" s="638"/>
      <c r="Y192" s="638"/>
      <c r="Z192" s="638"/>
      <c r="AA192" s="638"/>
      <c r="AB192" s="638"/>
      <c r="AC192" s="638"/>
    </row>
    <row r="193" ht="14.9" customHeight="1" x14ac:dyDescent="0.35"/>
    <row r="194" ht="14.9" customHeight="1" x14ac:dyDescent="0.35"/>
    <row r="195" ht="14.9" customHeight="1" x14ac:dyDescent="0.35"/>
  </sheetData>
  <mergeCells count="40">
    <mergeCell ref="D169:E170"/>
    <mergeCell ref="I130:L130"/>
    <mergeCell ref="D1:AC1"/>
    <mergeCell ref="D2:AC3"/>
    <mergeCell ref="Y169:AB169"/>
    <mergeCell ref="D156:AC156"/>
    <mergeCell ref="D168:AC168"/>
    <mergeCell ref="Y6:AB6"/>
    <mergeCell ref="D120:E121"/>
    <mergeCell ref="F120:H120"/>
    <mergeCell ref="F6:H6"/>
    <mergeCell ref="I6:L6"/>
    <mergeCell ref="D5:E7"/>
    <mergeCell ref="M6:P6"/>
    <mergeCell ref="D62:F62"/>
    <mergeCell ref="I120:L120"/>
    <mergeCell ref="Y130:AB130"/>
    <mergeCell ref="O87:V87"/>
    <mergeCell ref="P88:S88"/>
    <mergeCell ref="F5:T5"/>
    <mergeCell ref="Q6:T6"/>
    <mergeCell ref="Q120:T120"/>
    <mergeCell ref="V5:AC5"/>
    <mergeCell ref="M120:P120"/>
    <mergeCell ref="D132:E132"/>
    <mergeCell ref="Y120:AB120"/>
    <mergeCell ref="D130:E131"/>
    <mergeCell ref="D181:E182"/>
    <mergeCell ref="F181:H181"/>
    <mergeCell ref="I181:L181"/>
    <mergeCell ref="M181:P181"/>
    <mergeCell ref="I169:L169"/>
    <mergeCell ref="M169:P169"/>
    <mergeCell ref="Q169:T169"/>
    <mergeCell ref="Q181:T181"/>
    <mergeCell ref="F169:H169"/>
    <mergeCell ref="Q130:T130"/>
    <mergeCell ref="Y181:AB181"/>
    <mergeCell ref="M130:P130"/>
    <mergeCell ref="F130:H130"/>
  </mergeCells>
  <pageMargins left="0.7" right="0.7" top="0.75" bottom="0.75" header="0.3" footer="0.3"/>
  <pageSetup orientation="portrait"/>
  <drawing r:id="rId1"/>
  <legacy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G1:AC73"/>
  <sheetViews>
    <sheetView topLeftCell="G1" zoomScale="61" zoomScaleNormal="143" workbookViewId="0">
      <selection activeCell="X38" sqref="X38"/>
    </sheetView>
  </sheetViews>
  <sheetFormatPr defaultColWidth="11.453125" defaultRowHeight="14.5" x14ac:dyDescent="0.35"/>
  <cols>
    <col min="1" max="6" width="0" hidden="1" customWidth="1"/>
    <col min="8" max="8" width="22.453125" customWidth="1"/>
    <col min="9" max="9" width="11.453125" customWidth="1"/>
    <col min="10" max="10" width="13.1796875" customWidth="1"/>
    <col min="11" max="11" width="11.1796875" customWidth="1"/>
    <col min="12" max="12" width="10.1796875" customWidth="1"/>
    <col min="13" max="13" width="9.453125" customWidth="1"/>
    <col min="14" max="15" width="8.81640625" customWidth="1"/>
    <col min="16" max="16" width="11.81640625" customWidth="1"/>
    <col min="17" max="18" width="8.81640625" customWidth="1"/>
    <col min="19" max="19" width="9.453125" customWidth="1"/>
  </cols>
  <sheetData>
    <row r="1" spans="8:22" x14ac:dyDescent="0.35">
      <c r="H1" s="1634" t="s">
        <v>316</v>
      </c>
      <c r="I1" s="1634"/>
      <c r="J1" s="1634"/>
      <c r="K1" s="1634"/>
      <c r="L1" s="1634"/>
      <c r="M1" s="1634"/>
      <c r="N1" s="1634"/>
      <c r="O1" s="1634"/>
      <c r="P1" s="1634"/>
      <c r="Q1" s="1634"/>
      <c r="R1" s="1634"/>
      <c r="S1" s="1634"/>
    </row>
    <row r="2" spans="8:22" x14ac:dyDescent="0.35">
      <c r="H2" s="1674" t="s">
        <v>317</v>
      </c>
      <c r="I2" s="1674"/>
      <c r="J2" s="1674"/>
      <c r="K2" s="1674"/>
      <c r="L2" s="1674"/>
      <c r="M2" s="1674"/>
      <c r="N2" s="1674"/>
      <c r="O2" s="1674"/>
      <c r="P2" s="1674"/>
      <c r="Q2" s="1674"/>
      <c r="R2" s="1674"/>
      <c r="S2" s="1674"/>
    </row>
    <row r="3" spans="8:22" x14ac:dyDescent="0.35">
      <c r="H3" s="1674"/>
      <c r="I3" s="1674"/>
      <c r="J3" s="1674"/>
      <c r="K3" s="1674"/>
      <c r="L3" s="1674"/>
      <c r="M3" s="1674"/>
      <c r="N3" s="1674"/>
      <c r="O3" s="1674"/>
      <c r="P3" s="1674"/>
      <c r="Q3" s="1674"/>
      <c r="R3" s="1674"/>
      <c r="S3" s="1674"/>
    </row>
    <row r="4" spans="8:22" x14ac:dyDescent="0.35">
      <c r="H4" s="1674"/>
      <c r="I4" s="1674"/>
      <c r="J4" s="1674"/>
      <c r="K4" s="1674"/>
      <c r="L4" s="1674"/>
      <c r="M4" s="1674"/>
      <c r="N4" s="1674"/>
      <c r="O4" s="1674"/>
      <c r="P4" s="1674"/>
      <c r="Q4" s="1674"/>
      <c r="R4" s="1674"/>
      <c r="S4" s="1674"/>
    </row>
    <row r="5" spans="8:22" ht="54.75" customHeight="1" x14ac:dyDescent="0.35">
      <c r="H5" s="1674"/>
      <c r="I5" s="1674"/>
      <c r="J5" s="1674"/>
      <c r="K5" s="1674"/>
      <c r="L5" s="1674"/>
      <c r="M5" s="1674"/>
      <c r="N5" s="1674"/>
      <c r="O5" s="1674"/>
      <c r="P5" s="1674"/>
      <c r="Q5" s="1674"/>
      <c r="R5" s="1674"/>
      <c r="S5" s="1674"/>
    </row>
    <row r="6" spans="8:22" x14ac:dyDescent="0.35">
      <c r="H6" s="375"/>
      <c r="I6" s="375"/>
      <c r="J6" s="375"/>
      <c r="K6" s="375"/>
      <c r="L6" s="375"/>
      <c r="M6" s="375"/>
      <c r="N6" s="375"/>
      <c r="O6" s="375"/>
      <c r="P6" s="375"/>
      <c r="Q6" s="375"/>
      <c r="R6" s="375"/>
      <c r="S6" s="375"/>
    </row>
    <row r="7" spans="8:22" x14ac:dyDescent="0.35">
      <c r="H7" s="791" t="s">
        <v>318</v>
      </c>
    </row>
    <row r="8" spans="8:22" ht="16.399999999999999" customHeight="1" x14ac:dyDescent="0.35"/>
    <row r="9" spans="8:22" ht="15.75" customHeight="1" x14ac:dyDescent="0.35">
      <c r="L9" s="1624">
        <v>2020</v>
      </c>
      <c r="M9" s="1646"/>
      <c r="N9" s="1646"/>
      <c r="O9" s="801">
        <v>2021</v>
      </c>
      <c r="P9" s="801"/>
      <c r="Q9" s="801"/>
      <c r="R9" s="800"/>
    </row>
    <row r="10" spans="8:22" ht="41.9" customHeight="1" x14ac:dyDescent="0.35">
      <c r="H10" s="804" t="s">
        <v>319</v>
      </c>
      <c r="I10" s="804" t="s">
        <v>320</v>
      </c>
      <c r="J10" s="805" t="s">
        <v>321</v>
      </c>
      <c r="K10" s="162"/>
      <c r="L10" s="798" t="s">
        <v>284</v>
      </c>
      <c r="M10" s="799" t="s">
        <v>238</v>
      </c>
      <c r="N10" s="799" t="s">
        <v>282</v>
      </c>
      <c r="O10" s="799" t="s">
        <v>283</v>
      </c>
      <c r="P10" s="799" t="s">
        <v>284</v>
      </c>
      <c r="Q10" s="799" t="s">
        <v>238</v>
      </c>
      <c r="R10" s="802" t="s">
        <v>282</v>
      </c>
      <c r="S10" s="375" t="s">
        <v>322</v>
      </c>
      <c r="T10" s="162"/>
      <c r="U10" s="162"/>
      <c r="V10" s="162"/>
    </row>
    <row r="11" spans="8:22" x14ac:dyDescent="0.35">
      <c r="H11" s="806">
        <v>43934</v>
      </c>
      <c r="I11" s="159">
        <v>248</v>
      </c>
      <c r="J11" s="480">
        <f>I11</f>
        <v>248</v>
      </c>
      <c r="K11" s="159"/>
      <c r="L11" s="691">
        <f>S11/26*J11</f>
        <v>95.384615384615387</v>
      </c>
      <c r="M11" s="372">
        <f>13/26*J11</f>
        <v>124</v>
      </c>
      <c r="N11" s="372">
        <f>J11-SUM(L11:M11)</f>
        <v>28.615384615384613</v>
      </c>
      <c r="O11" s="372"/>
      <c r="P11" s="372"/>
      <c r="Q11" s="372"/>
      <c r="R11" s="796"/>
      <c r="S11" s="159">
        <v>10</v>
      </c>
      <c r="T11" s="159"/>
      <c r="U11" s="793"/>
      <c r="V11" s="159"/>
    </row>
    <row r="12" spans="8:22" x14ac:dyDescent="0.35">
      <c r="H12" s="794">
        <v>43937</v>
      </c>
      <c r="I12" s="159">
        <v>342</v>
      </c>
      <c r="J12" s="480">
        <f>I12-I11</f>
        <v>94</v>
      </c>
      <c r="K12" s="159"/>
      <c r="L12" s="691">
        <f t="shared" ref="L12:L20" si="0">S12/26*J12</f>
        <v>36.153846153846153</v>
      </c>
      <c r="M12" s="372">
        <f t="shared" ref="M12:M20" si="1">13/26*J12</f>
        <v>47</v>
      </c>
      <c r="N12" s="372">
        <f t="shared" ref="N12:N21" si="2">J12-SUM(L12:M12)</f>
        <v>10.84615384615384</v>
      </c>
      <c r="O12" s="372"/>
      <c r="P12" s="372"/>
      <c r="Q12" s="372"/>
      <c r="R12" s="796"/>
      <c r="S12" s="159">
        <v>10</v>
      </c>
      <c r="T12" s="159"/>
      <c r="U12" s="159"/>
      <c r="V12" s="159"/>
    </row>
    <row r="13" spans="8:22" x14ac:dyDescent="0.35">
      <c r="H13" s="794">
        <v>43952</v>
      </c>
      <c r="I13" s="159">
        <v>518</v>
      </c>
      <c r="J13" s="480">
        <f>I13-I12</f>
        <v>176</v>
      </c>
      <c r="K13" s="159"/>
      <c r="L13" s="691">
        <f t="shared" si="0"/>
        <v>54.15384615384616</v>
      </c>
      <c r="M13" s="372">
        <f t="shared" si="1"/>
        <v>88</v>
      </c>
      <c r="N13" s="372">
        <f t="shared" si="2"/>
        <v>33.84615384615384</v>
      </c>
      <c r="O13" s="372"/>
      <c r="P13" s="372"/>
      <c r="Q13" s="372"/>
      <c r="R13" s="796"/>
      <c r="S13" s="159">
        <v>8</v>
      </c>
      <c r="T13" s="159"/>
      <c r="U13" s="159"/>
      <c r="V13" s="159"/>
    </row>
    <row r="14" spans="8:22" x14ac:dyDescent="0.35">
      <c r="H14" s="794">
        <v>43959</v>
      </c>
      <c r="I14" s="159">
        <v>531</v>
      </c>
      <c r="J14" s="480">
        <f t="shared" ref="J14:J45" si="3">I14-I13</f>
        <v>13</v>
      </c>
      <c r="K14" s="159"/>
      <c r="L14" s="691">
        <f t="shared" si="0"/>
        <v>3.5</v>
      </c>
      <c r="M14" s="372">
        <f t="shared" si="1"/>
        <v>6.5</v>
      </c>
      <c r="N14" s="372">
        <f t="shared" si="2"/>
        <v>3</v>
      </c>
      <c r="O14" s="372"/>
      <c r="P14" s="372"/>
      <c r="Q14" s="372"/>
      <c r="R14" s="796"/>
      <c r="S14" s="159">
        <f t="shared" ref="S14:S20" si="4">S13-1</f>
        <v>7</v>
      </c>
      <c r="T14" s="159"/>
      <c r="U14" s="159"/>
      <c r="V14" s="159"/>
    </row>
    <row r="15" spans="8:22" x14ac:dyDescent="0.35">
      <c r="H15" s="794">
        <v>43967</v>
      </c>
      <c r="I15" s="159">
        <v>513</v>
      </c>
      <c r="J15" s="480">
        <f t="shared" si="3"/>
        <v>-18</v>
      </c>
      <c r="K15" s="159"/>
      <c r="L15" s="691">
        <f t="shared" ref="L15:L17" si="5">S15/26*J15</f>
        <v>-4.1538461538461542</v>
      </c>
      <c r="M15" s="372">
        <f t="shared" ref="M15:M17" si="6">13/26*J15</f>
        <v>-9</v>
      </c>
      <c r="N15" s="372">
        <f t="shared" ref="N15:N17" si="7">J15-SUM(L15:M15)</f>
        <v>-4.8461538461538467</v>
      </c>
      <c r="O15" s="372"/>
      <c r="P15" s="372"/>
      <c r="Q15" s="372"/>
      <c r="R15" s="796"/>
      <c r="S15" s="159">
        <f t="shared" si="4"/>
        <v>6</v>
      </c>
      <c r="T15" s="159"/>
      <c r="U15" s="159"/>
      <c r="V15" s="159"/>
    </row>
    <row r="16" spans="8:22" x14ac:dyDescent="0.35">
      <c r="H16" s="794">
        <v>43974</v>
      </c>
      <c r="I16" s="159">
        <v>511</v>
      </c>
      <c r="J16" s="480">
        <f t="shared" si="3"/>
        <v>-2</v>
      </c>
      <c r="K16" s="159"/>
      <c r="L16" s="691">
        <f t="shared" si="5"/>
        <v>-0.38461538461538464</v>
      </c>
      <c r="M16" s="372">
        <f t="shared" si="6"/>
        <v>-1</v>
      </c>
      <c r="N16" s="372">
        <f t="shared" si="7"/>
        <v>-0.61538461538461542</v>
      </c>
      <c r="O16" s="372"/>
      <c r="P16" s="372"/>
      <c r="Q16" s="372"/>
      <c r="R16" s="796"/>
      <c r="S16" s="159">
        <f t="shared" si="4"/>
        <v>5</v>
      </c>
      <c r="T16" s="159"/>
      <c r="U16" s="159"/>
      <c r="V16" s="159"/>
    </row>
    <row r="17" spans="8:22" x14ac:dyDescent="0.35">
      <c r="H17" s="794">
        <v>43981</v>
      </c>
      <c r="I17" s="159">
        <v>510</v>
      </c>
      <c r="J17" s="480">
        <f t="shared" si="3"/>
        <v>-1</v>
      </c>
      <c r="K17" s="159"/>
      <c r="L17" s="691">
        <f t="shared" si="5"/>
        <v>-0.15384615384615385</v>
      </c>
      <c r="M17" s="372">
        <f t="shared" si="6"/>
        <v>-0.5</v>
      </c>
      <c r="N17" s="372">
        <f t="shared" si="7"/>
        <v>-0.34615384615384615</v>
      </c>
      <c r="O17" s="372"/>
      <c r="P17" s="372"/>
      <c r="Q17" s="372"/>
      <c r="R17" s="796"/>
      <c r="S17" s="159">
        <f t="shared" si="4"/>
        <v>4</v>
      </c>
      <c r="T17" s="159"/>
      <c r="U17" s="159"/>
      <c r="V17" s="159"/>
    </row>
    <row r="18" spans="8:22" x14ac:dyDescent="0.35">
      <c r="H18" s="794">
        <v>43988</v>
      </c>
      <c r="I18" s="159">
        <v>511</v>
      </c>
      <c r="J18" s="480">
        <f t="shared" si="3"/>
        <v>1</v>
      </c>
      <c r="K18" s="159"/>
      <c r="L18" s="691">
        <f t="shared" si="0"/>
        <v>0.11538461538461539</v>
      </c>
      <c r="M18" s="372">
        <f t="shared" si="1"/>
        <v>0.5</v>
      </c>
      <c r="N18" s="372">
        <f t="shared" si="2"/>
        <v>0.38461538461538458</v>
      </c>
      <c r="O18" s="372"/>
      <c r="P18" s="372"/>
      <c r="Q18" s="372"/>
      <c r="R18" s="796"/>
      <c r="S18" s="159">
        <f t="shared" si="4"/>
        <v>3</v>
      </c>
      <c r="T18" s="159"/>
      <c r="U18" s="159"/>
      <c r="V18" s="159"/>
    </row>
    <row r="19" spans="8:22" x14ac:dyDescent="0.35">
      <c r="H19" s="794">
        <v>43994</v>
      </c>
      <c r="I19" s="159">
        <v>512</v>
      </c>
      <c r="J19" s="480">
        <f t="shared" si="3"/>
        <v>1</v>
      </c>
      <c r="K19" s="159"/>
      <c r="L19" s="691">
        <f t="shared" si="0"/>
        <v>7.6923076923076927E-2</v>
      </c>
      <c r="M19" s="372">
        <f t="shared" si="1"/>
        <v>0.5</v>
      </c>
      <c r="N19" s="372">
        <f t="shared" si="2"/>
        <v>0.42307692307692313</v>
      </c>
      <c r="O19" s="372"/>
      <c r="P19" s="372"/>
      <c r="Q19" s="372"/>
      <c r="R19" s="796"/>
      <c r="S19" s="159">
        <f t="shared" si="4"/>
        <v>2</v>
      </c>
      <c r="T19" s="159"/>
      <c r="U19" s="159"/>
      <c r="V19" s="159"/>
    </row>
    <row r="20" spans="8:22" x14ac:dyDescent="0.35">
      <c r="H20" s="794">
        <v>44002</v>
      </c>
      <c r="I20" s="159">
        <v>515</v>
      </c>
      <c r="J20" s="480">
        <f t="shared" si="3"/>
        <v>3</v>
      </c>
      <c r="K20" s="159"/>
      <c r="L20" s="691">
        <f t="shared" si="0"/>
        <v>0.11538461538461539</v>
      </c>
      <c r="M20" s="372">
        <f t="shared" si="1"/>
        <v>1.5</v>
      </c>
      <c r="N20" s="372">
        <f t="shared" si="2"/>
        <v>1.3846153846153846</v>
      </c>
      <c r="O20" s="372"/>
      <c r="P20" s="372"/>
      <c r="Q20" s="372"/>
      <c r="R20" s="796"/>
      <c r="S20" s="159">
        <f t="shared" si="4"/>
        <v>1</v>
      </c>
      <c r="T20" s="159"/>
      <c r="U20" s="159"/>
      <c r="V20" s="159"/>
    </row>
    <row r="21" spans="8:22" x14ac:dyDescent="0.35">
      <c r="H21" s="794">
        <v>44009</v>
      </c>
      <c r="I21" s="159">
        <v>519</v>
      </c>
      <c r="J21" s="480">
        <f t="shared" si="3"/>
        <v>4</v>
      </c>
      <c r="K21" s="159"/>
      <c r="L21" s="691"/>
      <c r="M21" s="372">
        <f>S21/26*J21</f>
        <v>2</v>
      </c>
      <c r="N21" s="372">
        <f t="shared" si="2"/>
        <v>2</v>
      </c>
      <c r="O21" s="372"/>
      <c r="P21" s="372"/>
      <c r="Q21" s="372"/>
      <c r="R21" s="796"/>
      <c r="S21" s="159">
        <v>13</v>
      </c>
      <c r="T21" s="159"/>
      <c r="U21" s="159"/>
      <c r="V21" s="159"/>
    </row>
    <row r="22" spans="8:22" x14ac:dyDescent="0.35">
      <c r="H22" s="794">
        <v>44012</v>
      </c>
      <c r="I22" s="159">
        <v>521</v>
      </c>
      <c r="J22" s="480">
        <f t="shared" si="3"/>
        <v>2</v>
      </c>
      <c r="K22" s="159"/>
      <c r="L22" s="691"/>
      <c r="M22" s="372">
        <f t="shared" ref="M22:M26" si="8">S22/26*J22</f>
        <v>1</v>
      </c>
      <c r="N22" s="372">
        <f>J22-SUM(L22:M22)</f>
        <v>1</v>
      </c>
      <c r="O22" s="372"/>
      <c r="P22" s="372"/>
      <c r="Q22" s="372"/>
      <c r="R22" s="796"/>
      <c r="S22" s="159">
        <v>13</v>
      </c>
      <c r="T22" s="159"/>
      <c r="U22" s="159"/>
      <c r="V22" s="159"/>
    </row>
    <row r="23" spans="8:22" x14ac:dyDescent="0.35">
      <c r="H23" s="794">
        <v>44029</v>
      </c>
      <c r="I23" s="159">
        <v>518</v>
      </c>
      <c r="J23" s="480">
        <f t="shared" si="3"/>
        <v>-3</v>
      </c>
      <c r="K23" s="159"/>
      <c r="L23" s="691"/>
      <c r="M23" s="372">
        <f t="shared" ref="M23" si="9">S23/26*J23</f>
        <v>-1.153846153846154</v>
      </c>
      <c r="N23" s="372">
        <f t="shared" ref="N23" si="10">13/26*J23</f>
        <v>-1.5</v>
      </c>
      <c r="O23" s="372">
        <f t="shared" ref="O23" si="11">J23-N23-M23</f>
        <v>-0.34615384615384603</v>
      </c>
      <c r="P23" s="372"/>
      <c r="Q23" s="372"/>
      <c r="R23" s="796"/>
      <c r="S23" s="159">
        <f>S22-3</f>
        <v>10</v>
      </c>
      <c r="T23" s="159"/>
      <c r="U23" s="159"/>
      <c r="V23" s="159"/>
    </row>
    <row r="24" spans="8:22" x14ac:dyDescent="0.35">
      <c r="H24" s="794">
        <v>44036</v>
      </c>
      <c r="I24" s="159">
        <v>520</v>
      </c>
      <c r="J24" s="480">
        <f t="shared" si="3"/>
        <v>2</v>
      </c>
      <c r="K24" s="159"/>
      <c r="L24" s="691"/>
      <c r="M24" s="372">
        <f t="shared" si="8"/>
        <v>0.69230769230769229</v>
      </c>
      <c r="N24" s="372">
        <f t="shared" ref="N24:N26" si="12">13/26*J24</f>
        <v>1</v>
      </c>
      <c r="O24" s="372">
        <f t="shared" ref="O24:O26" si="13">J24-N24-M24</f>
        <v>0.30769230769230771</v>
      </c>
      <c r="P24" s="372"/>
      <c r="Q24" s="372"/>
      <c r="R24" s="796"/>
      <c r="S24" s="159">
        <f>S23-1</f>
        <v>9</v>
      </c>
      <c r="T24" s="159"/>
      <c r="U24" s="159"/>
      <c r="V24" s="159"/>
    </row>
    <row r="25" spans="8:22" x14ac:dyDescent="0.35">
      <c r="H25" s="794">
        <v>44043</v>
      </c>
      <c r="I25" s="159">
        <v>521</v>
      </c>
      <c r="J25" s="480">
        <f t="shared" si="3"/>
        <v>1</v>
      </c>
      <c r="K25" s="159"/>
      <c r="L25" s="691"/>
      <c r="M25" s="372">
        <f t="shared" si="8"/>
        <v>0.30769230769230771</v>
      </c>
      <c r="N25" s="372">
        <f t="shared" si="12"/>
        <v>0.5</v>
      </c>
      <c r="O25" s="372">
        <f t="shared" si="13"/>
        <v>0.19230769230769229</v>
      </c>
      <c r="P25" s="372"/>
      <c r="Q25" s="372"/>
      <c r="R25" s="796"/>
      <c r="S25" s="159">
        <f>S24-1</f>
        <v>8</v>
      </c>
      <c r="T25" s="159"/>
      <c r="U25" s="159"/>
      <c r="V25" s="159"/>
    </row>
    <row r="26" spans="8:22" x14ac:dyDescent="0.35">
      <c r="H26" s="794">
        <v>44051</v>
      </c>
      <c r="I26" s="159">
        <v>525</v>
      </c>
      <c r="J26" s="480">
        <f t="shared" si="3"/>
        <v>4</v>
      </c>
      <c r="K26" s="159"/>
      <c r="L26" s="691"/>
      <c r="M26" s="372">
        <f t="shared" si="8"/>
        <v>1.0769230769230769</v>
      </c>
      <c r="N26" s="372">
        <f t="shared" si="12"/>
        <v>2</v>
      </c>
      <c r="O26" s="372">
        <f t="shared" si="13"/>
        <v>0.92307692307692313</v>
      </c>
      <c r="P26" s="372"/>
      <c r="Q26" s="372"/>
      <c r="R26" s="796"/>
      <c r="S26" s="159">
        <f>S25-1</f>
        <v>7</v>
      </c>
      <c r="T26" s="159"/>
      <c r="U26" s="159"/>
      <c r="V26" s="159"/>
    </row>
    <row r="27" spans="8:22" x14ac:dyDescent="0.35">
      <c r="H27" s="794">
        <v>44220</v>
      </c>
      <c r="I27" s="159">
        <v>558</v>
      </c>
      <c r="J27" s="480">
        <f t="shared" si="3"/>
        <v>33</v>
      </c>
      <c r="K27" s="159"/>
      <c r="L27" s="691"/>
      <c r="M27" s="372"/>
      <c r="N27" s="372"/>
      <c r="O27" s="372">
        <f>S27/26*J27</f>
        <v>12.692307692307693</v>
      </c>
      <c r="P27" s="372">
        <f>J27/2</f>
        <v>16.5</v>
      </c>
      <c r="Q27" s="372">
        <f>J27-P27-O27</f>
        <v>3.8076923076923066</v>
      </c>
      <c r="R27" s="796"/>
      <c r="S27" s="159">
        <v>10</v>
      </c>
      <c r="T27" s="159">
        <v>10</v>
      </c>
      <c r="U27" s="159"/>
      <c r="V27" s="159"/>
    </row>
    <row r="28" spans="8:22" x14ac:dyDescent="0.35">
      <c r="H28" s="794">
        <v>44227</v>
      </c>
      <c r="I28" s="159">
        <v>596</v>
      </c>
      <c r="J28" s="480">
        <f t="shared" si="3"/>
        <v>38</v>
      </c>
      <c r="K28" s="159"/>
      <c r="L28" s="691"/>
      <c r="M28" s="372"/>
      <c r="N28" s="372"/>
      <c r="O28" s="372">
        <f t="shared" ref="O28:O36" si="14">S28/26*J28</f>
        <v>13.153846153846153</v>
      </c>
      <c r="P28" s="372">
        <f t="shared" ref="P28:P36" si="15">J28/2</f>
        <v>19</v>
      </c>
      <c r="Q28" s="372">
        <f t="shared" ref="Q28:Q36" si="16">J28-P28-O28</f>
        <v>5.8461538461538467</v>
      </c>
      <c r="R28" s="796"/>
      <c r="S28" s="159">
        <f>S27-1</f>
        <v>9</v>
      </c>
      <c r="T28" s="159">
        <f>T27-1</f>
        <v>9</v>
      </c>
      <c r="U28" s="159"/>
      <c r="V28" s="159"/>
    </row>
    <row r="29" spans="8:22" x14ac:dyDescent="0.35">
      <c r="H29" s="794">
        <v>44234</v>
      </c>
      <c r="I29" s="159">
        <v>623</v>
      </c>
      <c r="J29" s="480">
        <f t="shared" si="3"/>
        <v>27</v>
      </c>
      <c r="K29" s="159"/>
      <c r="L29" s="691"/>
      <c r="M29" s="372"/>
      <c r="N29" s="372"/>
      <c r="O29" s="372">
        <f t="shared" si="14"/>
        <v>8.3076923076923084</v>
      </c>
      <c r="P29" s="372">
        <f t="shared" si="15"/>
        <v>13.5</v>
      </c>
      <c r="Q29" s="372">
        <f t="shared" si="16"/>
        <v>5.1923076923076916</v>
      </c>
      <c r="R29" s="796"/>
      <c r="S29" s="159">
        <f t="shared" ref="S29:S36" si="17">S28-1</f>
        <v>8</v>
      </c>
      <c r="T29" s="159">
        <f t="shared" ref="T29:T36" si="18">T28-1</f>
        <v>8</v>
      </c>
      <c r="U29" s="159"/>
      <c r="V29" s="159"/>
    </row>
    <row r="30" spans="8:22" x14ac:dyDescent="0.35">
      <c r="H30" s="794">
        <v>44242</v>
      </c>
      <c r="I30" s="159">
        <v>648</v>
      </c>
      <c r="J30" s="480">
        <f t="shared" si="3"/>
        <v>25</v>
      </c>
      <c r="K30" s="159"/>
      <c r="L30" s="691"/>
      <c r="M30" s="372"/>
      <c r="N30" s="372"/>
      <c r="O30" s="372">
        <f t="shared" si="14"/>
        <v>6.7307692307692308</v>
      </c>
      <c r="P30" s="372">
        <f t="shared" si="15"/>
        <v>12.5</v>
      </c>
      <c r="Q30" s="372">
        <f t="shared" si="16"/>
        <v>5.7692307692307692</v>
      </c>
      <c r="R30" s="796"/>
      <c r="S30" s="159">
        <f t="shared" si="17"/>
        <v>7</v>
      </c>
      <c r="T30" s="159">
        <f t="shared" si="18"/>
        <v>7</v>
      </c>
      <c r="U30" s="159"/>
      <c r="V30" s="159"/>
    </row>
    <row r="31" spans="8:22" x14ac:dyDescent="0.35">
      <c r="H31" s="794">
        <v>44248</v>
      </c>
      <c r="I31" s="159">
        <v>663</v>
      </c>
      <c r="J31" s="480">
        <f t="shared" si="3"/>
        <v>15</v>
      </c>
      <c r="K31" s="159"/>
      <c r="L31" s="691"/>
      <c r="M31" s="372"/>
      <c r="N31" s="372"/>
      <c r="O31" s="372">
        <f t="shared" si="14"/>
        <v>3.4615384615384617</v>
      </c>
      <c r="P31" s="372">
        <f t="shared" si="15"/>
        <v>7.5</v>
      </c>
      <c r="Q31" s="372">
        <f t="shared" si="16"/>
        <v>4.0384615384615383</v>
      </c>
      <c r="R31" s="796"/>
      <c r="S31" s="159">
        <f t="shared" si="17"/>
        <v>6</v>
      </c>
      <c r="T31" s="159">
        <f t="shared" si="18"/>
        <v>6</v>
      </c>
      <c r="U31" s="159"/>
      <c r="V31" s="159"/>
    </row>
    <row r="32" spans="8:22" x14ac:dyDescent="0.35">
      <c r="H32" s="794">
        <v>44255</v>
      </c>
      <c r="I32" s="159">
        <v>679</v>
      </c>
      <c r="J32" s="480">
        <f t="shared" si="3"/>
        <v>16</v>
      </c>
      <c r="K32" s="159"/>
      <c r="L32" s="691"/>
      <c r="M32" s="372"/>
      <c r="N32" s="372"/>
      <c r="O32" s="372">
        <f t="shared" si="14"/>
        <v>3.0769230769230771</v>
      </c>
      <c r="P32" s="372">
        <f t="shared" si="15"/>
        <v>8</v>
      </c>
      <c r="Q32" s="372">
        <f t="shared" si="16"/>
        <v>4.9230769230769234</v>
      </c>
      <c r="R32" s="796"/>
      <c r="S32" s="159">
        <f t="shared" si="17"/>
        <v>5</v>
      </c>
      <c r="T32" s="159">
        <f t="shared" si="18"/>
        <v>5</v>
      </c>
      <c r="U32" s="159"/>
      <c r="V32" s="159"/>
    </row>
    <row r="33" spans="8:22" x14ac:dyDescent="0.35">
      <c r="H33" s="794">
        <v>44262</v>
      </c>
      <c r="I33" s="159">
        <v>687</v>
      </c>
      <c r="J33" s="480">
        <f t="shared" si="3"/>
        <v>8</v>
      </c>
      <c r="K33" s="159"/>
      <c r="L33" s="691"/>
      <c r="M33" s="372"/>
      <c r="N33" s="372"/>
      <c r="O33" s="372">
        <f t="shared" si="14"/>
        <v>1.2307692307692308</v>
      </c>
      <c r="P33" s="372">
        <f t="shared" si="15"/>
        <v>4</v>
      </c>
      <c r="Q33" s="372">
        <f t="shared" si="16"/>
        <v>2.7692307692307692</v>
      </c>
      <c r="R33" s="796"/>
      <c r="S33" s="159">
        <f t="shared" si="17"/>
        <v>4</v>
      </c>
      <c r="T33" s="159">
        <f t="shared" si="18"/>
        <v>4</v>
      </c>
      <c r="U33" s="159"/>
      <c r="V33" s="159"/>
    </row>
    <row r="34" spans="8:22" x14ac:dyDescent="0.35">
      <c r="H34" s="794">
        <v>44269</v>
      </c>
      <c r="I34" s="159">
        <v>704</v>
      </c>
      <c r="J34" s="480">
        <f t="shared" si="3"/>
        <v>17</v>
      </c>
      <c r="K34" s="159"/>
      <c r="L34" s="691"/>
      <c r="M34" s="372"/>
      <c r="N34" s="372"/>
      <c r="O34" s="372">
        <f t="shared" si="14"/>
        <v>1.9615384615384617</v>
      </c>
      <c r="P34" s="372">
        <f t="shared" si="15"/>
        <v>8.5</v>
      </c>
      <c r="Q34" s="372">
        <f t="shared" si="16"/>
        <v>6.5384615384615383</v>
      </c>
      <c r="R34" s="796"/>
      <c r="S34" s="159">
        <f t="shared" si="17"/>
        <v>3</v>
      </c>
      <c r="T34" s="159">
        <f t="shared" si="18"/>
        <v>3</v>
      </c>
      <c r="U34" s="159"/>
      <c r="V34" s="159"/>
    </row>
    <row r="35" spans="8:22" x14ac:dyDescent="0.35">
      <c r="H35" s="794">
        <v>44276</v>
      </c>
      <c r="I35" s="159">
        <v>718</v>
      </c>
      <c r="J35" s="480">
        <f t="shared" si="3"/>
        <v>14</v>
      </c>
      <c r="K35" s="159"/>
      <c r="L35" s="691"/>
      <c r="M35" s="372"/>
      <c r="N35" s="372"/>
      <c r="O35" s="372">
        <f t="shared" si="14"/>
        <v>1.0769230769230771</v>
      </c>
      <c r="P35" s="372">
        <f t="shared" si="15"/>
        <v>7</v>
      </c>
      <c r="Q35" s="372">
        <f t="shared" si="16"/>
        <v>5.9230769230769234</v>
      </c>
      <c r="R35" s="796"/>
      <c r="S35" s="159">
        <f t="shared" si="17"/>
        <v>2</v>
      </c>
      <c r="T35" s="159">
        <f t="shared" si="18"/>
        <v>2</v>
      </c>
      <c r="U35" s="159"/>
      <c r="V35" s="159"/>
    </row>
    <row r="36" spans="8:22" x14ac:dyDescent="0.35">
      <c r="H36" s="794">
        <v>44283</v>
      </c>
      <c r="I36" s="159">
        <v>734</v>
      </c>
      <c r="J36" s="480">
        <f t="shared" si="3"/>
        <v>16</v>
      </c>
      <c r="K36" s="159"/>
      <c r="L36" s="691"/>
      <c r="M36" s="372"/>
      <c r="N36" s="372"/>
      <c r="O36" s="372">
        <f t="shared" si="14"/>
        <v>0.61538461538461542</v>
      </c>
      <c r="P36" s="372">
        <f t="shared" si="15"/>
        <v>8</v>
      </c>
      <c r="Q36" s="372">
        <f t="shared" si="16"/>
        <v>7.384615384615385</v>
      </c>
      <c r="R36" s="796"/>
      <c r="S36" s="159">
        <f t="shared" si="17"/>
        <v>1</v>
      </c>
      <c r="T36" s="159">
        <f t="shared" si="18"/>
        <v>1</v>
      </c>
      <c r="U36" s="159"/>
      <c r="V36" s="159"/>
    </row>
    <row r="37" spans="8:22" x14ac:dyDescent="0.35">
      <c r="H37" s="794">
        <v>44290</v>
      </c>
      <c r="I37" s="159">
        <v>746</v>
      </c>
      <c r="J37" s="480">
        <f t="shared" si="3"/>
        <v>12</v>
      </c>
      <c r="K37" s="159"/>
      <c r="L37" s="691"/>
      <c r="M37" s="372"/>
      <c r="N37" s="372"/>
      <c r="O37" s="372"/>
      <c r="P37" s="372">
        <f>T37/26*J37</f>
        <v>6</v>
      </c>
      <c r="Q37" s="372">
        <f>J37/2</f>
        <v>6</v>
      </c>
      <c r="R37" s="796">
        <f>J37-Q37-P37</f>
        <v>0</v>
      </c>
      <c r="S37" s="159">
        <v>13</v>
      </c>
      <c r="T37" s="159">
        <v>13</v>
      </c>
      <c r="U37" s="159"/>
      <c r="V37" s="159"/>
    </row>
    <row r="38" spans="8:22" x14ac:dyDescent="0.35">
      <c r="H38" s="794">
        <v>44297</v>
      </c>
      <c r="I38" s="159">
        <v>755</v>
      </c>
      <c r="J38" s="480">
        <f t="shared" si="3"/>
        <v>9</v>
      </c>
      <c r="K38" s="159"/>
      <c r="L38" s="691"/>
      <c r="M38" s="372"/>
      <c r="N38" s="372"/>
      <c r="O38" s="372"/>
      <c r="P38" s="372">
        <f t="shared" ref="P38:P45" si="19">T38/26*J38</f>
        <v>4.1538461538461542</v>
      </c>
      <c r="Q38" s="372">
        <f t="shared" ref="Q38:Q45" si="20">J38/2</f>
        <v>4.5</v>
      </c>
      <c r="R38" s="796">
        <f t="shared" ref="R38:R45" si="21">J38-Q38-P38</f>
        <v>0.34615384615384581</v>
      </c>
      <c r="S38" s="159">
        <f>S37-1</f>
        <v>12</v>
      </c>
      <c r="T38" s="159">
        <f>T37-1</f>
        <v>12</v>
      </c>
      <c r="U38" s="159"/>
      <c r="V38" s="159"/>
    </row>
    <row r="39" spans="8:22" x14ac:dyDescent="0.35">
      <c r="H39" s="794">
        <v>44304</v>
      </c>
      <c r="I39" s="159">
        <v>762</v>
      </c>
      <c r="J39" s="480">
        <f t="shared" si="3"/>
        <v>7</v>
      </c>
      <c r="K39" s="159"/>
      <c r="L39" s="691"/>
      <c r="M39" s="372"/>
      <c r="N39" s="372"/>
      <c r="O39" s="372"/>
      <c r="P39" s="372">
        <f t="shared" si="19"/>
        <v>2.9615384615384617</v>
      </c>
      <c r="Q39" s="372">
        <f t="shared" si="20"/>
        <v>3.5</v>
      </c>
      <c r="R39" s="796">
        <f t="shared" si="21"/>
        <v>0.53846153846153832</v>
      </c>
      <c r="S39" s="159">
        <f t="shared" ref="S39:S45" si="22">S38-1</f>
        <v>11</v>
      </c>
      <c r="T39" s="159">
        <f t="shared" ref="T39:T45" si="23">T38-1</f>
        <v>11</v>
      </c>
      <c r="U39" s="159"/>
      <c r="V39" s="159"/>
    </row>
    <row r="40" spans="8:22" x14ac:dyDescent="0.35">
      <c r="H40" s="794">
        <v>44311</v>
      </c>
      <c r="I40" s="159">
        <v>771</v>
      </c>
      <c r="J40" s="480">
        <f t="shared" si="3"/>
        <v>9</v>
      </c>
      <c r="K40" s="159"/>
      <c r="L40" s="691"/>
      <c r="M40" s="372"/>
      <c r="N40" s="372"/>
      <c r="O40" s="372"/>
      <c r="P40" s="372">
        <f t="shared" si="19"/>
        <v>3.4615384615384617</v>
      </c>
      <c r="Q40" s="372">
        <f t="shared" si="20"/>
        <v>4.5</v>
      </c>
      <c r="R40" s="796">
        <f t="shared" si="21"/>
        <v>1.0384615384615383</v>
      </c>
      <c r="S40" s="159">
        <f t="shared" si="22"/>
        <v>10</v>
      </c>
      <c r="T40" s="159">
        <f t="shared" si="23"/>
        <v>10</v>
      </c>
      <c r="U40" s="159"/>
      <c r="V40" s="159"/>
    </row>
    <row r="41" spans="8:22" x14ac:dyDescent="0.35">
      <c r="H41" s="794">
        <v>44318</v>
      </c>
      <c r="I41" s="159">
        <v>780</v>
      </c>
      <c r="J41" s="480">
        <f t="shared" si="3"/>
        <v>9</v>
      </c>
      <c r="K41" s="159"/>
      <c r="L41" s="691"/>
      <c r="M41" s="372"/>
      <c r="N41" s="372"/>
      <c r="O41" s="372"/>
      <c r="P41" s="372">
        <f t="shared" si="19"/>
        <v>3.1153846153846154</v>
      </c>
      <c r="Q41" s="372">
        <f t="shared" si="20"/>
        <v>4.5</v>
      </c>
      <c r="R41" s="796">
        <f t="shared" si="21"/>
        <v>1.3846153846153846</v>
      </c>
      <c r="S41" s="159">
        <f t="shared" si="22"/>
        <v>9</v>
      </c>
      <c r="T41" s="159">
        <f t="shared" si="23"/>
        <v>9</v>
      </c>
      <c r="U41" s="159"/>
      <c r="V41" s="159"/>
    </row>
    <row r="42" spans="8:22" x14ac:dyDescent="0.35">
      <c r="H42" s="794">
        <v>44325</v>
      </c>
      <c r="I42" s="159">
        <v>782</v>
      </c>
      <c r="J42" s="480">
        <f t="shared" si="3"/>
        <v>2</v>
      </c>
      <c r="K42" s="159"/>
      <c r="L42" s="691"/>
      <c r="M42" s="372"/>
      <c r="N42" s="372"/>
      <c r="O42" s="372"/>
      <c r="P42" s="372">
        <f t="shared" si="19"/>
        <v>0.61538461538461542</v>
      </c>
      <c r="Q42" s="372">
        <f t="shared" si="20"/>
        <v>1</v>
      </c>
      <c r="R42" s="796">
        <f t="shared" si="21"/>
        <v>0.38461538461538458</v>
      </c>
      <c r="S42" s="159">
        <f t="shared" si="22"/>
        <v>8</v>
      </c>
      <c r="T42" s="159">
        <f t="shared" si="23"/>
        <v>8</v>
      </c>
      <c r="U42" s="159"/>
      <c r="V42" s="159"/>
    </row>
    <row r="43" spans="8:22" x14ac:dyDescent="0.35">
      <c r="H43" s="794">
        <v>44332</v>
      </c>
      <c r="I43" s="159">
        <v>788</v>
      </c>
      <c r="J43" s="480">
        <f t="shared" si="3"/>
        <v>6</v>
      </c>
      <c r="K43" s="159"/>
      <c r="L43" s="691"/>
      <c r="M43" s="372"/>
      <c r="N43" s="372"/>
      <c r="O43" s="372"/>
      <c r="P43" s="372">
        <f t="shared" si="19"/>
        <v>1.6153846153846154</v>
      </c>
      <c r="Q43" s="372">
        <f t="shared" si="20"/>
        <v>3</v>
      </c>
      <c r="R43" s="796">
        <f t="shared" si="21"/>
        <v>1.3846153846153846</v>
      </c>
      <c r="S43" s="159">
        <f t="shared" si="22"/>
        <v>7</v>
      </c>
      <c r="T43" s="159">
        <f t="shared" si="23"/>
        <v>7</v>
      </c>
      <c r="U43" s="159"/>
      <c r="V43" s="159"/>
    </row>
    <row r="44" spans="8:22" x14ac:dyDescent="0.35">
      <c r="H44" s="794">
        <v>44339</v>
      </c>
      <c r="I44" s="159">
        <v>796</v>
      </c>
      <c r="J44" s="480">
        <f t="shared" si="3"/>
        <v>8</v>
      </c>
      <c r="K44" s="159"/>
      <c r="L44" s="691"/>
      <c r="M44" s="372"/>
      <c r="N44" s="372"/>
      <c r="O44" s="372"/>
      <c r="P44" s="372">
        <f t="shared" si="19"/>
        <v>1.8461538461538463</v>
      </c>
      <c r="Q44" s="372">
        <f t="shared" si="20"/>
        <v>4</v>
      </c>
      <c r="R44" s="796">
        <f t="shared" si="21"/>
        <v>2.1538461538461537</v>
      </c>
      <c r="S44" s="159">
        <f t="shared" si="22"/>
        <v>6</v>
      </c>
      <c r="T44" s="159">
        <f t="shared" si="23"/>
        <v>6</v>
      </c>
      <c r="U44" s="159"/>
      <c r="V44" s="159"/>
    </row>
    <row r="45" spans="8:22" x14ac:dyDescent="0.35">
      <c r="H45" s="795">
        <v>44347</v>
      </c>
      <c r="I45" s="475">
        <v>800</v>
      </c>
      <c r="J45" s="481">
        <f t="shared" si="3"/>
        <v>4</v>
      </c>
      <c r="K45" s="159"/>
      <c r="L45" s="691"/>
      <c r="M45" s="372"/>
      <c r="N45" s="372"/>
      <c r="O45" s="372"/>
      <c r="P45" s="372">
        <f t="shared" si="19"/>
        <v>0.76923076923076927</v>
      </c>
      <c r="Q45" s="372">
        <f t="shared" si="20"/>
        <v>2</v>
      </c>
      <c r="R45" s="796">
        <f t="shared" si="21"/>
        <v>1.2307692307692308</v>
      </c>
      <c r="S45" s="159">
        <f t="shared" si="22"/>
        <v>5</v>
      </c>
      <c r="T45" s="159">
        <f t="shared" si="23"/>
        <v>5</v>
      </c>
      <c r="U45" s="159"/>
      <c r="V45" s="159"/>
    </row>
    <row r="46" spans="8:22" x14ac:dyDescent="0.35">
      <c r="H46" s="159"/>
      <c r="I46" s="159"/>
      <c r="J46" s="159"/>
      <c r="K46" s="159"/>
      <c r="L46" s="691">
        <f>SUM(L11:L45)</f>
        <v>184.80769230769229</v>
      </c>
      <c r="M46" s="372">
        <f t="shared" ref="M46:R46" si="24">SUM(M11:M45)</f>
        <v>261.42307692307696</v>
      </c>
      <c r="N46" s="372">
        <f t="shared" si="24"/>
        <v>77.692307692307693</v>
      </c>
      <c r="O46" s="372">
        <f t="shared" si="24"/>
        <v>53.384615384615394</v>
      </c>
      <c r="P46" s="372">
        <f t="shared" si="24"/>
        <v>129.03846153846155</v>
      </c>
      <c r="Q46" s="372">
        <f t="shared" si="24"/>
        <v>85.192307692307693</v>
      </c>
      <c r="R46" s="796">
        <f t="shared" si="24"/>
        <v>8.4615384615384599</v>
      </c>
      <c r="S46" s="159"/>
      <c r="T46" s="159"/>
      <c r="U46" s="159"/>
      <c r="V46" s="159"/>
    </row>
    <row r="47" spans="8:22" x14ac:dyDescent="0.35">
      <c r="H47" s="159"/>
      <c r="I47" s="159"/>
      <c r="J47" s="159"/>
      <c r="K47" s="159"/>
      <c r="L47" s="692">
        <f>L46*4</f>
        <v>739.23076923076917</v>
      </c>
      <c r="M47" s="693">
        <f t="shared" ref="M47:R47" si="25">M46*4</f>
        <v>1045.6923076923078</v>
      </c>
      <c r="N47" s="693">
        <f t="shared" si="25"/>
        <v>310.76923076923077</v>
      </c>
      <c r="O47" s="693">
        <f t="shared" si="25"/>
        <v>213.53846153846158</v>
      </c>
      <c r="P47" s="693">
        <f t="shared" si="25"/>
        <v>516.15384615384619</v>
      </c>
      <c r="Q47" s="693">
        <f t="shared" si="25"/>
        <v>340.76923076923077</v>
      </c>
      <c r="R47" s="797">
        <f t="shared" si="25"/>
        <v>33.84615384615384</v>
      </c>
      <c r="S47" s="159" t="s">
        <v>323</v>
      </c>
      <c r="T47" s="159"/>
      <c r="U47" s="159"/>
      <c r="V47" s="159"/>
    </row>
    <row r="48" spans="8:22" x14ac:dyDescent="0.35">
      <c r="J48" s="163" t="s">
        <v>324</v>
      </c>
      <c r="L48" s="163">
        <v>634</v>
      </c>
      <c r="M48" s="587">
        <f>K55</f>
        <v>900.7</v>
      </c>
      <c r="N48" s="587">
        <f t="shared" ref="N48:P48" si="26">L55</f>
        <v>270.7</v>
      </c>
      <c r="O48" s="587">
        <f t="shared" si="26"/>
        <v>208.7</v>
      </c>
      <c r="P48" s="587">
        <f t="shared" si="26"/>
        <v>469.7</v>
      </c>
      <c r="Q48" s="587">
        <v>279</v>
      </c>
      <c r="R48" s="587"/>
    </row>
    <row r="50" spans="8:29" x14ac:dyDescent="0.35">
      <c r="H50" s="1730" t="s">
        <v>325</v>
      </c>
      <c r="I50" s="1731"/>
      <c r="J50" s="1649" t="s">
        <v>280</v>
      </c>
      <c r="K50" s="1650"/>
      <c r="L50" s="1650"/>
      <c r="M50" s="1684"/>
      <c r="N50" s="1684"/>
      <c r="O50" s="1684"/>
      <c r="P50" s="1654"/>
      <c r="Q50" s="431"/>
      <c r="R50" s="431"/>
      <c r="S50" s="431"/>
      <c r="T50" s="431"/>
      <c r="U50" s="431"/>
      <c r="V50" s="431"/>
      <c r="W50" s="431"/>
      <c r="X50" s="431"/>
      <c r="Y50" s="431"/>
    </row>
    <row r="51" spans="8:29" x14ac:dyDescent="0.35">
      <c r="H51" s="1732"/>
      <c r="I51" s="1733"/>
      <c r="J51" s="1624">
        <v>2020</v>
      </c>
      <c r="K51" s="1646"/>
      <c r="L51" s="1646"/>
      <c r="M51" s="1624">
        <v>2021</v>
      </c>
      <c r="N51" s="1646"/>
      <c r="O51" s="1646"/>
      <c r="P51" s="1661"/>
      <c r="Q51" s="1680"/>
      <c r="R51" s="1680"/>
      <c r="S51" s="1680"/>
      <c r="T51" s="1680"/>
      <c r="U51" s="1680"/>
      <c r="V51" s="1680"/>
      <c r="W51" s="1680"/>
      <c r="X51" s="1680"/>
    </row>
    <row r="52" spans="8:29" x14ac:dyDescent="0.35">
      <c r="H52" s="1756"/>
      <c r="I52" s="1757"/>
      <c r="J52" s="118" t="s">
        <v>284</v>
      </c>
      <c r="K52" s="132" t="s">
        <v>238</v>
      </c>
      <c r="L52" s="132" t="s">
        <v>282</v>
      </c>
      <c r="M52" s="558" t="s">
        <v>283</v>
      </c>
      <c r="N52" s="559" t="s">
        <v>284</v>
      </c>
      <c r="O52" s="559" t="s">
        <v>238</v>
      </c>
      <c r="P52" s="557" t="s">
        <v>282</v>
      </c>
      <c r="Q52" s="159"/>
      <c r="S52" s="163"/>
      <c r="T52" s="163"/>
      <c r="U52" s="159"/>
      <c r="V52" s="163"/>
      <c r="W52" s="163"/>
      <c r="X52" s="163"/>
      <c r="Y52" s="163"/>
      <c r="Z52" s="163"/>
      <c r="AA52" s="163"/>
    </row>
    <row r="53" spans="8:29" ht="32.9" customHeight="1" x14ac:dyDescent="0.35">
      <c r="H53" s="392" t="s">
        <v>326</v>
      </c>
      <c r="I53" s="159" t="s">
        <v>327</v>
      </c>
      <c r="J53" s="789">
        <f>'Haver Pivoted'!GU47</f>
        <v>57.2</v>
      </c>
      <c r="K53" s="803">
        <f>'Haver Pivoted'!GV47</f>
        <v>81.2</v>
      </c>
      <c r="L53" s="803">
        <f>'Haver Pivoted'!GW47</f>
        <v>24.4</v>
      </c>
      <c r="M53" s="164">
        <f>'Haver Pivoted'!GX47</f>
        <v>11.7</v>
      </c>
      <c r="N53" s="164">
        <f>'Haver Pivoted'!GY47</f>
        <v>28.5</v>
      </c>
      <c r="O53" s="242">
        <f>'Haver Pivoted'!GZ47</f>
        <v>18.8</v>
      </c>
      <c r="P53" s="242">
        <f>'Haver Pivoted'!HA47</f>
        <v>1.6</v>
      </c>
      <c r="Q53" s="164"/>
      <c r="S53" s="163"/>
      <c r="T53" s="163"/>
      <c r="U53" s="163"/>
      <c r="V53" s="163"/>
      <c r="W53" s="163"/>
      <c r="X53" s="163"/>
      <c r="Y53" s="163"/>
      <c r="Z53" s="163"/>
      <c r="AA53" s="163"/>
    </row>
    <row r="54" spans="8:29" ht="33.75" customHeight="1" x14ac:dyDescent="0.35">
      <c r="H54" s="392" t="s">
        <v>328</v>
      </c>
      <c r="I54" s="161" t="s">
        <v>329</v>
      </c>
      <c r="J54" s="788">
        <f>'Haver Pivoted'!GU49</f>
        <v>576.9</v>
      </c>
      <c r="K54" s="164">
        <f>'Haver Pivoted'!GV49</f>
        <v>819.5</v>
      </c>
      <c r="L54" s="164">
        <f>'Haver Pivoted'!GW49</f>
        <v>246.3</v>
      </c>
      <c r="M54" s="164">
        <f>'Haver Pivoted'!GX49</f>
        <v>197</v>
      </c>
      <c r="N54" s="164">
        <f>'Haver Pivoted'!GY49</f>
        <v>441.2</v>
      </c>
      <c r="O54" s="242">
        <f>'Haver Pivoted'!GZ49</f>
        <v>276.7</v>
      </c>
      <c r="P54" s="242">
        <f>'Haver Pivoted'!HA49</f>
        <v>28.2</v>
      </c>
      <c r="Q54" s="164"/>
      <c r="R54" s="164"/>
    </row>
    <row r="55" spans="8:29" x14ac:dyDescent="0.35">
      <c r="H55" s="482" t="s">
        <v>312</v>
      </c>
      <c r="I55" s="159"/>
      <c r="J55" s="788">
        <f>J54+J53</f>
        <v>634.1</v>
      </c>
      <c r="K55" s="164">
        <f t="shared" ref="K55:M55" si="27">K54+K53</f>
        <v>900.7</v>
      </c>
      <c r="L55" s="164">
        <f t="shared" si="27"/>
        <v>270.7</v>
      </c>
      <c r="M55" s="164">
        <f t="shared" si="27"/>
        <v>208.7</v>
      </c>
      <c r="N55" s="164">
        <f t="shared" ref="N55:P55" si="28">N54+N53</f>
        <v>469.7</v>
      </c>
      <c r="O55" s="242">
        <f t="shared" si="28"/>
        <v>295.5</v>
      </c>
      <c r="P55" s="242">
        <f t="shared" si="28"/>
        <v>29.8</v>
      </c>
      <c r="Q55" s="164"/>
      <c r="R55" s="164"/>
    </row>
    <row r="56" spans="8:29" x14ac:dyDescent="0.35">
      <c r="H56" s="229" t="s">
        <v>330</v>
      </c>
      <c r="I56" s="475"/>
      <c r="J56" s="694">
        <f t="shared" ref="J56:P56" si="29">J53/J55</f>
        <v>9.0206592020186091E-2</v>
      </c>
      <c r="K56" s="695">
        <f t="shared" si="29"/>
        <v>9.015210391917397E-2</v>
      </c>
      <c r="L56" s="695">
        <f t="shared" si="29"/>
        <v>9.0136682674547469E-2</v>
      </c>
      <c r="M56" s="695">
        <f t="shared" si="29"/>
        <v>5.6061332055582176E-2</v>
      </c>
      <c r="N56" s="695">
        <f t="shared" si="29"/>
        <v>6.0677027890142649E-2</v>
      </c>
      <c r="O56" s="696">
        <f t="shared" si="29"/>
        <v>6.3620981387478848E-2</v>
      </c>
      <c r="P56" s="696">
        <f t="shared" si="29"/>
        <v>5.3691275167785234E-2</v>
      </c>
      <c r="Q56" s="792"/>
      <c r="R56" s="658"/>
    </row>
    <row r="58" spans="8:29" x14ac:dyDescent="0.35">
      <c r="H58" s="163" t="s">
        <v>823</v>
      </c>
    </row>
    <row r="59" spans="8:29" x14ac:dyDescent="0.35">
      <c r="H59" s="225"/>
      <c r="I59" s="159"/>
      <c r="J59" s="164"/>
      <c r="K59" s="164"/>
      <c r="L59" s="164"/>
      <c r="M59" s="164"/>
      <c r="N59" s="164"/>
      <c r="O59" s="164"/>
      <c r="P59" s="422"/>
      <c r="Q59" s="164"/>
      <c r="R59" s="164"/>
      <c r="S59" s="164"/>
      <c r="T59" s="163"/>
      <c r="U59" s="163"/>
      <c r="V59" s="163"/>
      <c r="W59" s="163"/>
      <c r="X59" s="163"/>
      <c r="Y59" s="163"/>
      <c r="Z59" s="163"/>
      <c r="AA59" s="163"/>
      <c r="AB59" s="163"/>
      <c r="AC59" s="163"/>
    </row>
    <row r="60" spans="8:29" x14ac:dyDescent="0.35">
      <c r="P60" s="164"/>
      <c r="Q60" s="163"/>
      <c r="R60" s="163"/>
      <c r="S60" s="163"/>
      <c r="T60" s="163"/>
      <c r="U60" s="163"/>
      <c r="V60" s="163"/>
      <c r="W60" s="163"/>
      <c r="X60" s="163"/>
      <c r="Y60" s="163"/>
      <c r="Z60" s="163"/>
      <c r="AA60" s="163"/>
      <c r="AB60" s="163"/>
      <c r="AC60" s="163"/>
    </row>
    <row r="61" spans="8:29" x14ac:dyDescent="0.35">
      <c r="P61" s="164"/>
      <c r="Q61" s="790"/>
      <c r="R61" s="790"/>
      <c r="S61" s="790"/>
      <c r="T61" s="790"/>
      <c r="U61" s="790"/>
      <c r="V61" s="790"/>
      <c r="W61" s="790"/>
      <c r="X61" s="790"/>
      <c r="Y61" s="790"/>
      <c r="Z61" s="790"/>
      <c r="AA61" s="790"/>
      <c r="AB61" s="790"/>
      <c r="AC61" s="163"/>
    </row>
    <row r="62" spans="8:29" x14ac:dyDescent="0.35">
      <c r="P62" s="164"/>
      <c r="Q62" s="790"/>
      <c r="R62" s="790"/>
      <c r="S62" s="790"/>
      <c r="T62" s="790"/>
      <c r="U62" s="790"/>
      <c r="V62" s="790"/>
      <c r="W62" s="790"/>
      <c r="X62" s="790"/>
      <c r="Y62" s="790"/>
      <c r="Z62" s="790"/>
      <c r="AA62" s="790"/>
      <c r="AB62" s="790"/>
      <c r="AC62" s="163"/>
    </row>
    <row r="63" spans="8:29" x14ac:dyDescent="0.35">
      <c r="I63" s="163" t="s">
        <v>283</v>
      </c>
      <c r="J63" s="163" t="s">
        <v>284</v>
      </c>
      <c r="K63" s="163" t="s">
        <v>238</v>
      </c>
      <c r="L63" s="163" t="s">
        <v>282</v>
      </c>
      <c r="P63" s="658"/>
      <c r="Q63" s="790"/>
      <c r="R63" s="790"/>
      <c r="S63" s="790"/>
      <c r="T63" s="790"/>
      <c r="U63" s="790"/>
      <c r="V63" s="790"/>
      <c r="W63" s="790"/>
      <c r="X63" s="790"/>
      <c r="Y63" s="790"/>
      <c r="Z63" s="790"/>
      <c r="AA63" s="790"/>
      <c r="AB63" s="790"/>
      <c r="AC63" s="163"/>
    </row>
    <row r="64" spans="8:29" x14ac:dyDescent="0.35">
      <c r="H64" s="163" t="s">
        <v>824</v>
      </c>
      <c r="I64" s="163">
        <v>81.599999999999994</v>
      </c>
      <c r="J64" s="163">
        <v>188.9</v>
      </c>
      <c r="K64" s="163">
        <v>117.2</v>
      </c>
      <c r="L64" s="163" t="e">
        <f>#REF!+#REF!</f>
        <v>#REF!</v>
      </c>
      <c r="P64" s="163"/>
      <c r="Q64" s="163"/>
      <c r="R64" s="163"/>
      <c r="S64" s="163"/>
      <c r="T64" s="163"/>
      <c r="U64" s="163"/>
      <c r="V64" s="163"/>
      <c r="W64" s="163"/>
      <c r="X64" s="163"/>
      <c r="Y64" s="163"/>
      <c r="Z64" s="163"/>
      <c r="AA64" s="163"/>
      <c r="AB64" s="163"/>
      <c r="AC64" s="163"/>
    </row>
    <row r="65" spans="7:29" x14ac:dyDescent="0.35">
      <c r="H65" s="163" t="s">
        <v>472</v>
      </c>
      <c r="I65" s="587">
        <f>M53</f>
        <v>11.7</v>
      </c>
      <c r="J65" s="587">
        <f t="shared" ref="J65:K65" si="30">N53</f>
        <v>28.5</v>
      </c>
      <c r="K65" s="587">
        <f t="shared" si="30"/>
        <v>18.8</v>
      </c>
      <c r="L65" s="163" t="e">
        <f>#REF!</f>
        <v>#REF!</v>
      </c>
      <c r="P65" s="163"/>
      <c r="Q65" s="163"/>
      <c r="R65" s="163"/>
      <c r="S65" s="163"/>
      <c r="T65" s="163"/>
      <c r="U65" s="163"/>
      <c r="V65" s="163"/>
      <c r="W65" s="163"/>
      <c r="X65" s="163"/>
      <c r="Y65" s="163"/>
      <c r="Z65" s="163"/>
      <c r="AA65" s="163"/>
      <c r="AB65" s="163"/>
      <c r="AC65" s="163"/>
    </row>
    <row r="66" spans="7:29" x14ac:dyDescent="0.35">
      <c r="H66" s="163" t="s">
        <v>825</v>
      </c>
      <c r="I66" s="587">
        <f>I67-SUM(I64:I65)</f>
        <v>115.39999999999999</v>
      </c>
      <c r="J66" s="587">
        <f t="shared" ref="J66:K66" si="31">J67-SUM(J64:J65)</f>
        <v>252.29999999999998</v>
      </c>
      <c r="K66" s="587">
        <f t="shared" si="31"/>
        <v>159.5</v>
      </c>
      <c r="L66" s="587" t="e">
        <f>1.26*L64</f>
        <v>#REF!</v>
      </c>
      <c r="P66" s="163"/>
      <c r="Q66" s="163"/>
      <c r="R66" s="163"/>
      <c r="S66" s="163"/>
      <c r="T66" s="163"/>
      <c r="U66" s="163"/>
      <c r="V66" s="163"/>
      <c r="W66" s="163"/>
      <c r="X66" s="163"/>
      <c r="Y66" s="163"/>
      <c r="Z66" s="163"/>
      <c r="AA66" s="163"/>
      <c r="AB66" s="163"/>
      <c r="AC66" s="163"/>
    </row>
    <row r="67" spans="7:29" x14ac:dyDescent="0.35">
      <c r="H67" s="163" t="s">
        <v>312</v>
      </c>
      <c r="I67" s="587">
        <f>M55</f>
        <v>208.7</v>
      </c>
      <c r="J67" s="587">
        <f>N55</f>
        <v>469.7</v>
      </c>
      <c r="K67" s="587">
        <f>O55</f>
        <v>295.5</v>
      </c>
      <c r="L67" s="587" t="e">
        <f>SUM(L64:L66)</f>
        <v>#REF!</v>
      </c>
    </row>
    <row r="68" spans="7:29" x14ac:dyDescent="0.35">
      <c r="G68" s="163" t="s">
        <v>826</v>
      </c>
    </row>
    <row r="69" spans="7:29" x14ac:dyDescent="0.35">
      <c r="H69" s="163" t="s">
        <v>824</v>
      </c>
      <c r="I69" s="525">
        <f>I64/I$67</f>
        <v>0.39099185433636796</v>
      </c>
      <c r="J69" s="525">
        <f t="shared" ref="J69:L69" si="32">J64/J$67</f>
        <v>0.40217159889291038</v>
      </c>
      <c r="K69" s="525">
        <f t="shared" si="32"/>
        <v>0.3966159052453469</v>
      </c>
      <c r="L69" s="525" t="e">
        <f t="shared" si="32"/>
        <v>#REF!</v>
      </c>
    </row>
    <row r="70" spans="7:29" x14ac:dyDescent="0.35">
      <c r="H70" s="163" t="s">
        <v>472</v>
      </c>
      <c r="I70" s="525">
        <f t="shared" ref="I70:L71" si="33">I65/I$67</f>
        <v>5.6061332055582176E-2</v>
      </c>
      <c r="J70" s="525">
        <f t="shared" si="33"/>
        <v>6.0677027890142649E-2</v>
      </c>
      <c r="K70" s="525">
        <f t="shared" si="33"/>
        <v>6.3620981387478848E-2</v>
      </c>
      <c r="L70" s="525" t="e">
        <f t="shared" si="33"/>
        <v>#REF!</v>
      </c>
    </row>
    <row r="71" spans="7:29" x14ac:dyDescent="0.35">
      <c r="H71" s="163" t="s">
        <v>825</v>
      </c>
      <c r="I71" s="525">
        <f t="shared" si="33"/>
        <v>0.55294681360804987</v>
      </c>
      <c r="J71" s="525">
        <f t="shared" si="33"/>
        <v>0.53715137321694695</v>
      </c>
      <c r="K71" s="525">
        <f t="shared" si="33"/>
        <v>0.53976311336717431</v>
      </c>
      <c r="L71" s="525" t="e">
        <f t="shared" si="33"/>
        <v>#REF!</v>
      </c>
    </row>
    <row r="73" spans="7:29" x14ac:dyDescent="0.35">
      <c r="H73" s="163" t="s">
        <v>827</v>
      </c>
      <c r="I73" s="163">
        <f>I66/I64</f>
        <v>1.4142156862745099</v>
      </c>
      <c r="J73" s="163">
        <f t="shared" ref="J73:K73" si="34">J66/J64</f>
        <v>1.3356273160402328</v>
      </c>
      <c r="K73" s="163">
        <f t="shared" si="34"/>
        <v>1.3609215017064846</v>
      </c>
    </row>
  </sheetData>
  <mergeCells count="9">
    <mergeCell ref="U51:X51"/>
    <mergeCell ref="H2:S5"/>
    <mergeCell ref="H1:S1"/>
    <mergeCell ref="L9:N9"/>
    <mergeCell ref="H50:I52"/>
    <mergeCell ref="J51:L51"/>
    <mergeCell ref="Q51:T51"/>
    <mergeCell ref="M51:P51"/>
    <mergeCell ref="J50:P50"/>
  </mergeCells>
  <hyperlinks>
    <hyperlink ref="H7" r:id="rId1" xr:uid="{00000000-0004-0000-1700-000000000000}"/>
  </hyperlinks>
  <pageMargins left="0.7" right="0.7" top="0.75" bottom="0.75" header="0.3" footer="0.3"/>
  <pageSetup orientation="portrai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V45"/>
  <sheetViews>
    <sheetView topLeftCell="C1" zoomScale="110" zoomScaleNormal="110" workbookViewId="0">
      <selection activeCell="I26" sqref="I26"/>
    </sheetView>
  </sheetViews>
  <sheetFormatPr defaultColWidth="11.453125" defaultRowHeight="14.5" x14ac:dyDescent="0.35"/>
  <cols>
    <col min="2" max="2" width="38.81640625" customWidth="1"/>
    <col min="3" max="9" width="10.453125" customWidth="1"/>
    <col min="10" max="20" width="7.1796875" customWidth="1"/>
    <col min="21" max="21" width="22.1796875" customWidth="1"/>
    <col min="22" max="22" width="11.81640625" customWidth="1"/>
  </cols>
  <sheetData>
    <row r="1" spans="1:22" x14ac:dyDescent="0.35">
      <c r="B1" s="1587" t="s">
        <v>152</v>
      </c>
      <c r="C1" s="1587"/>
      <c r="D1" s="1587"/>
      <c r="E1" s="1587"/>
      <c r="F1" s="1587"/>
      <c r="G1" s="1587"/>
      <c r="H1" s="1587"/>
      <c r="I1" s="1587"/>
      <c r="J1" s="1587"/>
      <c r="K1" s="1587"/>
      <c r="L1" s="1587"/>
      <c r="M1" s="1587"/>
      <c r="N1" s="1587"/>
      <c r="O1" s="1587"/>
      <c r="P1" s="1587"/>
      <c r="Q1" s="1587"/>
      <c r="R1" s="1587"/>
      <c r="S1" s="1587"/>
      <c r="T1" s="1587"/>
    </row>
    <row r="2" spans="1:22" x14ac:dyDescent="0.35">
      <c r="B2" s="1758" t="s">
        <v>863</v>
      </c>
      <c r="C2" s="1758"/>
      <c r="D2" s="1758"/>
      <c r="E2" s="1758"/>
      <c r="F2" s="1758"/>
      <c r="G2" s="1758"/>
      <c r="H2" s="1758"/>
      <c r="I2" s="1758"/>
      <c r="J2" s="1758"/>
      <c r="K2" s="1758"/>
      <c r="L2" s="1758"/>
      <c r="M2" s="1758"/>
      <c r="N2" s="1758"/>
      <c r="O2" s="1758"/>
      <c r="P2" s="1758"/>
      <c r="Q2" s="1758"/>
      <c r="R2" s="1758"/>
      <c r="S2" s="1758"/>
      <c r="T2" s="1758"/>
    </row>
    <row r="3" spans="1:22" x14ac:dyDescent="0.35">
      <c r="B3" s="1758"/>
      <c r="C3" s="1758"/>
      <c r="D3" s="1758"/>
      <c r="E3" s="1758"/>
      <c r="F3" s="1758"/>
      <c r="G3" s="1758"/>
      <c r="H3" s="1758"/>
      <c r="I3" s="1758"/>
      <c r="J3" s="1758"/>
      <c r="K3" s="1758"/>
      <c r="L3" s="1758"/>
      <c r="M3" s="1758"/>
      <c r="N3" s="1758"/>
      <c r="O3" s="1758"/>
      <c r="P3" s="1758"/>
      <c r="Q3" s="1758"/>
      <c r="R3" s="1758"/>
      <c r="S3" s="1758"/>
      <c r="T3" s="1758"/>
    </row>
    <row r="4" spans="1:22" x14ac:dyDescent="0.35">
      <c r="B4" s="1758"/>
      <c r="C4" s="1758"/>
      <c r="D4" s="1758"/>
      <c r="E4" s="1758"/>
      <c r="F4" s="1758"/>
      <c r="G4" s="1758"/>
      <c r="H4" s="1758"/>
      <c r="I4" s="1758"/>
      <c r="J4" s="1758"/>
      <c r="K4" s="1758"/>
      <c r="L4" s="1758"/>
      <c r="M4" s="1758"/>
      <c r="N4" s="1758"/>
      <c r="O4" s="1758"/>
      <c r="P4" s="1758"/>
      <c r="Q4" s="1758"/>
      <c r="R4" s="1758"/>
      <c r="S4" s="1758"/>
      <c r="T4" s="1758"/>
    </row>
    <row r="5" spans="1:22" x14ac:dyDescent="0.35">
      <c r="B5" s="1758"/>
      <c r="C5" s="1758"/>
      <c r="D5" s="1758"/>
      <c r="E5" s="1758"/>
      <c r="F5" s="1758"/>
      <c r="G5" s="1758"/>
      <c r="H5" s="1758"/>
      <c r="I5" s="1758"/>
      <c r="J5" s="1758"/>
      <c r="K5" s="1758"/>
      <c r="L5" s="1758"/>
      <c r="M5" s="1758"/>
      <c r="N5" s="1758"/>
      <c r="O5" s="1758"/>
      <c r="P5" s="1758"/>
      <c r="Q5" s="1758"/>
      <c r="R5" s="1758"/>
      <c r="S5" s="1758"/>
      <c r="T5" s="1758"/>
    </row>
    <row r="6" spans="1:22" x14ac:dyDescent="0.35">
      <c r="B6" s="1758"/>
      <c r="C6" s="1758"/>
      <c r="D6" s="1758"/>
      <c r="E6" s="1758"/>
      <c r="F6" s="1758"/>
      <c r="G6" s="1758"/>
      <c r="H6" s="1758"/>
      <c r="I6" s="1758"/>
      <c r="J6" s="1758"/>
      <c r="K6" s="1758"/>
      <c r="L6" s="1758"/>
      <c r="M6" s="1758"/>
      <c r="N6" s="1758"/>
      <c r="O6" s="1758"/>
      <c r="P6" s="1758"/>
      <c r="Q6" s="1758"/>
      <c r="R6" s="1758"/>
      <c r="S6" s="1758"/>
      <c r="T6" s="1758"/>
    </row>
    <row r="7" spans="1:22" x14ac:dyDescent="0.35">
      <c r="J7" s="137"/>
      <c r="K7" s="137"/>
      <c r="M7" s="137"/>
    </row>
    <row r="9" spans="1:22" ht="14.9" customHeight="1" x14ac:dyDescent="0.35">
      <c r="A9" s="109"/>
      <c r="B9" s="1759" t="s">
        <v>304</v>
      </c>
      <c r="C9" s="1760"/>
      <c r="D9" s="822">
        <v>2018</v>
      </c>
      <c r="E9" s="1765">
        <v>2019</v>
      </c>
      <c r="F9" s="1766"/>
      <c r="G9" s="1766"/>
      <c r="H9" s="1767"/>
      <c r="I9" s="1763">
        <v>2020</v>
      </c>
      <c r="J9" s="1764"/>
      <c r="K9" s="1764"/>
      <c r="L9" s="1764"/>
      <c r="M9" s="1768">
        <v>2021</v>
      </c>
      <c r="N9" s="1769"/>
      <c r="O9" s="1769"/>
      <c r="P9" s="1770"/>
      <c r="Q9" s="1763">
        <v>2022</v>
      </c>
      <c r="R9" s="1771"/>
      <c r="S9" s="1771"/>
      <c r="T9" s="1772"/>
    </row>
    <row r="10" spans="1:22" x14ac:dyDescent="0.35">
      <c r="B10" s="1761"/>
      <c r="C10" s="1762"/>
      <c r="D10" s="826" t="s">
        <v>282</v>
      </c>
      <c r="E10" s="827" t="s">
        <v>283</v>
      </c>
      <c r="F10" s="112" t="s">
        <v>284</v>
      </c>
      <c r="G10" s="112" t="s">
        <v>238</v>
      </c>
      <c r="H10" s="828" t="s">
        <v>282</v>
      </c>
      <c r="I10" s="827" t="s">
        <v>283</v>
      </c>
      <c r="J10" s="112" t="s">
        <v>284</v>
      </c>
      <c r="K10" s="112" t="s">
        <v>238</v>
      </c>
      <c r="L10" s="112" t="s">
        <v>282</v>
      </c>
      <c r="M10" s="118" t="s">
        <v>283</v>
      </c>
      <c r="N10" s="132" t="s">
        <v>284</v>
      </c>
      <c r="O10" s="132" t="s">
        <v>238</v>
      </c>
      <c r="P10" s="115" t="s">
        <v>282</v>
      </c>
      <c r="Q10" s="112" t="s">
        <v>283</v>
      </c>
      <c r="R10" s="112" t="s">
        <v>284</v>
      </c>
      <c r="S10" s="112" t="s">
        <v>238</v>
      </c>
      <c r="T10" s="828" t="s">
        <v>282</v>
      </c>
    </row>
    <row r="11" spans="1:22" ht="29.15" customHeight="1" x14ac:dyDescent="0.35">
      <c r="A11" s="820"/>
      <c r="B11" s="830" t="s">
        <v>139</v>
      </c>
      <c r="C11" s="825" t="s">
        <v>305</v>
      </c>
      <c r="D11" s="814"/>
      <c r="E11" s="815"/>
      <c r="F11" s="815"/>
      <c r="G11" s="815"/>
      <c r="H11" s="815"/>
      <c r="I11" s="815"/>
      <c r="J11" s="807">
        <f>'Haver Pivoted'!GU48</f>
        <v>160.9</v>
      </c>
      <c r="K11" s="807">
        <f>'Haver Pivoted'!GV48</f>
        <v>58.4</v>
      </c>
      <c r="L11" s="807">
        <f>'Haver Pivoted'!GW48</f>
        <v>34.5</v>
      </c>
      <c r="M11" s="807">
        <f>'Haver Pivoted'!GX48</f>
        <v>21.4</v>
      </c>
      <c r="N11" s="807">
        <f>'Haver Pivoted'!GY48</f>
        <v>13.3</v>
      </c>
      <c r="O11" s="807">
        <f>'Haver Pivoted'!GZ48</f>
        <v>18.7</v>
      </c>
      <c r="P11" s="807">
        <f>'Haver Pivoted'!HA48</f>
        <v>32.200000000000003</v>
      </c>
      <c r="Q11" s="807">
        <f>'Haver Pivoted'!HB48</f>
        <v>26.9</v>
      </c>
      <c r="R11" s="807">
        <f>'Haver Pivoted'!HC48</f>
        <v>20</v>
      </c>
      <c r="S11" s="813">
        <f>'Haver Pivoted'!HD48</f>
        <v>8.1</v>
      </c>
      <c r="T11" s="808">
        <f>'Haver Pivoted'!HE48</f>
        <v>4.9000000000000004</v>
      </c>
    </row>
    <row r="12" spans="1:22" ht="29.15" customHeight="1" x14ac:dyDescent="0.35">
      <c r="A12" s="820"/>
      <c r="B12" s="818" t="s">
        <v>306</v>
      </c>
      <c r="C12" s="97" t="s">
        <v>307</v>
      </c>
      <c r="D12" s="818"/>
      <c r="E12" s="97"/>
      <c r="F12" s="97"/>
      <c r="G12" s="97"/>
      <c r="H12" s="97"/>
      <c r="I12" s="97"/>
      <c r="J12" s="809">
        <f>'Haver Pivoted'!GU58</f>
        <v>64.400000000000006</v>
      </c>
      <c r="K12" s="809">
        <f>'Haver Pivoted'!GV58</f>
        <v>23.4</v>
      </c>
      <c r="L12" s="809">
        <f>'Haver Pivoted'!GW58</f>
        <v>13.8</v>
      </c>
      <c r="M12" s="809">
        <f>'Haver Pivoted'!GX58</f>
        <v>12</v>
      </c>
      <c r="N12" s="809">
        <f>'Haver Pivoted'!GY58</f>
        <v>7.5</v>
      </c>
      <c r="O12" s="809">
        <f>'Haver Pivoted'!GZ58</f>
        <v>10.5</v>
      </c>
      <c r="P12" s="809">
        <f>'Haver Pivoted'!HA58</f>
        <v>18</v>
      </c>
      <c r="Q12" s="809">
        <f>'Haver Pivoted'!HB58</f>
        <v>15</v>
      </c>
      <c r="R12" s="809">
        <f>'Haver Pivoted'!HC58</f>
        <v>11.2</v>
      </c>
      <c r="S12" s="812">
        <f>'Haver Pivoted'!HD58</f>
        <v>7.5</v>
      </c>
      <c r="T12" s="816">
        <f>'Haver Pivoted'!HE58</f>
        <v>6.2</v>
      </c>
    </row>
    <row r="13" spans="1:22" ht="47.15" customHeight="1" x14ac:dyDescent="0.35">
      <c r="A13" s="820"/>
      <c r="B13" s="818" t="s">
        <v>308</v>
      </c>
      <c r="C13" s="97" t="s">
        <v>309</v>
      </c>
      <c r="D13" s="818"/>
      <c r="E13" s="97"/>
      <c r="F13" s="97"/>
      <c r="G13" s="97"/>
      <c r="H13" s="97"/>
      <c r="I13" s="97"/>
      <c r="J13" s="809">
        <f>'Haver Pivoted'!GU54</f>
        <v>96.6</v>
      </c>
      <c r="K13" s="809">
        <f>'Haver Pivoted'!GV54</f>
        <v>35.1</v>
      </c>
      <c r="L13" s="809">
        <f>'Haver Pivoted'!GW54</f>
        <v>20.7</v>
      </c>
      <c r="M13" s="809">
        <f>'Haver Pivoted'!GX54</f>
        <v>15.4</v>
      </c>
      <c r="N13" s="809">
        <f>'Haver Pivoted'!GY54</f>
        <v>9.6</v>
      </c>
      <c r="O13" s="809">
        <f>'Haver Pivoted'!GZ54</f>
        <v>13.5</v>
      </c>
      <c r="P13" s="809">
        <f>'Haver Pivoted'!HA54</f>
        <v>23.2</v>
      </c>
      <c r="Q13" s="809">
        <f>'Haver Pivoted'!HB54</f>
        <v>19.3</v>
      </c>
      <c r="R13" s="809">
        <f>'Haver Pivoted'!HC54</f>
        <v>14.4</v>
      </c>
      <c r="S13" s="812">
        <f>'Haver Pivoted'!HD54</f>
        <v>5.9</v>
      </c>
      <c r="T13" s="816">
        <f>'Haver Pivoted'!HE54</f>
        <v>3.6</v>
      </c>
      <c r="U13" s="810" t="s">
        <v>310</v>
      </c>
      <c r="V13" s="823" t="s">
        <v>311</v>
      </c>
    </row>
    <row r="14" spans="1:22" x14ac:dyDescent="0.35">
      <c r="B14" s="54" t="s">
        <v>312</v>
      </c>
      <c r="C14" s="56"/>
      <c r="D14" s="54"/>
      <c r="E14" s="56"/>
      <c r="F14" s="56"/>
      <c r="G14" s="56"/>
      <c r="H14" s="56"/>
      <c r="I14" s="56"/>
      <c r="J14" s="809">
        <f t="shared" ref="J14:T14" si="0">J13+J12+J11</f>
        <v>321.89999999999998</v>
      </c>
      <c r="K14" s="809">
        <f t="shared" si="0"/>
        <v>116.9</v>
      </c>
      <c r="L14" s="809">
        <f t="shared" si="0"/>
        <v>69</v>
      </c>
      <c r="M14" s="809">
        <f t="shared" si="0"/>
        <v>48.8</v>
      </c>
      <c r="N14" s="809">
        <f t="shared" si="0"/>
        <v>30.400000000000002</v>
      </c>
      <c r="O14" s="809">
        <f t="shared" si="0"/>
        <v>42.7</v>
      </c>
      <c r="P14" s="809">
        <f t="shared" si="0"/>
        <v>73.400000000000006</v>
      </c>
      <c r="Q14" s="809">
        <f t="shared" si="0"/>
        <v>61.199999999999996</v>
      </c>
      <c r="R14" s="809">
        <f t="shared" si="0"/>
        <v>45.6</v>
      </c>
      <c r="S14" s="812">
        <f t="shared" si="0"/>
        <v>21.5</v>
      </c>
      <c r="T14" s="816">
        <f t="shared" si="0"/>
        <v>14.700000000000001</v>
      </c>
      <c r="U14" s="811">
        <v>236</v>
      </c>
      <c r="V14" s="829">
        <f>SUM(J14:S14)/4</f>
        <v>207.85</v>
      </c>
    </row>
    <row r="15" spans="1:22" x14ac:dyDescent="0.35">
      <c r="B15" s="819" t="s">
        <v>313</v>
      </c>
      <c r="C15" s="58"/>
      <c r="D15" s="819"/>
      <c r="E15" s="58"/>
      <c r="F15" s="58"/>
      <c r="G15" s="58"/>
      <c r="H15" s="58"/>
      <c r="I15" s="58"/>
      <c r="J15" s="109">
        <f t="shared" ref="J15:N17" si="1">J11/J$14</f>
        <v>0.49984467225846541</v>
      </c>
      <c r="K15" s="109">
        <f t="shared" si="1"/>
        <v>0.49957228400342168</v>
      </c>
      <c r="L15" s="109">
        <f t="shared" si="1"/>
        <v>0.5</v>
      </c>
      <c r="M15" s="109">
        <f t="shared" si="1"/>
        <v>0.43852459016393441</v>
      </c>
      <c r="N15" s="109">
        <f t="shared" si="1"/>
        <v>0.4375</v>
      </c>
      <c r="O15" s="109">
        <f>O11/O$14</f>
        <v>0.43793911007025754</v>
      </c>
      <c r="P15" s="109">
        <f t="shared" ref="P15:T15" si="2">P11/P$14</f>
        <v>0.43869209809264303</v>
      </c>
      <c r="Q15" s="109">
        <f t="shared" si="2"/>
        <v>0.43954248366013071</v>
      </c>
      <c r="R15" s="109">
        <f t="shared" si="2"/>
        <v>0.43859649122807015</v>
      </c>
      <c r="S15" s="112">
        <f t="shared" si="2"/>
        <v>0.37674418604651161</v>
      </c>
      <c r="T15" s="828">
        <f t="shared" si="2"/>
        <v>0.33333333333333331</v>
      </c>
    </row>
    <row r="16" spans="1:22" x14ac:dyDescent="0.35">
      <c r="B16" s="819" t="s">
        <v>314</v>
      </c>
      <c r="C16" s="58"/>
      <c r="D16" s="819"/>
      <c r="E16" s="58"/>
      <c r="F16" s="58"/>
      <c r="G16" s="58"/>
      <c r="H16" s="58"/>
      <c r="I16" s="58"/>
      <c r="J16" s="109">
        <f t="shared" si="1"/>
        <v>0.20006213109661389</v>
      </c>
      <c r="K16" s="109">
        <f t="shared" si="1"/>
        <v>0.20017108639863129</v>
      </c>
      <c r="L16" s="109">
        <f t="shared" si="1"/>
        <v>0.2</v>
      </c>
      <c r="M16" s="109">
        <f t="shared" si="1"/>
        <v>0.24590163934426232</v>
      </c>
      <c r="N16" s="109">
        <f t="shared" si="1"/>
        <v>0.24671052631578946</v>
      </c>
      <c r="O16" s="109">
        <f t="shared" ref="O16:T16" si="3">O12/O$14</f>
        <v>0.24590163934426229</v>
      </c>
      <c r="P16" s="109">
        <f t="shared" si="3"/>
        <v>0.24523160762942778</v>
      </c>
      <c r="Q16" s="109">
        <f t="shared" si="3"/>
        <v>0.24509803921568629</v>
      </c>
      <c r="R16" s="109">
        <f t="shared" si="3"/>
        <v>0.24561403508771928</v>
      </c>
      <c r="S16" s="112">
        <f t="shared" si="3"/>
        <v>0.34883720930232559</v>
      </c>
      <c r="T16" s="828">
        <f t="shared" si="3"/>
        <v>0.42176870748299317</v>
      </c>
      <c r="U16" s="80"/>
    </row>
    <row r="17" spans="2:21" x14ac:dyDescent="0.35">
      <c r="B17" s="821" t="s">
        <v>315</v>
      </c>
      <c r="C17" s="824"/>
      <c r="D17" s="821"/>
      <c r="E17" s="824"/>
      <c r="F17" s="824"/>
      <c r="G17" s="824"/>
      <c r="H17" s="824"/>
      <c r="I17" s="824"/>
      <c r="J17" s="560">
        <f t="shared" si="1"/>
        <v>0.30009319664492079</v>
      </c>
      <c r="K17" s="560">
        <f t="shared" si="1"/>
        <v>0.30025662959794697</v>
      </c>
      <c r="L17" s="560">
        <f t="shared" si="1"/>
        <v>0.3</v>
      </c>
      <c r="M17" s="560">
        <f t="shared" si="1"/>
        <v>0.3155737704918033</v>
      </c>
      <c r="N17" s="560">
        <f t="shared" si="1"/>
        <v>0.31578947368421051</v>
      </c>
      <c r="O17" s="560">
        <f t="shared" ref="O17:T17" si="4">O13/O$14</f>
        <v>0.31615925058548006</v>
      </c>
      <c r="P17" s="560">
        <f t="shared" si="4"/>
        <v>0.3160762942779291</v>
      </c>
      <c r="Q17" s="560">
        <f t="shared" si="4"/>
        <v>0.31535947712418305</v>
      </c>
      <c r="R17" s="560">
        <f t="shared" si="4"/>
        <v>0.31578947368421051</v>
      </c>
      <c r="S17" s="831">
        <f t="shared" si="4"/>
        <v>0.2744186046511628</v>
      </c>
      <c r="T17" s="817">
        <f t="shared" si="4"/>
        <v>0.24489795918367346</v>
      </c>
    </row>
    <row r="18" spans="2:21" x14ac:dyDescent="0.35">
      <c r="B18" s="58"/>
      <c r="C18" s="58"/>
      <c r="D18" s="58"/>
      <c r="E18" s="58"/>
      <c r="F18" s="58"/>
      <c r="G18" s="58"/>
      <c r="H18" s="58"/>
      <c r="I18" s="58"/>
      <c r="J18" s="109"/>
      <c r="K18" s="109"/>
      <c r="L18" s="109"/>
      <c r="M18" s="109"/>
      <c r="N18" s="109"/>
      <c r="O18" s="109"/>
    </row>
    <row r="19" spans="2:21" ht="15.75" customHeight="1" x14ac:dyDescent="0.35"/>
    <row r="21" spans="2:21" ht="30" customHeight="1" x14ac:dyDescent="0.35"/>
    <row r="22" spans="2:21" ht="27" customHeight="1" x14ac:dyDescent="0.35">
      <c r="M22" s="35"/>
      <c r="N22" s="35"/>
      <c r="O22" s="35"/>
      <c r="P22" s="14"/>
      <c r="Q22" s="14"/>
      <c r="R22" s="14"/>
      <c r="S22" s="14"/>
      <c r="T22" s="14"/>
      <c r="U22" s="35"/>
    </row>
    <row r="23" spans="2:21" ht="31.5" customHeight="1" x14ac:dyDescent="0.35">
      <c r="M23" s="35"/>
      <c r="N23" s="35"/>
      <c r="O23" s="35"/>
      <c r="P23" s="14"/>
      <c r="Q23" s="14"/>
      <c r="R23" s="14"/>
      <c r="S23" s="14"/>
      <c r="T23" s="14"/>
      <c r="U23" s="35"/>
    </row>
    <row r="24" spans="2:21" ht="24.65" customHeight="1" x14ac:dyDescent="0.35">
      <c r="M24" s="35"/>
      <c r="N24" s="35"/>
      <c r="O24" s="35"/>
      <c r="P24" s="14"/>
      <c r="Q24" s="14"/>
      <c r="R24" s="14"/>
      <c r="S24" s="14"/>
      <c r="T24" s="14"/>
      <c r="U24" s="35"/>
    </row>
    <row r="25" spans="2:21" x14ac:dyDescent="0.35">
      <c r="M25" s="35"/>
      <c r="N25" s="35"/>
      <c r="O25" s="35"/>
      <c r="P25" s="35"/>
      <c r="Q25" s="35"/>
      <c r="R25" s="35"/>
      <c r="S25" s="35"/>
      <c r="T25" s="35"/>
      <c r="U25" s="35"/>
    </row>
    <row r="26" spans="2:21" x14ac:dyDescent="0.35">
      <c r="M26" s="35"/>
      <c r="N26" s="35"/>
      <c r="O26" s="35"/>
      <c r="P26" s="35"/>
      <c r="Q26" s="35"/>
      <c r="R26" s="35"/>
      <c r="S26" s="35"/>
      <c r="T26" s="35"/>
      <c r="U26" s="35"/>
    </row>
    <row r="27" spans="2:21" x14ac:dyDescent="0.35">
      <c r="M27" s="35"/>
      <c r="N27" s="35"/>
      <c r="O27" s="35"/>
      <c r="P27" s="35"/>
      <c r="Q27" s="35"/>
      <c r="R27" s="35"/>
      <c r="S27" s="35"/>
      <c r="T27" s="35"/>
      <c r="U27" s="35"/>
    </row>
    <row r="28" spans="2:21" x14ac:dyDescent="0.35">
      <c r="M28" s="35"/>
      <c r="N28" s="35"/>
      <c r="O28" s="35"/>
      <c r="P28" s="35"/>
      <c r="Q28" s="35"/>
      <c r="R28" s="35"/>
      <c r="S28" s="35"/>
      <c r="T28" s="35"/>
      <c r="U28" s="35"/>
    </row>
    <row r="29" spans="2:21" x14ac:dyDescent="0.35">
      <c r="M29" s="35"/>
      <c r="N29" s="35"/>
      <c r="O29" s="35"/>
      <c r="P29" s="35"/>
      <c r="Q29" s="35"/>
      <c r="R29" s="35"/>
      <c r="S29" s="35"/>
      <c r="T29" s="35"/>
      <c r="U29" s="35"/>
    </row>
    <row r="30" spans="2:21" x14ac:dyDescent="0.35">
      <c r="M30" s="35"/>
      <c r="N30" s="35"/>
      <c r="O30" s="35"/>
      <c r="P30" s="35"/>
      <c r="Q30" s="35"/>
      <c r="R30" s="35"/>
      <c r="S30" s="35"/>
      <c r="T30" s="35"/>
      <c r="U30" s="35"/>
    </row>
    <row r="31" spans="2:21" x14ac:dyDescent="0.35">
      <c r="M31" s="35"/>
      <c r="N31" s="35"/>
      <c r="O31" s="35"/>
      <c r="P31" s="35"/>
      <c r="Q31" s="35"/>
      <c r="R31" s="35"/>
      <c r="S31" s="35"/>
      <c r="T31" s="35"/>
      <c r="U31" s="35"/>
    </row>
    <row r="32" spans="2:21" x14ac:dyDescent="0.35">
      <c r="M32" s="35"/>
      <c r="N32" s="35"/>
      <c r="O32" s="35"/>
      <c r="P32" s="35"/>
      <c r="Q32" s="35"/>
      <c r="R32" s="35"/>
      <c r="S32" s="35"/>
      <c r="T32" s="35"/>
      <c r="U32" s="35"/>
    </row>
    <row r="33" spans="13:21" x14ac:dyDescent="0.35">
      <c r="M33" s="35"/>
      <c r="N33" s="35"/>
      <c r="O33" s="35"/>
      <c r="P33" s="35"/>
      <c r="Q33" s="35"/>
      <c r="R33" s="35"/>
      <c r="S33" s="35"/>
      <c r="T33" s="35"/>
      <c r="U33" s="35"/>
    </row>
    <row r="34" spans="13:21" x14ac:dyDescent="0.35">
      <c r="M34" s="35"/>
      <c r="N34" s="35"/>
      <c r="O34" s="35"/>
      <c r="P34" s="35"/>
      <c r="Q34" s="35"/>
      <c r="R34" s="35"/>
      <c r="S34" s="35"/>
      <c r="T34" s="35"/>
      <c r="U34" s="35"/>
    </row>
    <row r="35" spans="13:21" x14ac:dyDescent="0.35">
      <c r="M35" s="35"/>
      <c r="N35" s="35"/>
      <c r="O35" s="35"/>
      <c r="P35" s="35"/>
      <c r="Q35" s="35"/>
      <c r="R35" s="35"/>
      <c r="S35" s="35"/>
      <c r="T35" s="35"/>
      <c r="U35" s="35"/>
    </row>
    <row r="36" spans="13:21" x14ac:dyDescent="0.35">
      <c r="M36" s="35"/>
      <c r="N36" s="35"/>
      <c r="O36" s="35"/>
      <c r="P36" s="35"/>
      <c r="Q36" s="35"/>
      <c r="R36" s="35"/>
      <c r="S36" s="35"/>
      <c r="T36" s="35"/>
      <c r="U36" s="35"/>
    </row>
    <row r="37" spans="13:21" x14ac:dyDescent="0.35">
      <c r="M37" s="35"/>
      <c r="N37" s="35"/>
      <c r="O37" s="35"/>
      <c r="P37" s="35"/>
      <c r="Q37" s="35"/>
      <c r="R37" s="35"/>
      <c r="S37" s="35"/>
      <c r="T37" s="35"/>
      <c r="U37" s="35"/>
    </row>
    <row r="38" spans="13:21" x14ac:dyDescent="0.35">
      <c r="M38" s="35"/>
      <c r="N38" s="35"/>
      <c r="O38" s="35"/>
      <c r="P38" s="35"/>
      <c r="Q38" s="35"/>
      <c r="R38" s="35"/>
      <c r="S38" s="35"/>
      <c r="T38" s="35"/>
      <c r="U38" s="35"/>
    </row>
    <row r="39" spans="13:21" x14ac:dyDescent="0.35">
      <c r="M39" s="35"/>
      <c r="N39" s="35"/>
      <c r="O39" s="35"/>
      <c r="P39" s="35"/>
      <c r="Q39" s="35"/>
      <c r="R39" s="35"/>
      <c r="S39" s="35"/>
      <c r="T39" s="35"/>
      <c r="U39" s="35"/>
    </row>
    <row r="40" spans="13:21" x14ac:dyDescent="0.35">
      <c r="M40" s="35"/>
      <c r="N40" s="35"/>
      <c r="O40" s="35"/>
      <c r="P40" s="35"/>
      <c r="Q40" s="35"/>
      <c r="R40" s="35"/>
      <c r="S40" s="35"/>
      <c r="T40" s="35"/>
      <c r="U40" s="35"/>
    </row>
    <row r="41" spans="13:21" x14ac:dyDescent="0.35">
      <c r="M41" s="35"/>
      <c r="N41" s="35"/>
      <c r="O41" s="35"/>
      <c r="P41" s="35"/>
      <c r="Q41" s="35"/>
      <c r="R41" s="35"/>
      <c r="S41" s="35"/>
      <c r="T41" s="35"/>
      <c r="U41" s="35"/>
    </row>
    <row r="42" spans="13:21" x14ac:dyDescent="0.35">
      <c r="M42" s="35"/>
      <c r="N42" s="35"/>
      <c r="O42" s="35"/>
      <c r="P42" s="35"/>
      <c r="Q42" s="35"/>
      <c r="R42" s="35"/>
      <c r="S42" s="35"/>
      <c r="T42" s="35"/>
      <c r="U42" s="35"/>
    </row>
    <row r="43" spans="13:21" x14ac:dyDescent="0.35">
      <c r="M43" s="35"/>
      <c r="N43" s="35"/>
      <c r="O43" s="35"/>
      <c r="P43" s="35"/>
      <c r="Q43" s="35"/>
      <c r="R43" s="35"/>
      <c r="S43" s="35"/>
      <c r="T43" s="35"/>
      <c r="U43" s="35"/>
    </row>
    <row r="44" spans="13:21" x14ac:dyDescent="0.35">
      <c r="M44" s="35"/>
      <c r="N44" s="35"/>
      <c r="O44" s="35"/>
      <c r="P44" s="35"/>
      <c r="Q44" s="35"/>
      <c r="R44" s="35"/>
      <c r="S44" s="35"/>
      <c r="T44" s="35"/>
      <c r="U44" s="35"/>
    </row>
    <row r="45" spans="13:21" x14ac:dyDescent="0.35">
      <c r="M45" s="35"/>
      <c r="N45" s="35"/>
      <c r="O45" s="35"/>
      <c r="P45" s="35"/>
      <c r="Q45" s="35"/>
      <c r="R45" s="35"/>
      <c r="S45" s="35"/>
      <c r="T45" s="35"/>
      <c r="U45" s="35"/>
    </row>
  </sheetData>
  <mergeCells count="7">
    <mergeCell ref="B2:T6"/>
    <mergeCell ref="B1:T1"/>
    <mergeCell ref="B9:C10"/>
    <mergeCell ref="I9:L9"/>
    <mergeCell ref="E9:H9"/>
    <mergeCell ref="M9:P9"/>
    <mergeCell ref="Q9:T9"/>
  </mergeCells>
  <pageMargins left="0.7" right="0.7" top="0.75" bottom="0.75" header="0.3" footer="0.3"/>
  <pageSetup orientation="portrait"/>
  <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AC52"/>
  <sheetViews>
    <sheetView zoomScale="90" zoomScaleNormal="90" workbookViewId="0">
      <selection activeCell="E24" sqref="E24"/>
    </sheetView>
  </sheetViews>
  <sheetFormatPr defaultColWidth="11.453125" defaultRowHeight="14.5" x14ac:dyDescent="0.35"/>
  <cols>
    <col min="1" max="1" width="6" customWidth="1"/>
    <col min="2" max="2" width="29.453125" customWidth="1"/>
    <col min="3" max="7" width="10.453125" customWidth="1"/>
  </cols>
  <sheetData>
    <row r="1" spans="1:29" x14ac:dyDescent="0.35">
      <c r="B1" s="1634" t="s">
        <v>56</v>
      </c>
      <c r="C1" s="1634"/>
      <c r="D1" s="1634"/>
      <c r="E1" s="1634"/>
      <c r="F1" s="1634"/>
      <c r="G1" s="1634"/>
      <c r="H1" s="1634"/>
      <c r="I1" s="1634"/>
      <c r="J1" s="1634"/>
      <c r="K1" s="1634"/>
      <c r="L1" s="1634"/>
      <c r="M1" s="1634"/>
      <c r="N1" s="1634"/>
      <c r="O1" s="1634"/>
      <c r="P1" s="1634"/>
      <c r="Q1" s="1634"/>
      <c r="R1" s="1634"/>
      <c r="S1" s="1634"/>
      <c r="T1" s="1634"/>
      <c r="U1" s="1634"/>
      <c r="V1" s="1634"/>
      <c r="W1" s="1634"/>
      <c r="X1" s="1634"/>
      <c r="Y1" s="1634"/>
      <c r="Z1" s="1634"/>
      <c r="AA1" s="1634"/>
      <c r="AB1" s="1634"/>
      <c r="AC1" s="1634"/>
    </row>
    <row r="2" spans="1:29" ht="14.9" customHeight="1" x14ac:dyDescent="0.35">
      <c r="B2" s="1635" t="s">
        <v>460</v>
      </c>
      <c r="C2" s="1635"/>
      <c r="D2" s="1635"/>
      <c r="E2" s="1635"/>
      <c r="F2" s="1635"/>
      <c r="G2" s="1635"/>
      <c r="H2" s="1635"/>
      <c r="I2" s="1635"/>
      <c r="J2" s="1635"/>
      <c r="K2" s="1635"/>
      <c r="L2" s="1635"/>
      <c r="M2" s="1635"/>
      <c r="N2" s="1635"/>
      <c r="O2" s="1635"/>
      <c r="P2" s="1635"/>
      <c r="Q2" s="1635"/>
      <c r="R2" s="1635"/>
      <c r="S2" s="1635"/>
      <c r="T2" s="1635"/>
      <c r="U2" s="1635"/>
      <c r="V2" s="1635"/>
      <c r="W2" s="1635"/>
      <c r="X2" s="1635"/>
      <c r="Y2" s="1635"/>
      <c r="Z2" s="1635"/>
      <c r="AA2" s="1635"/>
      <c r="AB2" s="1635"/>
      <c r="AC2" s="1635"/>
    </row>
    <row r="3" spans="1:29" x14ac:dyDescent="0.35">
      <c r="B3" s="1635"/>
      <c r="C3" s="1635"/>
      <c r="D3" s="1635"/>
      <c r="E3" s="1635"/>
      <c r="F3" s="1635"/>
      <c r="G3" s="1635"/>
      <c r="H3" s="1635"/>
      <c r="I3" s="1635"/>
      <c r="J3" s="1635"/>
      <c r="K3" s="1635"/>
      <c r="L3" s="1635"/>
      <c r="M3" s="1635"/>
      <c r="N3" s="1635"/>
      <c r="O3" s="1635"/>
      <c r="P3" s="1635"/>
      <c r="Q3" s="1635"/>
      <c r="R3" s="1635"/>
      <c r="S3" s="1635"/>
      <c r="T3" s="1635"/>
      <c r="U3" s="1635"/>
      <c r="V3" s="1635"/>
      <c r="W3" s="1635"/>
      <c r="X3" s="1635"/>
      <c r="Y3" s="1635"/>
      <c r="Z3" s="1635"/>
      <c r="AA3" s="1635"/>
      <c r="AB3" s="1635"/>
      <c r="AC3" s="1635"/>
    </row>
    <row r="4" spans="1:29" x14ac:dyDescent="0.35">
      <c r="B4" s="1635"/>
      <c r="C4" s="1635"/>
      <c r="D4" s="1635"/>
      <c r="E4" s="1635"/>
      <c r="F4" s="1635"/>
      <c r="G4" s="1635"/>
      <c r="H4" s="1635"/>
      <c r="I4" s="1635"/>
      <c r="J4" s="1635"/>
      <c r="K4" s="1635"/>
      <c r="L4" s="1635"/>
      <c r="M4" s="1635"/>
      <c r="N4" s="1635"/>
      <c r="O4" s="1635"/>
      <c r="P4" s="1635"/>
      <c r="Q4" s="1635"/>
      <c r="R4" s="1635"/>
      <c r="S4" s="1635"/>
      <c r="T4" s="1635"/>
      <c r="U4" s="1635"/>
      <c r="V4" s="1635"/>
      <c r="W4" s="1635"/>
      <c r="X4" s="1635"/>
      <c r="Y4" s="1635"/>
      <c r="Z4" s="1635"/>
      <c r="AA4" s="1635"/>
      <c r="AB4" s="1635"/>
      <c r="AC4" s="1635"/>
    </row>
    <row r="5" spans="1:29" x14ac:dyDescent="0.35">
      <c r="B5" s="299"/>
      <c r="C5" s="163"/>
      <c r="D5" s="163"/>
      <c r="E5" s="163"/>
      <c r="F5" s="163"/>
      <c r="G5" s="163"/>
      <c r="H5" s="163"/>
      <c r="I5" s="163"/>
      <c r="J5" s="163"/>
      <c r="K5" s="163"/>
      <c r="L5" s="163"/>
      <c r="M5" s="163"/>
      <c r="N5" s="163"/>
      <c r="O5" s="163"/>
      <c r="P5" s="163"/>
      <c r="Q5" s="163"/>
      <c r="R5" s="163"/>
      <c r="S5" s="163"/>
      <c r="T5" s="163"/>
      <c r="U5" s="163"/>
      <c r="V5" s="163"/>
      <c r="W5" s="163"/>
      <c r="X5" s="163"/>
      <c r="Y5" s="163"/>
    </row>
    <row r="6" spans="1:29" x14ac:dyDescent="0.35">
      <c r="B6" s="1653" t="s">
        <v>405</v>
      </c>
      <c r="C6" s="1654"/>
      <c r="D6" s="1655" t="s">
        <v>280</v>
      </c>
      <c r="E6" s="1656"/>
      <c r="F6" s="1656"/>
      <c r="G6" s="1656"/>
      <c r="H6" s="1656"/>
      <c r="I6" s="1656"/>
      <c r="J6" s="1656"/>
      <c r="K6" s="1656"/>
      <c r="L6" s="1656"/>
      <c r="M6" s="1656"/>
      <c r="N6" s="1656"/>
      <c r="O6" s="1656"/>
      <c r="P6" s="1656"/>
      <c r="Q6" s="1683"/>
      <c r="R6" s="1683"/>
      <c r="S6" s="1683"/>
      <c r="T6" s="1654"/>
      <c r="U6" s="1659" t="s">
        <v>281</v>
      </c>
      <c r="V6" s="1659"/>
      <c r="W6" s="1659"/>
      <c r="X6" s="1659"/>
      <c r="Y6" s="1659"/>
      <c r="Z6" s="1659"/>
      <c r="AA6" s="1659"/>
      <c r="AB6" s="1659"/>
      <c r="AC6" s="1660"/>
    </row>
    <row r="7" spans="1:29" x14ac:dyDescent="0.35">
      <c r="B7" s="1641"/>
      <c r="C7" s="1642"/>
      <c r="D7" s="127">
        <v>2018</v>
      </c>
      <c r="E7" s="1624">
        <v>2019</v>
      </c>
      <c r="F7" s="1646"/>
      <c r="G7" s="1646"/>
      <c r="H7" s="1661"/>
      <c r="I7" s="1624">
        <v>2020</v>
      </c>
      <c r="J7" s="1646"/>
      <c r="K7" s="1646"/>
      <c r="L7" s="1646"/>
      <c r="M7" s="1624">
        <v>2021</v>
      </c>
      <c r="N7" s="1646"/>
      <c r="O7" s="1646"/>
      <c r="P7" s="1646"/>
      <c r="Q7" s="1624">
        <v>2022</v>
      </c>
      <c r="R7" s="1625"/>
      <c r="S7" s="1625"/>
      <c r="T7" s="1661"/>
      <c r="U7" s="1664">
        <v>2023</v>
      </c>
      <c r="V7" s="1631"/>
      <c r="W7" s="1631"/>
      <c r="X7" s="1631"/>
      <c r="Y7" s="1652">
        <v>2024</v>
      </c>
      <c r="Z7" s="1631"/>
      <c r="AA7" s="1631"/>
      <c r="AB7" s="1665"/>
      <c r="AC7" s="178">
        <v>2025</v>
      </c>
    </row>
    <row r="8" spans="1:29" x14ac:dyDescent="0.35">
      <c r="B8" s="1643"/>
      <c r="C8" s="1644"/>
      <c r="D8" s="118" t="s">
        <v>282</v>
      </c>
      <c r="E8" s="118" t="s">
        <v>283</v>
      </c>
      <c r="F8" s="132" t="s">
        <v>284</v>
      </c>
      <c r="G8" s="132" t="s">
        <v>238</v>
      </c>
      <c r="H8" s="115" t="s">
        <v>282</v>
      </c>
      <c r="I8" s="132" t="s">
        <v>283</v>
      </c>
      <c r="J8" s="132" t="s">
        <v>284</v>
      </c>
      <c r="K8" s="132" t="s">
        <v>238</v>
      </c>
      <c r="L8" s="132" t="s">
        <v>282</v>
      </c>
      <c r="M8" s="118" t="s">
        <v>283</v>
      </c>
      <c r="N8" s="132" t="s">
        <v>284</v>
      </c>
      <c r="O8" s="132" t="s">
        <v>238</v>
      </c>
      <c r="P8" s="132" t="s">
        <v>282</v>
      </c>
      <c r="Q8" s="118" t="s">
        <v>283</v>
      </c>
      <c r="R8" s="132" t="s">
        <v>284</v>
      </c>
      <c r="S8" s="132" t="s">
        <v>238</v>
      </c>
      <c r="T8" s="115" t="s">
        <v>282</v>
      </c>
      <c r="U8" s="243" t="s">
        <v>283</v>
      </c>
      <c r="V8" s="243" t="s">
        <v>284</v>
      </c>
      <c r="W8" s="243" t="s">
        <v>238</v>
      </c>
      <c r="X8" s="243" t="s">
        <v>282</v>
      </c>
      <c r="Y8" s="301" t="s">
        <v>283</v>
      </c>
      <c r="Z8" s="226" t="s">
        <v>284</v>
      </c>
      <c r="AA8" s="243" t="s">
        <v>238</v>
      </c>
      <c r="AB8" s="241" t="s">
        <v>282</v>
      </c>
      <c r="AC8" s="324" t="s">
        <v>283</v>
      </c>
    </row>
    <row r="9" spans="1:29" x14ac:dyDescent="0.35">
      <c r="B9" s="500" t="s">
        <v>56</v>
      </c>
      <c r="C9" s="400" t="s">
        <v>461</v>
      </c>
      <c r="D9" s="500"/>
      <c r="E9" s="576"/>
      <c r="F9" s="576"/>
      <c r="G9" s="576"/>
      <c r="H9" s="576"/>
      <c r="I9" s="576"/>
      <c r="J9" s="172">
        <f>'Haver Pivoted'!GU45</f>
        <v>1078.0999999999999</v>
      </c>
      <c r="K9" s="172">
        <f>'Haver Pivoted'!GV45</f>
        <v>15.6</v>
      </c>
      <c r="L9" s="172">
        <f>'Haver Pivoted'!GW45</f>
        <v>5</v>
      </c>
      <c r="M9" s="172">
        <f>'Haver Pivoted'!GX45</f>
        <v>1933.7</v>
      </c>
      <c r="N9" s="172">
        <f>'Haver Pivoted'!GY45</f>
        <v>290.10000000000002</v>
      </c>
      <c r="O9" s="172">
        <f>'Haver Pivoted'!GZ45</f>
        <v>38.9</v>
      </c>
      <c r="P9" s="172">
        <f>'Haver Pivoted'!HA45</f>
        <v>14.2</v>
      </c>
      <c r="Q9" s="172">
        <f>'Haver Pivoted'!HB45</f>
        <v>0</v>
      </c>
      <c r="R9" s="172">
        <f>'Haver Pivoted'!HC45</f>
        <v>0</v>
      </c>
      <c r="S9" s="128">
        <f>'Haver Pivoted'!HD45</f>
        <v>0</v>
      </c>
      <c r="T9" s="146">
        <f>'Haver Pivoted'!HE45</f>
        <v>0</v>
      </c>
      <c r="U9" s="151"/>
      <c r="V9" s="151"/>
      <c r="W9" s="151"/>
      <c r="X9" s="151"/>
      <c r="Y9" s="151"/>
      <c r="Z9" s="151"/>
      <c r="AA9" s="151"/>
      <c r="AB9" s="151"/>
      <c r="AC9" s="152"/>
    </row>
    <row r="10" spans="1:29" x14ac:dyDescent="0.35">
      <c r="B10" s="501" t="s">
        <v>214</v>
      </c>
      <c r="C10" s="177"/>
      <c r="D10" s="501"/>
      <c r="E10" s="177"/>
      <c r="F10" s="177"/>
      <c r="G10" s="177"/>
      <c r="H10" s="177"/>
      <c r="I10" s="177"/>
      <c r="J10" s="561"/>
      <c r="K10" s="561"/>
      <c r="L10" s="561"/>
      <c r="M10" s="561">
        <f t="shared" ref="M10:T10" si="0">M9-M11</f>
        <v>1348.1</v>
      </c>
      <c r="N10" s="561">
        <f t="shared" si="0"/>
        <v>290.10000000000002</v>
      </c>
      <c r="O10" s="561">
        <f t="shared" si="0"/>
        <v>38.9</v>
      </c>
      <c r="P10" s="561">
        <f t="shared" si="0"/>
        <v>14.2</v>
      </c>
      <c r="Q10" s="561">
        <f t="shared" si="0"/>
        <v>0</v>
      </c>
      <c r="R10" s="561">
        <f t="shared" si="0"/>
        <v>0</v>
      </c>
      <c r="S10" s="832">
        <f t="shared" si="0"/>
        <v>0</v>
      </c>
      <c r="T10" s="833">
        <f t="shared" si="0"/>
        <v>0</v>
      </c>
      <c r="U10" s="589"/>
      <c r="V10" s="589"/>
      <c r="W10" s="589"/>
      <c r="X10" s="589"/>
      <c r="Y10" s="589"/>
      <c r="Z10" s="589"/>
      <c r="AA10" s="589"/>
      <c r="AB10" s="589"/>
      <c r="AC10" s="590"/>
    </row>
    <row r="11" spans="1:29" x14ac:dyDescent="0.35">
      <c r="B11" s="450" t="s">
        <v>462</v>
      </c>
      <c r="C11" s="451"/>
      <c r="D11" s="450"/>
      <c r="E11" s="451"/>
      <c r="F11" s="451"/>
      <c r="G11" s="451"/>
      <c r="H11" s="451"/>
      <c r="I11" s="451"/>
      <c r="J11" s="562">
        <f t="shared" ref="J11:L11" si="1">J9-J10</f>
        <v>1078.0999999999999</v>
      </c>
      <c r="K11" s="562">
        <f t="shared" si="1"/>
        <v>15.6</v>
      </c>
      <c r="L11" s="562">
        <f t="shared" si="1"/>
        <v>5</v>
      </c>
      <c r="M11" s="562">
        <f>SUM(C17:D17)/12*4</f>
        <v>585.6</v>
      </c>
      <c r="N11" s="562">
        <v>0</v>
      </c>
      <c r="O11" s="562">
        <v>0</v>
      </c>
      <c r="P11" s="562">
        <v>0</v>
      </c>
      <c r="Q11" s="562">
        <v>0</v>
      </c>
      <c r="R11" s="562">
        <v>0</v>
      </c>
      <c r="S11" s="562">
        <v>0</v>
      </c>
      <c r="T11" s="834"/>
      <c r="U11" s="836"/>
      <c r="V11" s="836"/>
      <c r="W11" s="836"/>
      <c r="X11" s="836"/>
      <c r="Y11" s="836"/>
      <c r="Z11" s="836"/>
      <c r="AA11" s="836"/>
      <c r="AB11" s="836"/>
      <c r="AC11" s="837"/>
    </row>
    <row r="12" spans="1:29" x14ac:dyDescent="0.35">
      <c r="B12" s="163"/>
      <c r="C12" s="163"/>
      <c r="D12" s="163"/>
      <c r="E12" s="163"/>
      <c r="F12" s="163"/>
      <c r="G12" s="163"/>
      <c r="H12" s="163"/>
      <c r="I12" s="163"/>
      <c r="J12" s="163"/>
      <c r="K12" s="163"/>
      <c r="L12" s="163"/>
      <c r="M12" s="163"/>
      <c r="N12" s="163"/>
      <c r="O12" s="163"/>
      <c r="P12" s="163"/>
      <c r="Q12" s="163"/>
      <c r="R12" s="163"/>
      <c r="S12" s="163"/>
      <c r="T12" s="163"/>
      <c r="U12" s="163"/>
      <c r="V12" s="163"/>
      <c r="W12" s="163"/>
      <c r="X12" s="163"/>
      <c r="Y12" s="163"/>
      <c r="Z12" s="35"/>
      <c r="AA12" s="35"/>
      <c r="AB12" s="35"/>
      <c r="AC12" s="35"/>
    </row>
    <row r="13" spans="1:29" x14ac:dyDescent="0.35">
      <c r="A13" s="74"/>
      <c r="B13" s="74"/>
      <c r="C13" s="74"/>
      <c r="D13" s="74"/>
      <c r="E13" s="74"/>
      <c r="F13" s="74"/>
      <c r="G13" s="74"/>
      <c r="H13" s="74"/>
      <c r="I13" s="74"/>
      <c r="J13" s="74"/>
      <c r="K13" s="74"/>
      <c r="L13" s="91"/>
      <c r="M13" s="91"/>
      <c r="N13" s="91"/>
    </row>
    <row r="14" spans="1:29" x14ac:dyDescent="0.35">
      <c r="A14" s="74"/>
      <c r="N14" s="35"/>
    </row>
    <row r="15" spans="1:29" x14ac:dyDescent="0.35">
      <c r="A15" s="109"/>
      <c r="B15" s="1773" t="s">
        <v>463</v>
      </c>
      <c r="C15" s="1763">
        <v>2021</v>
      </c>
      <c r="D15" s="1764"/>
      <c r="E15" s="1764"/>
      <c r="F15" s="1764"/>
      <c r="G15" s="47"/>
      <c r="K15" s="1775"/>
      <c r="L15" s="1775"/>
      <c r="M15" s="35"/>
      <c r="N15" s="35"/>
    </row>
    <row r="16" spans="1:29" x14ac:dyDescent="0.35">
      <c r="B16" s="1774"/>
      <c r="C16" s="839" t="s">
        <v>234</v>
      </c>
      <c r="D16" s="831" t="s">
        <v>235</v>
      </c>
      <c r="E16" s="831" t="s">
        <v>236</v>
      </c>
      <c r="F16" s="831" t="s">
        <v>237</v>
      </c>
      <c r="G16" s="835"/>
      <c r="H16" s="109"/>
      <c r="I16" s="109"/>
      <c r="J16" s="109"/>
      <c r="K16" s="109"/>
      <c r="L16" s="109"/>
      <c r="M16" s="109"/>
      <c r="N16" s="109"/>
    </row>
    <row r="17" spans="2:29" ht="16.399999999999999" customHeight="1" x14ac:dyDescent="0.35">
      <c r="B17" s="838" t="s">
        <v>464</v>
      </c>
      <c r="C17" s="840">
        <v>1660.9</v>
      </c>
      <c r="D17" s="840">
        <v>95.9</v>
      </c>
      <c r="E17" s="840">
        <v>4044.2</v>
      </c>
      <c r="F17" s="841">
        <v>688</v>
      </c>
      <c r="G17" s="87"/>
      <c r="H17" s="87"/>
      <c r="I17" s="87"/>
      <c r="J17" s="87"/>
      <c r="K17" s="87"/>
      <c r="L17" s="87"/>
      <c r="M17" s="163"/>
      <c r="N17" s="163"/>
    </row>
    <row r="18" spans="2:29" x14ac:dyDescent="0.35">
      <c r="B18" s="791" t="s">
        <v>465</v>
      </c>
      <c r="C18" s="163"/>
      <c r="D18" s="163"/>
      <c r="E18" s="163"/>
      <c r="F18" s="163"/>
      <c r="G18" s="163"/>
      <c r="H18" s="163"/>
      <c r="I18" s="163"/>
      <c r="J18" s="163"/>
      <c r="K18" s="163"/>
      <c r="L18" s="163"/>
      <c r="M18" s="163"/>
      <c r="N18" s="163"/>
    </row>
    <row r="19" spans="2:29" x14ac:dyDescent="0.35">
      <c r="B19" s="163"/>
      <c r="C19" s="163"/>
      <c r="D19" s="163"/>
      <c r="E19" s="163"/>
      <c r="F19" s="163"/>
      <c r="G19" s="163"/>
      <c r="H19" s="163"/>
      <c r="I19" s="163"/>
      <c r="J19" s="163"/>
      <c r="K19" s="163"/>
      <c r="L19" s="163"/>
      <c r="M19" s="163"/>
      <c r="N19" s="163"/>
    </row>
    <row r="20" spans="2:29" x14ac:dyDescent="0.35">
      <c r="B20" s="791"/>
      <c r="C20" s="163"/>
      <c r="D20" s="163"/>
      <c r="E20" s="163"/>
      <c r="F20" s="163"/>
      <c r="G20" s="163"/>
      <c r="H20" s="163"/>
      <c r="I20" s="163"/>
      <c r="J20" s="163"/>
      <c r="K20" s="163"/>
      <c r="L20" s="163"/>
      <c r="M20" s="163"/>
      <c r="N20" s="163"/>
    </row>
    <row r="21" spans="2:29" x14ac:dyDescent="0.35">
      <c r="B21" s="163"/>
      <c r="C21" s="163"/>
      <c r="D21" s="163"/>
      <c r="E21" s="163"/>
      <c r="F21" s="163"/>
      <c r="G21" s="163"/>
      <c r="H21" s="163"/>
      <c r="I21" s="163"/>
      <c r="J21" s="163"/>
      <c r="K21" s="163"/>
      <c r="L21" s="163"/>
      <c r="M21" s="163"/>
      <c r="N21" s="163"/>
      <c r="O21" s="163"/>
      <c r="P21" s="163"/>
      <c r="Q21" s="163"/>
      <c r="R21" s="163"/>
      <c r="S21" s="163"/>
      <c r="T21" s="163"/>
      <c r="U21" s="163"/>
      <c r="V21" s="163"/>
      <c r="W21" s="163"/>
      <c r="X21" s="163"/>
      <c r="Y21" s="163"/>
      <c r="Z21" s="35"/>
      <c r="AA21" s="35"/>
      <c r="AB21" s="35"/>
      <c r="AC21" s="35"/>
    </row>
    <row r="22" spans="2:29" x14ac:dyDescent="0.35">
      <c r="B22" s="74"/>
      <c r="C22" s="74"/>
      <c r="D22" s="74"/>
      <c r="E22" s="74"/>
      <c r="F22" s="74"/>
      <c r="G22" s="74"/>
      <c r="H22" s="74"/>
      <c r="I22" s="74"/>
      <c r="J22" s="74"/>
      <c r="K22" s="74"/>
      <c r="L22" s="91"/>
      <c r="M22" s="91"/>
      <c r="N22" s="91"/>
    </row>
    <row r="23" spans="2:29" x14ac:dyDescent="0.35">
      <c r="B23" s="163"/>
      <c r="C23" s="163"/>
      <c r="D23" s="163"/>
      <c r="E23" s="163"/>
      <c r="F23" s="163"/>
      <c r="G23" s="163"/>
      <c r="H23" s="163"/>
      <c r="I23" s="163"/>
      <c r="J23" s="163"/>
      <c r="K23" s="163"/>
      <c r="L23" s="163"/>
      <c r="M23" s="163"/>
      <c r="N23" s="163"/>
      <c r="O23" s="163"/>
      <c r="P23" s="163"/>
      <c r="Q23" s="163"/>
      <c r="R23" s="163"/>
      <c r="S23" s="163"/>
      <c r="T23" s="163"/>
      <c r="U23" s="163"/>
      <c r="V23" s="163"/>
      <c r="W23" s="163"/>
      <c r="X23" s="163"/>
      <c r="Y23" s="163"/>
    </row>
    <row r="24" spans="2:29" x14ac:dyDescent="0.35">
      <c r="B24" s="163"/>
      <c r="C24" s="163"/>
      <c r="D24" s="163"/>
      <c r="E24" s="163"/>
      <c r="F24" s="163"/>
      <c r="G24" s="163"/>
      <c r="H24" s="163"/>
      <c r="I24" s="163"/>
      <c r="J24" s="163"/>
      <c r="K24" s="163"/>
      <c r="L24" s="163"/>
      <c r="M24" s="163"/>
      <c r="N24" s="163"/>
      <c r="O24" s="163"/>
      <c r="P24" s="163"/>
      <c r="Q24" s="163"/>
      <c r="R24" s="163"/>
      <c r="S24" s="163"/>
      <c r="T24" s="163"/>
      <c r="U24" s="163"/>
      <c r="V24" s="163"/>
      <c r="W24" s="163"/>
      <c r="X24" s="163"/>
      <c r="Y24" s="163"/>
    </row>
    <row r="25" spans="2:29" x14ac:dyDescent="0.35">
      <c r="B25" s="163"/>
      <c r="C25" s="163"/>
      <c r="D25" s="163"/>
      <c r="E25" s="163"/>
      <c r="F25" s="163"/>
      <c r="G25" s="163"/>
      <c r="H25" s="163"/>
      <c r="I25" s="163"/>
      <c r="J25" s="163"/>
      <c r="K25" s="163"/>
      <c r="L25" s="163"/>
      <c r="M25" s="163"/>
      <c r="N25" s="163"/>
      <c r="O25" s="163"/>
      <c r="P25" s="163"/>
      <c r="Q25" s="163"/>
      <c r="R25" s="163"/>
      <c r="S25" s="163"/>
      <c r="T25" s="163"/>
      <c r="U25" s="163"/>
      <c r="V25" s="163"/>
      <c r="W25" s="163"/>
      <c r="X25" s="163"/>
      <c r="Y25" s="163"/>
    </row>
    <row r="26" spans="2:29" x14ac:dyDescent="0.35">
      <c r="B26" s="163"/>
      <c r="C26" s="163"/>
      <c r="D26" s="163"/>
      <c r="E26" s="163"/>
      <c r="F26" s="163"/>
      <c r="G26" s="163"/>
      <c r="H26" s="163"/>
      <c r="I26" s="163"/>
      <c r="J26" s="163"/>
      <c r="K26" s="163"/>
      <c r="L26" s="163"/>
      <c r="M26" s="163"/>
      <c r="N26" s="163"/>
      <c r="O26" s="163"/>
      <c r="P26" s="163"/>
      <c r="Q26" s="163"/>
      <c r="R26" s="163"/>
      <c r="S26" s="163"/>
      <c r="T26" s="163"/>
      <c r="U26" s="163"/>
      <c r="V26" s="163"/>
      <c r="W26" s="163"/>
      <c r="X26" s="163"/>
      <c r="Y26" s="163"/>
    </row>
    <row r="27" spans="2:29" x14ac:dyDescent="0.35">
      <c r="B27" s="163"/>
      <c r="C27" s="163"/>
      <c r="D27" s="163"/>
      <c r="E27" s="163"/>
      <c r="F27" s="163"/>
      <c r="G27" s="163"/>
      <c r="H27" s="163"/>
      <c r="I27" s="163"/>
      <c r="J27" s="163"/>
      <c r="K27" s="163"/>
      <c r="L27" s="163"/>
      <c r="M27" s="163"/>
      <c r="N27" s="163"/>
      <c r="O27" s="163"/>
      <c r="P27" s="163"/>
      <c r="Q27" s="163"/>
      <c r="R27" s="163"/>
      <c r="S27" s="163"/>
      <c r="T27" s="163"/>
      <c r="U27" s="163"/>
      <c r="V27" s="163"/>
      <c r="W27" s="163"/>
      <c r="X27" s="163"/>
      <c r="Y27" s="163"/>
    </row>
    <row r="28" spans="2:29" x14ac:dyDescent="0.35">
      <c r="B28" s="163"/>
      <c r="C28" s="163"/>
      <c r="D28" s="163"/>
      <c r="E28" s="163"/>
      <c r="F28" s="163"/>
      <c r="G28" s="163"/>
      <c r="H28" s="163"/>
      <c r="I28" s="163"/>
      <c r="J28" s="163"/>
      <c r="K28" s="163"/>
      <c r="L28" s="163"/>
      <c r="M28" s="163"/>
      <c r="N28" s="163"/>
      <c r="O28" s="163"/>
      <c r="P28" s="163"/>
      <c r="Q28" s="163"/>
      <c r="R28" s="163"/>
      <c r="S28" s="163"/>
      <c r="T28" s="163"/>
      <c r="U28" s="163"/>
      <c r="V28" s="163"/>
      <c r="W28" s="163"/>
      <c r="X28" s="163"/>
      <c r="Y28" s="163"/>
    </row>
    <row r="29" spans="2:29" x14ac:dyDescent="0.35">
      <c r="B29" s="163"/>
      <c r="C29" s="163"/>
      <c r="D29" s="163"/>
      <c r="E29" s="163"/>
      <c r="F29" s="163"/>
      <c r="G29" s="163"/>
      <c r="H29" s="163"/>
      <c r="I29" s="163"/>
      <c r="J29" s="163"/>
      <c r="K29" s="163"/>
      <c r="L29" s="163"/>
      <c r="M29" s="163"/>
      <c r="N29" s="163"/>
      <c r="O29" s="163"/>
      <c r="P29" s="163"/>
      <c r="Q29" s="163"/>
      <c r="R29" s="163"/>
      <c r="S29" s="163"/>
      <c r="T29" s="163"/>
      <c r="U29" s="163"/>
      <c r="V29" s="163"/>
      <c r="W29" s="163"/>
      <c r="X29" s="163"/>
      <c r="Y29" s="163"/>
    </row>
    <row r="30" spans="2:29" x14ac:dyDescent="0.35">
      <c r="B30" s="163"/>
      <c r="C30" s="163"/>
      <c r="D30" s="163"/>
      <c r="E30" s="163"/>
      <c r="F30" s="163"/>
      <c r="G30" s="163"/>
      <c r="H30" s="163"/>
      <c r="I30" s="163"/>
      <c r="J30" s="163"/>
      <c r="K30" s="163"/>
      <c r="L30" s="163"/>
      <c r="M30" s="163"/>
      <c r="N30" s="163"/>
      <c r="O30" s="163"/>
      <c r="P30" s="163"/>
      <c r="Q30" s="163"/>
      <c r="R30" s="163"/>
      <c r="S30" s="163"/>
      <c r="T30" s="163"/>
      <c r="U30" s="163"/>
      <c r="V30" s="163"/>
      <c r="W30" s="163"/>
      <c r="X30" s="163"/>
      <c r="Y30" s="163"/>
    </row>
    <row r="31" spans="2:29" x14ac:dyDescent="0.35">
      <c r="B31" s="163"/>
      <c r="C31" s="163"/>
      <c r="D31" s="163"/>
      <c r="E31" s="163"/>
      <c r="F31" s="163"/>
      <c r="G31" s="163"/>
      <c r="H31" s="163"/>
      <c r="I31" s="163"/>
      <c r="J31" s="163"/>
      <c r="K31" s="163"/>
      <c r="L31" s="163"/>
      <c r="M31" s="163"/>
      <c r="N31" s="163"/>
      <c r="O31" s="163"/>
      <c r="P31" s="163"/>
      <c r="Q31" s="163"/>
      <c r="R31" s="163"/>
      <c r="S31" s="163"/>
      <c r="T31" s="163"/>
      <c r="U31" s="163"/>
      <c r="V31" s="163"/>
      <c r="W31" s="163"/>
      <c r="X31" s="163"/>
      <c r="Y31" s="163"/>
    </row>
    <row r="32" spans="2:29" x14ac:dyDescent="0.35">
      <c r="B32" s="163"/>
      <c r="C32" s="163"/>
      <c r="D32" s="163"/>
      <c r="E32" s="163"/>
      <c r="F32" s="163"/>
      <c r="G32" s="163"/>
      <c r="H32" s="163"/>
      <c r="I32" s="163"/>
      <c r="J32" s="163"/>
      <c r="K32" s="163"/>
      <c r="L32" s="163"/>
      <c r="M32" s="163"/>
      <c r="N32" s="163"/>
      <c r="O32" s="163"/>
      <c r="P32" s="163"/>
      <c r="Q32" s="163"/>
      <c r="R32" s="163"/>
      <c r="S32" s="163"/>
      <c r="T32" s="163"/>
      <c r="U32" s="163"/>
      <c r="V32" s="163"/>
      <c r="W32" s="163"/>
      <c r="X32" s="163"/>
      <c r="Y32" s="163"/>
    </row>
    <row r="33" spans="2:25" x14ac:dyDescent="0.35">
      <c r="B33" s="163"/>
      <c r="C33" s="163"/>
      <c r="D33" s="163"/>
      <c r="E33" s="163"/>
      <c r="F33" s="163"/>
      <c r="G33" s="163"/>
      <c r="H33" s="163"/>
      <c r="I33" s="163"/>
      <c r="J33" s="163"/>
      <c r="K33" s="163"/>
      <c r="L33" s="163"/>
      <c r="M33" s="163"/>
      <c r="N33" s="163"/>
      <c r="O33" s="163"/>
      <c r="P33" s="163"/>
      <c r="Q33" s="163"/>
      <c r="R33" s="163"/>
      <c r="S33" s="163"/>
      <c r="T33" s="163"/>
      <c r="U33" s="163"/>
      <c r="V33" s="163"/>
      <c r="W33" s="163"/>
      <c r="X33" s="163"/>
      <c r="Y33" s="163"/>
    </row>
    <row r="34" spans="2:25" x14ac:dyDescent="0.35">
      <c r="B34" s="163"/>
      <c r="C34" s="163"/>
      <c r="D34" s="163"/>
      <c r="E34" s="163"/>
      <c r="F34" s="163"/>
      <c r="G34" s="163"/>
      <c r="H34" s="163"/>
      <c r="I34" s="163"/>
      <c r="J34" s="163"/>
      <c r="K34" s="163"/>
      <c r="L34" s="163"/>
      <c r="M34" s="163"/>
      <c r="N34" s="163"/>
      <c r="O34" s="163"/>
      <c r="P34" s="163"/>
      <c r="Q34" s="163"/>
      <c r="R34" s="163"/>
      <c r="S34" s="163"/>
      <c r="T34" s="163"/>
      <c r="U34" s="163"/>
      <c r="V34" s="163"/>
      <c r="W34" s="163"/>
      <c r="X34" s="163"/>
      <c r="Y34" s="163"/>
    </row>
    <row r="35" spans="2:25" x14ac:dyDescent="0.35">
      <c r="B35" s="163"/>
      <c r="C35" s="163"/>
      <c r="D35" s="163"/>
      <c r="E35" s="163"/>
      <c r="F35" s="163"/>
      <c r="G35" s="163"/>
      <c r="H35" s="163"/>
      <c r="I35" s="163"/>
      <c r="J35" s="163"/>
      <c r="K35" s="163"/>
      <c r="L35" s="163"/>
      <c r="M35" s="163"/>
      <c r="N35" s="163"/>
      <c r="O35" s="163"/>
      <c r="P35" s="163"/>
      <c r="Q35" s="163"/>
      <c r="R35" s="163"/>
      <c r="S35" s="163"/>
      <c r="T35" s="163"/>
      <c r="U35" s="163"/>
      <c r="V35" s="163"/>
      <c r="W35" s="163"/>
      <c r="X35" s="163"/>
      <c r="Y35" s="163"/>
    </row>
    <row r="36" spans="2:25" x14ac:dyDescent="0.35">
      <c r="B36" s="163"/>
      <c r="C36" s="163"/>
      <c r="D36" s="163"/>
      <c r="E36" s="163"/>
      <c r="F36" s="163"/>
      <c r="G36" s="163"/>
      <c r="H36" s="163"/>
      <c r="I36" s="163"/>
      <c r="J36" s="163"/>
      <c r="K36" s="163"/>
      <c r="L36" s="163"/>
      <c r="M36" s="163"/>
      <c r="N36" s="163"/>
      <c r="O36" s="163"/>
      <c r="P36" s="163"/>
      <c r="Q36" s="163"/>
      <c r="R36" s="163"/>
      <c r="S36" s="163"/>
      <c r="T36" s="163"/>
      <c r="U36" s="163"/>
      <c r="V36" s="163"/>
      <c r="W36" s="163"/>
      <c r="X36" s="163"/>
      <c r="Y36" s="163"/>
    </row>
    <row r="37" spans="2:25" x14ac:dyDescent="0.35">
      <c r="B37" s="163"/>
      <c r="C37" s="163"/>
      <c r="D37" s="163"/>
      <c r="E37" s="163"/>
      <c r="F37" s="163"/>
      <c r="G37" s="163"/>
      <c r="H37" s="163"/>
      <c r="I37" s="163"/>
      <c r="J37" s="163"/>
      <c r="K37" s="163"/>
      <c r="L37" s="163"/>
      <c r="M37" s="163"/>
      <c r="N37" s="163"/>
      <c r="O37" s="163"/>
      <c r="P37" s="163"/>
      <c r="Q37" s="163"/>
      <c r="R37" s="163"/>
      <c r="S37" s="163"/>
      <c r="T37" s="163"/>
      <c r="U37" s="163"/>
      <c r="V37" s="163"/>
      <c r="W37" s="163"/>
      <c r="X37" s="163"/>
      <c r="Y37" s="163"/>
    </row>
    <row r="38" spans="2:25" x14ac:dyDescent="0.35">
      <c r="B38" s="163"/>
      <c r="C38" s="163"/>
      <c r="D38" s="163"/>
      <c r="E38" s="163"/>
      <c r="F38" s="163"/>
      <c r="G38" s="163"/>
      <c r="H38" s="163"/>
      <c r="I38" s="163"/>
      <c r="J38" s="163"/>
      <c r="K38" s="163"/>
      <c r="L38" s="163"/>
      <c r="M38" s="163"/>
      <c r="N38" s="163"/>
      <c r="O38" s="163"/>
      <c r="P38" s="163"/>
      <c r="Q38" s="163"/>
      <c r="R38" s="163"/>
      <c r="S38" s="163"/>
      <c r="T38" s="163"/>
      <c r="U38" s="163"/>
      <c r="V38" s="163"/>
      <c r="W38" s="163"/>
      <c r="X38" s="163"/>
      <c r="Y38" s="163"/>
    </row>
    <row r="39" spans="2:25" x14ac:dyDescent="0.35">
      <c r="B39" s="163"/>
      <c r="C39" s="163"/>
      <c r="D39" s="163"/>
      <c r="E39" s="163"/>
      <c r="F39" s="163"/>
      <c r="G39" s="163"/>
      <c r="H39" s="163"/>
      <c r="I39" s="163"/>
      <c r="J39" s="163"/>
      <c r="K39" s="163"/>
      <c r="L39" s="163"/>
      <c r="M39" s="163"/>
      <c r="N39" s="163"/>
      <c r="O39" s="163"/>
      <c r="P39" s="163"/>
      <c r="Q39" s="163"/>
      <c r="R39" s="163"/>
      <c r="S39" s="163"/>
      <c r="T39" s="163"/>
      <c r="U39" s="163"/>
      <c r="V39" s="163"/>
      <c r="W39" s="163"/>
      <c r="X39" s="163"/>
      <c r="Y39" s="163"/>
    </row>
    <row r="40" spans="2:25" x14ac:dyDescent="0.35">
      <c r="B40" s="163"/>
      <c r="C40" s="163"/>
      <c r="D40" s="163"/>
      <c r="E40" s="163"/>
      <c r="F40" s="163"/>
      <c r="G40" s="163"/>
      <c r="H40" s="163"/>
      <c r="I40" s="163"/>
      <c r="J40" s="163"/>
      <c r="K40" s="163"/>
      <c r="L40" s="163"/>
      <c r="M40" s="163"/>
      <c r="N40" s="163"/>
      <c r="O40" s="163"/>
      <c r="P40" s="163"/>
      <c r="Q40" s="163"/>
      <c r="R40" s="163"/>
      <c r="S40" s="163"/>
      <c r="T40" s="163"/>
      <c r="U40" s="163"/>
      <c r="V40" s="163"/>
      <c r="W40" s="163"/>
      <c r="X40" s="163"/>
      <c r="Y40" s="163"/>
    </row>
    <row r="41" spans="2:25" x14ac:dyDescent="0.35">
      <c r="B41" s="163"/>
      <c r="C41" s="163"/>
      <c r="D41" s="163"/>
      <c r="E41" s="163"/>
      <c r="F41" s="163"/>
      <c r="G41" s="163"/>
      <c r="H41" s="163"/>
      <c r="I41" s="163"/>
      <c r="J41" s="163"/>
      <c r="K41" s="163"/>
      <c r="L41" s="163"/>
      <c r="M41" s="163"/>
      <c r="N41" s="163"/>
      <c r="O41" s="163"/>
      <c r="P41" s="163"/>
      <c r="Q41" s="163"/>
      <c r="R41" s="163"/>
      <c r="S41" s="163"/>
      <c r="T41" s="163"/>
      <c r="U41" s="163"/>
      <c r="V41" s="163"/>
      <c r="W41" s="163"/>
      <c r="X41" s="163"/>
      <c r="Y41" s="163"/>
    </row>
    <row r="42" spans="2:25" x14ac:dyDescent="0.35">
      <c r="B42" s="163"/>
      <c r="C42" s="163"/>
      <c r="D42" s="163"/>
      <c r="E42" s="163"/>
      <c r="F42" s="163"/>
      <c r="G42" s="163"/>
      <c r="H42" s="163"/>
      <c r="I42" s="163"/>
      <c r="J42" s="163"/>
      <c r="K42" s="163"/>
      <c r="L42" s="163"/>
      <c r="M42" s="163"/>
      <c r="N42" s="163"/>
      <c r="O42" s="163"/>
      <c r="P42" s="163"/>
      <c r="Q42" s="163"/>
      <c r="R42" s="163"/>
      <c r="S42" s="163"/>
      <c r="T42" s="163"/>
      <c r="U42" s="163"/>
      <c r="V42" s="163"/>
      <c r="W42" s="163"/>
      <c r="X42" s="163"/>
      <c r="Y42" s="163"/>
    </row>
    <row r="43" spans="2:25" x14ac:dyDescent="0.35">
      <c r="B43" s="163"/>
      <c r="C43" s="163"/>
      <c r="D43" s="163"/>
      <c r="E43" s="163"/>
      <c r="F43" s="163"/>
      <c r="G43" s="163"/>
      <c r="H43" s="163"/>
      <c r="I43" s="163"/>
      <c r="J43" s="163"/>
      <c r="K43" s="163"/>
      <c r="L43" s="163"/>
      <c r="M43" s="163"/>
      <c r="N43" s="163"/>
      <c r="O43" s="163"/>
      <c r="P43" s="163"/>
      <c r="Q43" s="163"/>
      <c r="R43" s="163"/>
      <c r="S43" s="163"/>
      <c r="T43" s="163"/>
      <c r="U43" s="163"/>
      <c r="V43" s="163"/>
      <c r="W43" s="163"/>
      <c r="X43" s="163"/>
      <c r="Y43" s="163"/>
    </row>
    <row r="44" spans="2:25" x14ac:dyDescent="0.35">
      <c r="B44" s="163"/>
      <c r="C44" s="163"/>
      <c r="D44" s="163"/>
      <c r="E44" s="163"/>
      <c r="F44" s="163"/>
      <c r="G44" s="163"/>
      <c r="H44" s="163"/>
      <c r="I44" s="163"/>
      <c r="J44" s="163"/>
      <c r="K44" s="163"/>
      <c r="L44" s="163"/>
      <c r="M44" s="163"/>
      <c r="N44" s="163"/>
      <c r="O44" s="163"/>
      <c r="P44" s="163"/>
      <c r="Q44" s="163"/>
      <c r="R44" s="163"/>
      <c r="S44" s="163"/>
      <c r="T44" s="163"/>
      <c r="U44" s="163"/>
      <c r="V44" s="163"/>
      <c r="W44" s="163"/>
      <c r="X44" s="163"/>
      <c r="Y44" s="163"/>
    </row>
    <row r="45" spans="2:25" x14ac:dyDescent="0.35">
      <c r="B45" s="163"/>
      <c r="C45" s="163"/>
      <c r="D45" s="163"/>
      <c r="E45" s="163"/>
      <c r="F45" s="163"/>
      <c r="G45" s="163"/>
      <c r="H45" s="163"/>
      <c r="I45" s="163"/>
      <c r="J45" s="163"/>
      <c r="K45" s="163"/>
      <c r="L45" s="163"/>
      <c r="M45" s="163"/>
      <c r="N45" s="163"/>
      <c r="O45" s="163"/>
      <c r="P45" s="163"/>
      <c r="Q45" s="163"/>
      <c r="R45" s="163"/>
      <c r="S45" s="163"/>
      <c r="T45" s="163"/>
      <c r="U45" s="163"/>
      <c r="V45" s="163"/>
      <c r="W45" s="163"/>
      <c r="X45" s="163"/>
      <c r="Y45" s="163"/>
    </row>
    <row r="46" spans="2:25" x14ac:dyDescent="0.35">
      <c r="B46" s="163"/>
      <c r="C46" s="163"/>
      <c r="D46" s="163"/>
      <c r="E46" s="163"/>
      <c r="F46" s="163"/>
      <c r="G46" s="163"/>
      <c r="H46" s="163"/>
      <c r="I46" s="163"/>
      <c r="J46" s="163"/>
      <c r="K46" s="163"/>
      <c r="L46" s="163"/>
      <c r="M46" s="163"/>
      <c r="N46" s="163"/>
      <c r="O46" s="163"/>
      <c r="P46" s="163"/>
      <c r="Q46" s="163"/>
      <c r="R46" s="163"/>
      <c r="S46" s="163"/>
      <c r="T46" s="163"/>
      <c r="U46" s="163"/>
      <c r="V46" s="163"/>
      <c r="W46" s="163"/>
      <c r="X46" s="163"/>
      <c r="Y46" s="163"/>
    </row>
    <row r="47" spans="2:25" x14ac:dyDescent="0.35">
      <c r="B47" s="163"/>
      <c r="C47" s="163"/>
      <c r="D47" s="163"/>
      <c r="E47" s="163"/>
      <c r="F47" s="163"/>
      <c r="G47" s="163"/>
      <c r="H47" s="163"/>
      <c r="I47" s="163"/>
      <c r="J47" s="163"/>
      <c r="K47" s="163"/>
      <c r="L47" s="163"/>
      <c r="M47" s="163"/>
      <c r="N47" s="163"/>
      <c r="O47" s="163"/>
      <c r="P47" s="163"/>
      <c r="Q47" s="163"/>
      <c r="R47" s="163"/>
      <c r="S47" s="163"/>
      <c r="T47" s="163"/>
      <c r="U47" s="163"/>
      <c r="V47" s="163"/>
      <c r="W47" s="163"/>
      <c r="X47" s="163"/>
      <c r="Y47" s="163"/>
    </row>
    <row r="48" spans="2:25" x14ac:dyDescent="0.35">
      <c r="B48" s="163"/>
      <c r="C48" s="163"/>
      <c r="D48" s="163"/>
      <c r="E48" s="163"/>
      <c r="F48" s="163"/>
      <c r="G48" s="163"/>
      <c r="H48" s="163"/>
      <c r="I48" s="163"/>
      <c r="J48" s="163"/>
      <c r="K48" s="163"/>
      <c r="L48" s="163"/>
      <c r="M48" s="163"/>
      <c r="N48" s="163"/>
      <c r="O48" s="163"/>
      <c r="P48" s="163"/>
      <c r="Q48" s="163"/>
      <c r="R48" s="163"/>
      <c r="S48" s="163"/>
      <c r="T48" s="163"/>
      <c r="U48" s="163"/>
      <c r="V48" s="163"/>
      <c r="W48" s="163"/>
      <c r="X48" s="163"/>
      <c r="Y48" s="163"/>
    </row>
    <row r="49" spans="2:25" x14ac:dyDescent="0.35">
      <c r="B49" s="163"/>
      <c r="C49" s="163"/>
      <c r="D49" s="163"/>
      <c r="E49" s="163"/>
      <c r="F49" s="163"/>
      <c r="G49" s="163"/>
      <c r="H49" s="163"/>
      <c r="I49" s="163"/>
      <c r="J49" s="163"/>
      <c r="K49" s="163"/>
      <c r="L49" s="163"/>
      <c r="M49" s="163"/>
      <c r="N49" s="163"/>
      <c r="O49" s="163"/>
      <c r="P49" s="163"/>
      <c r="Q49" s="163"/>
      <c r="R49" s="163"/>
      <c r="S49" s="163"/>
      <c r="T49" s="163"/>
      <c r="U49" s="163"/>
      <c r="V49" s="163"/>
      <c r="W49" s="163"/>
      <c r="X49" s="163"/>
      <c r="Y49" s="163"/>
    </row>
    <row r="50" spans="2:25" x14ac:dyDescent="0.35">
      <c r="B50" s="163"/>
      <c r="C50" s="163"/>
      <c r="D50" s="163"/>
      <c r="E50" s="163"/>
      <c r="F50" s="163"/>
      <c r="G50" s="163"/>
      <c r="H50" s="163"/>
      <c r="I50" s="163"/>
      <c r="J50" s="163"/>
      <c r="K50" s="163"/>
      <c r="L50" s="163"/>
      <c r="M50" s="163"/>
      <c r="N50" s="163"/>
      <c r="O50" s="163"/>
      <c r="P50" s="163"/>
      <c r="Q50" s="163"/>
      <c r="R50" s="163"/>
      <c r="S50" s="163"/>
      <c r="T50" s="163"/>
      <c r="U50" s="163"/>
      <c r="V50" s="163"/>
      <c r="W50" s="163"/>
      <c r="X50" s="163"/>
      <c r="Y50" s="163"/>
    </row>
    <row r="51" spans="2:25" x14ac:dyDescent="0.35">
      <c r="B51" s="163"/>
      <c r="C51" s="163"/>
      <c r="D51" s="163"/>
      <c r="E51" s="163"/>
      <c r="F51" s="163"/>
      <c r="G51" s="163"/>
      <c r="H51" s="163"/>
      <c r="I51" s="163"/>
      <c r="J51" s="163"/>
      <c r="K51" s="163"/>
      <c r="L51" s="163"/>
      <c r="M51" s="163"/>
      <c r="N51" s="163"/>
      <c r="O51" s="163"/>
      <c r="P51" s="163"/>
      <c r="Q51" s="163"/>
      <c r="R51" s="163"/>
      <c r="S51" s="163"/>
      <c r="T51" s="163"/>
      <c r="U51" s="163"/>
      <c r="V51" s="163"/>
      <c r="W51" s="163"/>
      <c r="X51" s="163"/>
      <c r="Y51" s="163"/>
    </row>
    <row r="52" spans="2:25" x14ac:dyDescent="0.35">
      <c r="B52" s="163"/>
      <c r="C52" s="163"/>
      <c r="D52" s="163"/>
      <c r="E52" s="163"/>
      <c r="F52" s="163"/>
      <c r="G52" s="163"/>
      <c r="H52" s="163"/>
      <c r="I52" s="163"/>
      <c r="J52" s="163"/>
      <c r="K52" s="163"/>
      <c r="L52" s="163"/>
      <c r="M52" s="163"/>
      <c r="N52" s="163"/>
      <c r="O52" s="163"/>
      <c r="P52" s="163"/>
      <c r="Q52" s="163"/>
      <c r="R52" s="163"/>
      <c r="S52" s="163"/>
      <c r="T52" s="163"/>
      <c r="U52" s="163"/>
      <c r="V52" s="163"/>
      <c r="W52" s="163"/>
      <c r="X52" s="163"/>
      <c r="Y52" s="163"/>
    </row>
  </sheetData>
  <mergeCells count="14">
    <mergeCell ref="B15:B16"/>
    <mergeCell ref="K15:L15"/>
    <mergeCell ref="C15:F15"/>
    <mergeCell ref="Y7:AB7"/>
    <mergeCell ref="M7:P7"/>
    <mergeCell ref="B1:AC1"/>
    <mergeCell ref="B2:AC4"/>
    <mergeCell ref="B6:C8"/>
    <mergeCell ref="I7:L7"/>
    <mergeCell ref="U7:X7"/>
    <mergeCell ref="E7:H7"/>
    <mergeCell ref="D6:T6"/>
    <mergeCell ref="U6:AC6"/>
    <mergeCell ref="Q7:T7"/>
  </mergeCells>
  <hyperlinks>
    <hyperlink ref="B18" r:id="rId1" xr:uid="{00000000-0004-0000-1900-000000000000}"/>
  </hyperlinks>
  <pageMargins left="0.7" right="0.7" top="0.75" bottom="0.75" header="0.3" footer="0.3"/>
  <pageSetup paperSize="9" orientation="portrait" horizontalDpi="300" verticalDpi="30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3:Q54"/>
  <sheetViews>
    <sheetView zoomScale="67" workbookViewId="0">
      <selection activeCell="A51" sqref="A51:P53"/>
    </sheetView>
  </sheetViews>
  <sheetFormatPr defaultColWidth="11.453125" defaultRowHeight="14.5" x14ac:dyDescent="0.35"/>
  <cols>
    <col min="3" max="3" width="33.81640625" customWidth="1"/>
  </cols>
  <sheetData>
    <row r="3" spans="1:17" x14ac:dyDescent="0.35">
      <c r="A3" s="740" t="s">
        <v>526</v>
      </c>
      <c r="B3" s="163"/>
    </row>
    <row r="4" spans="1:17" x14ac:dyDescent="0.35">
      <c r="A4" s="906" t="s">
        <v>527</v>
      </c>
      <c r="B4" s="907"/>
      <c r="C4" s="907"/>
    </row>
    <row r="7" spans="1:17" x14ac:dyDescent="0.35">
      <c r="A7" s="1777" t="s">
        <v>528</v>
      </c>
      <c r="B7" s="1778"/>
      <c r="C7" s="1778"/>
      <c r="D7" s="1778"/>
      <c r="E7" s="1778"/>
      <c r="F7" s="1778"/>
      <c r="G7" s="1778"/>
      <c r="H7" s="1778"/>
      <c r="I7" s="1778"/>
      <c r="J7" s="1778"/>
      <c r="K7" s="1778"/>
      <c r="L7" s="1778"/>
      <c r="M7" s="1778"/>
      <c r="N7" s="1778"/>
      <c r="O7" s="1778"/>
      <c r="P7" s="1778"/>
    </row>
    <row r="8" spans="1:17" x14ac:dyDescent="0.35">
      <c r="A8" s="230" t="s">
        <v>529</v>
      </c>
      <c r="B8" s="230"/>
      <c r="C8" s="230"/>
      <c r="D8" s="911"/>
      <c r="E8" s="230"/>
      <c r="F8" s="230"/>
      <c r="G8" s="230"/>
      <c r="H8" s="230"/>
      <c r="I8" s="230"/>
      <c r="J8" s="230"/>
      <c r="K8" s="230"/>
      <c r="L8" s="230"/>
      <c r="M8" s="230"/>
      <c r="N8" s="230"/>
      <c r="O8" s="230"/>
      <c r="P8" s="230"/>
    </row>
    <row r="9" spans="1:17" x14ac:dyDescent="0.35">
      <c r="A9" s="163"/>
      <c r="B9" s="163"/>
      <c r="C9" s="163"/>
      <c r="D9" s="902"/>
      <c r="E9" s="163"/>
      <c r="F9" s="163"/>
      <c r="G9" s="163"/>
      <c r="H9" s="163"/>
      <c r="I9" s="163"/>
      <c r="J9" s="163"/>
      <c r="K9" s="163"/>
      <c r="L9" s="163"/>
      <c r="M9" s="163"/>
      <c r="N9" s="163"/>
      <c r="O9" s="163"/>
      <c r="P9" s="163"/>
    </row>
    <row r="10" spans="1:17" x14ac:dyDescent="0.35">
      <c r="A10" s="163"/>
      <c r="B10" s="163"/>
      <c r="C10" s="163"/>
      <c r="D10" s="902"/>
      <c r="E10" s="163"/>
      <c r="F10" s="163"/>
      <c r="G10" s="163"/>
      <c r="H10" s="163"/>
      <c r="I10" s="163"/>
      <c r="J10" s="163"/>
      <c r="K10" s="163"/>
      <c r="L10" s="163"/>
      <c r="M10" s="163"/>
      <c r="N10" s="163"/>
      <c r="O10" s="1779" t="s">
        <v>312</v>
      </c>
      <c r="P10" s="1779"/>
    </row>
    <row r="11" spans="1:17" x14ac:dyDescent="0.35">
      <c r="A11" s="163"/>
      <c r="B11" s="163"/>
      <c r="C11" s="587"/>
      <c r="D11" s="185"/>
      <c r="E11" s="587"/>
      <c r="F11" s="587"/>
      <c r="G11" s="587"/>
      <c r="H11" s="587"/>
      <c r="I11" s="587"/>
      <c r="J11" s="587"/>
      <c r="K11" s="587"/>
      <c r="L11" s="587"/>
      <c r="M11" s="587"/>
      <c r="N11" s="587"/>
      <c r="O11" s="910" t="s">
        <v>530</v>
      </c>
      <c r="P11" s="910" t="s">
        <v>530</v>
      </c>
    </row>
    <row r="12" spans="1:17" x14ac:dyDescent="0.35">
      <c r="A12" s="230"/>
      <c r="B12" s="230"/>
      <c r="C12" s="230"/>
      <c r="D12" s="911">
        <v>2020</v>
      </c>
      <c r="E12" s="911">
        <v>2021</v>
      </c>
      <c r="F12" s="911">
        <v>2022</v>
      </c>
      <c r="G12" s="911">
        <v>2023</v>
      </c>
      <c r="H12" s="911">
        <v>2024</v>
      </c>
      <c r="I12" s="911">
        <v>2025</v>
      </c>
      <c r="J12" s="911">
        <v>2026</v>
      </c>
      <c r="K12" s="911">
        <v>2027</v>
      </c>
      <c r="L12" s="911">
        <v>2028</v>
      </c>
      <c r="M12" s="911">
        <v>2029</v>
      </c>
      <c r="N12" s="911">
        <v>2030</v>
      </c>
      <c r="O12" s="631">
        <v>2025</v>
      </c>
      <c r="P12" s="631">
        <v>2030</v>
      </c>
    </row>
    <row r="13" spans="1:17" x14ac:dyDescent="0.35">
      <c r="A13" s="587" t="s">
        <v>531</v>
      </c>
      <c r="B13" s="587"/>
      <c r="C13" s="587"/>
      <c r="D13" s="555">
        <v>540.56299999999999</v>
      </c>
      <c r="E13" s="555">
        <v>0</v>
      </c>
      <c r="F13" s="555">
        <v>0</v>
      </c>
      <c r="G13" s="555">
        <v>0</v>
      </c>
      <c r="H13" s="555">
        <v>0</v>
      </c>
      <c r="I13" s="555">
        <v>0</v>
      </c>
      <c r="J13" s="555">
        <v>0</v>
      </c>
      <c r="K13" s="555">
        <v>0</v>
      </c>
      <c r="L13" s="555">
        <v>0</v>
      </c>
      <c r="M13" s="555">
        <v>0</v>
      </c>
      <c r="N13" s="555">
        <v>0</v>
      </c>
      <c r="O13" s="555">
        <v>0</v>
      </c>
      <c r="P13" s="555">
        <v>0</v>
      </c>
      <c r="Q13" t="s">
        <v>50</v>
      </c>
    </row>
    <row r="14" spans="1:17" x14ac:dyDescent="0.35">
      <c r="A14" s="163" t="s">
        <v>532</v>
      </c>
      <c r="B14" s="163"/>
      <c r="C14" s="163"/>
      <c r="D14" s="185"/>
      <c r="E14" s="587"/>
      <c r="F14" s="587"/>
      <c r="G14" s="587"/>
      <c r="H14" s="587"/>
      <c r="I14" s="587"/>
      <c r="J14" s="587"/>
      <c r="K14" s="587"/>
      <c r="L14" s="587"/>
      <c r="M14" s="587"/>
      <c r="N14" s="587"/>
      <c r="O14" s="587"/>
      <c r="P14" s="587"/>
      <c r="Q14" t="s">
        <v>533</v>
      </c>
    </row>
    <row r="15" spans="1:17" x14ac:dyDescent="0.35">
      <c r="A15" s="163"/>
      <c r="B15" s="163" t="s">
        <v>534</v>
      </c>
      <c r="C15" s="163"/>
      <c r="D15" s="185">
        <v>285.56</v>
      </c>
      <c r="E15" s="185">
        <v>5</v>
      </c>
      <c r="F15" s="185">
        <v>0</v>
      </c>
      <c r="G15" s="185">
        <v>0</v>
      </c>
      <c r="H15" s="185">
        <v>0</v>
      </c>
      <c r="I15" s="185">
        <v>0</v>
      </c>
      <c r="J15" s="185">
        <v>0</v>
      </c>
      <c r="K15" s="185">
        <v>0</v>
      </c>
      <c r="L15" s="185">
        <v>0</v>
      </c>
      <c r="M15" s="185">
        <v>0</v>
      </c>
      <c r="N15" s="185">
        <v>0</v>
      </c>
      <c r="O15" s="185">
        <v>5</v>
      </c>
      <c r="P15" s="185">
        <v>5</v>
      </c>
    </row>
    <row r="16" spans="1:17" x14ac:dyDescent="0.35">
      <c r="A16" s="587"/>
      <c r="B16" s="163" t="s">
        <v>535</v>
      </c>
      <c r="C16" s="587"/>
      <c r="D16" s="185">
        <v>67.209999999999994</v>
      </c>
      <c r="E16" s="185">
        <v>13.68</v>
      </c>
      <c r="F16" s="185">
        <v>0</v>
      </c>
      <c r="G16" s="185">
        <v>0</v>
      </c>
      <c r="H16" s="185">
        <v>0</v>
      </c>
      <c r="I16" s="185">
        <v>0</v>
      </c>
      <c r="J16" s="185">
        <v>0</v>
      </c>
      <c r="K16" s="185">
        <v>0</v>
      </c>
      <c r="L16" s="185">
        <v>0</v>
      </c>
      <c r="M16" s="185">
        <v>0</v>
      </c>
      <c r="N16" s="185">
        <v>0</v>
      </c>
      <c r="O16" s="185">
        <v>13.68</v>
      </c>
      <c r="P16" s="185">
        <v>13.68</v>
      </c>
    </row>
    <row r="17" spans="1:17" x14ac:dyDescent="0.35">
      <c r="A17" s="587"/>
      <c r="B17" s="163" t="s">
        <v>536</v>
      </c>
      <c r="C17" s="587"/>
      <c r="D17" s="185">
        <v>11.12</v>
      </c>
      <c r="E17" s="185">
        <v>47.8</v>
      </c>
      <c r="F17" s="185">
        <v>0</v>
      </c>
      <c r="G17" s="185">
        <v>0</v>
      </c>
      <c r="H17" s="185">
        <v>0</v>
      </c>
      <c r="I17" s="185">
        <v>0</v>
      </c>
      <c r="J17" s="185">
        <v>0</v>
      </c>
      <c r="K17" s="185">
        <v>0</v>
      </c>
      <c r="L17" s="185">
        <v>0</v>
      </c>
      <c r="M17" s="185">
        <v>0</v>
      </c>
      <c r="N17" s="185">
        <v>0</v>
      </c>
      <c r="O17" s="185">
        <v>47.8</v>
      </c>
      <c r="P17" s="185">
        <v>47.8</v>
      </c>
    </row>
    <row r="18" spans="1:17" x14ac:dyDescent="0.35">
      <c r="A18" s="587"/>
      <c r="B18" s="163" t="s">
        <v>537</v>
      </c>
      <c r="C18" s="587"/>
      <c r="D18" s="185">
        <v>6.2149999999999999</v>
      </c>
      <c r="E18" s="185">
        <v>5.0049999999999999</v>
      </c>
      <c r="F18" s="185">
        <v>0</v>
      </c>
      <c r="G18" s="185">
        <v>0</v>
      </c>
      <c r="H18" s="185">
        <v>0</v>
      </c>
      <c r="I18" s="185">
        <v>0</v>
      </c>
      <c r="J18" s="185">
        <v>0</v>
      </c>
      <c r="K18" s="185">
        <v>0</v>
      </c>
      <c r="L18" s="185">
        <v>0</v>
      </c>
      <c r="M18" s="185">
        <v>0</v>
      </c>
      <c r="N18" s="185">
        <v>0</v>
      </c>
      <c r="O18" s="185">
        <v>5.0049999999999999</v>
      </c>
      <c r="P18" s="185">
        <v>5.0049999999999999</v>
      </c>
    </row>
    <row r="19" spans="1:17" x14ac:dyDescent="0.35">
      <c r="A19" s="587"/>
      <c r="B19" s="163"/>
      <c r="C19" s="587"/>
      <c r="D19" s="185" t="s">
        <v>538</v>
      </c>
      <c r="E19" s="185" t="s">
        <v>538</v>
      </c>
      <c r="F19" s="185" t="s">
        <v>538</v>
      </c>
      <c r="G19" s="185" t="s">
        <v>538</v>
      </c>
      <c r="H19" s="185" t="s">
        <v>538</v>
      </c>
      <c r="I19" s="185" t="s">
        <v>538</v>
      </c>
      <c r="J19" s="185" t="s">
        <v>538</v>
      </c>
      <c r="K19" s="185" t="s">
        <v>538</v>
      </c>
      <c r="L19" s="185" t="s">
        <v>538</v>
      </c>
      <c r="M19" s="185" t="s">
        <v>538</v>
      </c>
      <c r="N19" s="185" t="s">
        <v>538</v>
      </c>
      <c r="O19" s="185" t="s">
        <v>538</v>
      </c>
      <c r="P19" s="185" t="s">
        <v>538</v>
      </c>
    </row>
    <row r="20" spans="1:17" x14ac:dyDescent="0.35">
      <c r="A20" s="587"/>
      <c r="B20" s="163"/>
      <c r="C20" s="587" t="s">
        <v>539</v>
      </c>
      <c r="D20" s="185">
        <v>370.10500000000002</v>
      </c>
      <c r="E20" s="185">
        <v>71.484999999999999</v>
      </c>
      <c r="F20" s="185">
        <v>0</v>
      </c>
      <c r="G20" s="185">
        <v>0</v>
      </c>
      <c r="H20" s="185">
        <v>0</v>
      </c>
      <c r="I20" s="185">
        <v>0</v>
      </c>
      <c r="J20" s="185">
        <v>0</v>
      </c>
      <c r="K20" s="185">
        <v>0</v>
      </c>
      <c r="L20" s="185">
        <v>0</v>
      </c>
      <c r="M20" s="185">
        <v>0</v>
      </c>
      <c r="N20" s="185">
        <v>0</v>
      </c>
      <c r="O20" s="185">
        <v>71.484999999999999</v>
      </c>
      <c r="P20" s="185">
        <v>71.484999999999999</v>
      </c>
    </row>
    <row r="21" spans="1:17" x14ac:dyDescent="0.35">
      <c r="A21" s="587"/>
      <c r="B21" s="163"/>
      <c r="C21" s="587"/>
      <c r="D21" s="185"/>
      <c r="E21" s="185"/>
      <c r="F21" s="185"/>
      <c r="G21" s="185"/>
      <c r="H21" s="185"/>
      <c r="I21" s="185"/>
      <c r="J21" s="185"/>
      <c r="K21" s="185"/>
      <c r="L21" s="185"/>
      <c r="M21" s="185"/>
      <c r="N21" s="185"/>
      <c r="O21" s="185"/>
      <c r="P21" s="185"/>
    </row>
    <row r="22" spans="1:17" ht="17.149999999999999" customHeight="1" x14ac:dyDescent="0.35">
      <c r="A22" s="587" t="s">
        <v>540</v>
      </c>
      <c r="B22" s="163"/>
      <c r="C22" s="587"/>
      <c r="D22" s="185">
        <v>271.98399999999998</v>
      </c>
      <c r="E22" s="185">
        <v>9.327</v>
      </c>
      <c r="F22" s="185">
        <v>0</v>
      </c>
      <c r="G22" s="185">
        <v>0</v>
      </c>
      <c r="H22" s="185">
        <v>0</v>
      </c>
      <c r="I22" s="185">
        <v>0</v>
      </c>
      <c r="J22" s="185">
        <v>0</v>
      </c>
      <c r="K22" s="185">
        <v>0</v>
      </c>
      <c r="L22" s="185">
        <v>0</v>
      </c>
      <c r="M22" s="185">
        <v>0</v>
      </c>
      <c r="N22" s="185">
        <v>0</v>
      </c>
      <c r="O22" s="185">
        <v>9.327</v>
      </c>
      <c r="P22" s="185">
        <v>9.327</v>
      </c>
      <c r="Q22" t="s">
        <v>541</v>
      </c>
    </row>
    <row r="23" spans="1:17" x14ac:dyDescent="0.35">
      <c r="A23" s="587" t="s">
        <v>149</v>
      </c>
      <c r="B23" s="163"/>
      <c r="C23" s="163"/>
      <c r="D23" s="185">
        <v>149.97300000000001</v>
      </c>
      <c r="E23" s="185">
        <v>2.5999999999999999E-2</v>
      </c>
      <c r="F23" s="185">
        <v>0</v>
      </c>
      <c r="G23" s="185">
        <v>0</v>
      </c>
      <c r="H23" s="185">
        <v>0</v>
      </c>
      <c r="I23" s="185">
        <v>0</v>
      </c>
      <c r="J23" s="185">
        <v>0</v>
      </c>
      <c r="K23" s="185">
        <v>0</v>
      </c>
      <c r="L23" s="185">
        <v>0</v>
      </c>
      <c r="M23" s="185">
        <v>0</v>
      </c>
      <c r="N23" s="185">
        <v>0</v>
      </c>
      <c r="O23" s="185">
        <v>2.5999999999999999E-2</v>
      </c>
      <c r="P23" s="185">
        <v>2.5999999999999999E-2</v>
      </c>
      <c r="Q23" t="s">
        <v>51</v>
      </c>
    </row>
    <row r="24" spans="1:17" x14ac:dyDescent="0.35">
      <c r="A24" s="587" t="s">
        <v>542</v>
      </c>
      <c r="B24" s="163"/>
      <c r="C24" s="163"/>
      <c r="D24" s="185">
        <v>135.41999999999999</v>
      </c>
      <c r="E24" s="185">
        <v>72.537999999999997</v>
      </c>
      <c r="F24" s="185">
        <v>10.331</v>
      </c>
      <c r="G24" s="185">
        <v>4.2670000000000003</v>
      </c>
      <c r="H24" s="185">
        <v>1.347</v>
      </c>
      <c r="I24" s="185">
        <v>0.67400000000000004</v>
      </c>
      <c r="J24" s="185">
        <v>0</v>
      </c>
      <c r="K24" s="185">
        <v>0</v>
      </c>
      <c r="L24" s="185">
        <v>0</v>
      </c>
      <c r="M24" s="185">
        <v>0</v>
      </c>
      <c r="N24" s="185">
        <v>0</v>
      </c>
      <c r="O24" s="185">
        <v>89.156999999999996</v>
      </c>
      <c r="P24" s="185">
        <v>89.156999999999996</v>
      </c>
      <c r="Q24" t="s">
        <v>543</v>
      </c>
    </row>
    <row r="25" spans="1:17" x14ac:dyDescent="0.35">
      <c r="A25" s="587" t="s">
        <v>544</v>
      </c>
      <c r="B25" s="163"/>
      <c r="C25" s="163"/>
      <c r="D25" s="185"/>
      <c r="E25" s="185"/>
      <c r="F25" s="185"/>
      <c r="G25" s="185"/>
      <c r="H25" s="185"/>
      <c r="I25" s="185"/>
      <c r="J25" s="185"/>
      <c r="K25" s="185"/>
      <c r="L25" s="185"/>
      <c r="M25" s="185"/>
      <c r="N25" s="185"/>
      <c r="O25" s="185"/>
      <c r="P25" s="185"/>
    </row>
    <row r="26" spans="1:17" x14ac:dyDescent="0.35">
      <c r="A26" s="587" t="s">
        <v>545</v>
      </c>
      <c r="B26" s="163"/>
      <c r="C26" s="163"/>
      <c r="D26" s="185">
        <v>40.831000000000003</v>
      </c>
      <c r="E26" s="185">
        <v>79.391999999999996</v>
      </c>
      <c r="F26" s="185">
        <v>47.442999999999998</v>
      </c>
      <c r="G26" s="185">
        <v>4.7220000000000004</v>
      </c>
      <c r="H26" s="185">
        <v>0</v>
      </c>
      <c r="I26" s="185">
        <v>0</v>
      </c>
      <c r="J26" s="185">
        <v>0</v>
      </c>
      <c r="K26" s="185">
        <v>0</v>
      </c>
      <c r="L26" s="185">
        <v>0</v>
      </c>
      <c r="M26" s="185">
        <v>0</v>
      </c>
      <c r="N26" s="185">
        <v>0</v>
      </c>
      <c r="O26" s="185">
        <v>131.55699999999999</v>
      </c>
      <c r="P26" s="185">
        <v>131.55699999999999</v>
      </c>
      <c r="Q26" t="s">
        <v>133</v>
      </c>
    </row>
    <row r="27" spans="1:17" x14ac:dyDescent="0.35">
      <c r="A27" s="587" t="s">
        <v>546</v>
      </c>
      <c r="B27" s="163"/>
      <c r="C27" s="163"/>
      <c r="D27" s="185">
        <v>58.054000000000002</v>
      </c>
      <c r="E27" s="185">
        <v>14.755000000000001</v>
      </c>
      <c r="F27" s="185">
        <v>3.4750000000000001</v>
      </c>
      <c r="G27" s="185">
        <v>3.9249999999999998</v>
      </c>
      <c r="H27" s="185">
        <v>4.375</v>
      </c>
      <c r="I27" s="185">
        <v>4.375</v>
      </c>
      <c r="J27" s="185">
        <v>4.5</v>
      </c>
      <c r="K27" s="185">
        <v>4.5</v>
      </c>
      <c r="L27" s="185">
        <v>4.5</v>
      </c>
      <c r="M27" s="185">
        <v>4.5</v>
      </c>
      <c r="N27" s="185">
        <v>4.5</v>
      </c>
      <c r="O27" s="185">
        <v>30.905000000000001</v>
      </c>
      <c r="P27" s="185">
        <v>53.405000000000001</v>
      </c>
    </row>
    <row r="28" spans="1:17" x14ac:dyDescent="0.35">
      <c r="A28" s="587" t="s">
        <v>547</v>
      </c>
      <c r="B28" s="163"/>
      <c r="C28" s="163"/>
      <c r="D28" s="185">
        <v>47.372999999999998</v>
      </c>
      <c r="E28" s="185">
        <v>-46.081000000000003</v>
      </c>
      <c r="F28" s="185">
        <v>0</v>
      </c>
      <c r="G28" s="185">
        <v>0</v>
      </c>
      <c r="H28" s="185">
        <v>0</v>
      </c>
      <c r="I28" s="185">
        <v>0</v>
      </c>
      <c r="J28" s="185">
        <v>0</v>
      </c>
      <c r="K28" s="185">
        <v>0</v>
      </c>
      <c r="L28" s="185">
        <v>0</v>
      </c>
      <c r="M28" s="185">
        <v>0</v>
      </c>
      <c r="N28" s="185">
        <v>0</v>
      </c>
      <c r="O28" s="185">
        <v>-46.081000000000003</v>
      </c>
      <c r="P28" s="185">
        <v>-46.081000000000003</v>
      </c>
      <c r="Q28" t="s">
        <v>55</v>
      </c>
    </row>
    <row r="29" spans="1:17" x14ac:dyDescent="0.35">
      <c r="A29" s="587" t="s">
        <v>548</v>
      </c>
      <c r="B29" s="163"/>
      <c r="C29" s="163"/>
      <c r="D29" s="185">
        <v>24.475000000000001</v>
      </c>
      <c r="E29" s="185">
        <v>32.784999999999997</v>
      </c>
      <c r="F29" s="185">
        <v>8.4600000000000009</v>
      </c>
      <c r="G29" s="185">
        <v>0</v>
      </c>
      <c r="H29" s="185">
        <v>0</v>
      </c>
      <c r="I29" s="185">
        <v>0</v>
      </c>
      <c r="J29" s="185">
        <v>0</v>
      </c>
      <c r="K29" s="185">
        <v>0</v>
      </c>
      <c r="L29" s="185">
        <v>0</v>
      </c>
      <c r="M29" s="185">
        <v>0</v>
      </c>
      <c r="N29" s="185">
        <v>0</v>
      </c>
      <c r="O29" s="185">
        <v>41.244999999999997</v>
      </c>
      <c r="P29" s="185">
        <v>41.244999999999997</v>
      </c>
      <c r="Q29" t="s">
        <v>549</v>
      </c>
    </row>
    <row r="30" spans="1:17" x14ac:dyDescent="0.35">
      <c r="A30" s="587" t="s">
        <v>550</v>
      </c>
      <c r="B30" s="163"/>
      <c r="C30" s="163"/>
      <c r="D30" s="185">
        <v>27.5</v>
      </c>
      <c r="E30" s="185">
        <v>0.86</v>
      </c>
      <c r="F30" s="185">
        <v>-0.22</v>
      </c>
      <c r="G30" s="185">
        <v>-0.49</v>
      </c>
      <c r="H30" s="185">
        <v>-0.56000000000000005</v>
      </c>
      <c r="I30" s="185">
        <v>-0.98</v>
      </c>
      <c r="J30" s="185">
        <v>-0.76</v>
      </c>
      <c r="K30" s="185">
        <v>-0.74</v>
      </c>
      <c r="L30" s="185">
        <v>-0.72</v>
      </c>
      <c r="M30" s="185">
        <v>-0.7</v>
      </c>
      <c r="N30" s="185">
        <v>-0.69</v>
      </c>
      <c r="O30" s="185">
        <v>-1.39</v>
      </c>
      <c r="P30" s="185">
        <v>-5</v>
      </c>
      <c r="Q30" t="s">
        <v>52</v>
      </c>
    </row>
    <row r="31" spans="1:17" x14ac:dyDescent="0.35">
      <c r="A31" s="587" t="s">
        <v>150</v>
      </c>
      <c r="B31" s="163"/>
      <c r="C31" s="163"/>
      <c r="D31" s="185">
        <v>11.407999999999999</v>
      </c>
      <c r="E31" s="185">
        <v>10.763</v>
      </c>
      <c r="F31" s="185">
        <v>5.7809999999999997</v>
      </c>
      <c r="G31" s="185">
        <v>0.92300000000000004</v>
      </c>
      <c r="H31" s="185">
        <v>0.52300000000000002</v>
      </c>
      <c r="I31" s="185">
        <v>0.43099999999999999</v>
      </c>
      <c r="J31" s="185">
        <v>0.246</v>
      </c>
      <c r="K31" s="185">
        <v>0</v>
      </c>
      <c r="L31" s="185">
        <v>0</v>
      </c>
      <c r="M31" s="185">
        <v>0</v>
      </c>
      <c r="N31" s="185">
        <v>0</v>
      </c>
      <c r="O31" s="185">
        <v>18.420999999999999</v>
      </c>
      <c r="P31" s="185">
        <v>18.667000000000002</v>
      </c>
      <c r="Q31" t="s">
        <v>551</v>
      </c>
    </row>
    <row r="32" spans="1:17" x14ac:dyDescent="0.35">
      <c r="A32" s="587" t="s">
        <v>552</v>
      </c>
      <c r="B32" s="163"/>
      <c r="C32" s="163"/>
      <c r="D32" s="185">
        <v>99.444000000000003</v>
      </c>
      <c r="E32" s="185">
        <v>61.634</v>
      </c>
      <c r="F32" s="185">
        <v>23.815000000000001</v>
      </c>
      <c r="G32" s="185">
        <v>7.35</v>
      </c>
      <c r="H32" s="185">
        <v>4.4029999999999996</v>
      </c>
      <c r="I32" s="185">
        <v>1.663</v>
      </c>
      <c r="J32" s="185">
        <v>0.74399999999999999</v>
      </c>
      <c r="K32" s="185">
        <v>0.65500000000000003</v>
      </c>
      <c r="L32" s="185">
        <v>0.68799999999999994</v>
      </c>
      <c r="M32" s="185">
        <v>10.603</v>
      </c>
      <c r="N32" s="185">
        <v>-35.328000000000003</v>
      </c>
      <c r="O32" s="185">
        <v>98.864999999999995</v>
      </c>
      <c r="P32" s="185">
        <v>76.227000000000004</v>
      </c>
      <c r="Q32" t="s">
        <v>553</v>
      </c>
    </row>
    <row r="33" spans="1:16" x14ac:dyDescent="0.35">
      <c r="A33" s="587"/>
      <c r="B33" s="163"/>
      <c r="C33" s="163"/>
      <c r="D33" s="185"/>
      <c r="E33" s="185"/>
      <c r="F33" s="185"/>
      <c r="G33" s="185"/>
      <c r="H33" s="185"/>
      <c r="I33" s="185"/>
      <c r="J33" s="185"/>
      <c r="K33" s="185"/>
      <c r="L33" s="185"/>
      <c r="M33" s="185"/>
      <c r="N33" s="185"/>
      <c r="O33" s="185"/>
      <c r="P33" s="185"/>
    </row>
    <row r="34" spans="1:16" x14ac:dyDescent="0.35">
      <c r="A34" s="909"/>
      <c r="B34" s="909"/>
      <c r="C34" s="909" t="s">
        <v>312</v>
      </c>
      <c r="D34" s="575">
        <v>1777.13</v>
      </c>
      <c r="E34" s="575">
        <v>307.48399999999998</v>
      </c>
      <c r="F34" s="575">
        <v>99.084999999999994</v>
      </c>
      <c r="G34" s="575">
        <v>20.696999999999999</v>
      </c>
      <c r="H34" s="575">
        <v>10.087999999999999</v>
      </c>
      <c r="I34" s="575">
        <v>6.1630000000000003</v>
      </c>
      <c r="J34" s="575">
        <v>4.7300000000000004</v>
      </c>
      <c r="K34" s="575">
        <v>4.415</v>
      </c>
      <c r="L34" s="575">
        <v>4.468</v>
      </c>
      <c r="M34" s="575">
        <v>14.403</v>
      </c>
      <c r="N34" s="575">
        <v>-31.518000000000001</v>
      </c>
      <c r="O34" s="575">
        <v>443.517</v>
      </c>
      <c r="P34" s="575">
        <v>440.01499999999999</v>
      </c>
    </row>
    <row r="35" spans="1:16" x14ac:dyDescent="0.35">
      <c r="A35" s="163"/>
      <c r="B35" s="163"/>
      <c r="C35" s="163"/>
      <c r="D35" s="908"/>
      <c r="E35" s="407"/>
      <c r="F35" s="587"/>
      <c r="G35" s="587"/>
      <c r="H35" s="587"/>
      <c r="I35" s="587"/>
      <c r="J35" s="587"/>
      <c r="K35" s="587"/>
      <c r="L35" s="587"/>
      <c r="M35" s="587"/>
      <c r="N35" s="587"/>
      <c r="O35" s="587"/>
      <c r="P35" s="587"/>
    </row>
    <row r="36" spans="1:16" x14ac:dyDescent="0.35">
      <c r="A36" s="901" t="s">
        <v>554</v>
      </c>
      <c r="B36" s="901"/>
      <c r="C36" s="901"/>
      <c r="D36" s="903"/>
      <c r="E36" s="901"/>
      <c r="F36" s="901"/>
      <c r="G36" s="901"/>
      <c r="H36" s="901"/>
      <c r="I36" s="901"/>
      <c r="J36" s="901"/>
      <c r="K36" s="901"/>
      <c r="L36" s="901"/>
      <c r="M36" s="901"/>
      <c r="N36" s="901"/>
      <c r="O36" s="901"/>
      <c r="P36" s="901"/>
    </row>
    <row r="37" spans="1:16" x14ac:dyDescent="0.35">
      <c r="A37" s="901"/>
      <c r="B37" s="901"/>
      <c r="C37" s="901"/>
      <c r="D37" s="903"/>
      <c r="E37" s="901"/>
      <c r="F37" s="901"/>
      <c r="G37" s="901"/>
      <c r="H37" s="901"/>
      <c r="I37" s="901"/>
      <c r="J37" s="901"/>
      <c r="K37" s="901"/>
      <c r="L37" s="901"/>
      <c r="M37" s="901"/>
      <c r="N37" s="901"/>
      <c r="O37" s="901"/>
      <c r="P37" s="901"/>
    </row>
    <row r="38" spans="1:16" x14ac:dyDescent="0.35">
      <c r="A38" s="1782" t="s">
        <v>555</v>
      </c>
      <c r="B38" s="1782"/>
      <c r="C38" s="1782"/>
      <c r="D38" s="1782"/>
      <c r="E38" s="1782"/>
      <c r="F38" s="1782"/>
      <c r="G38" s="1782"/>
      <c r="H38" s="1782"/>
      <c r="I38" s="1782"/>
      <c r="J38" s="1782"/>
      <c r="K38" s="1782"/>
      <c r="L38" s="1782"/>
      <c r="M38" s="1782"/>
      <c r="N38" s="1782"/>
      <c r="O38" s="1782"/>
      <c r="P38" s="1782"/>
    </row>
    <row r="39" spans="1:16" x14ac:dyDescent="0.35">
      <c r="A39" s="1782"/>
      <c r="B39" s="1782"/>
      <c r="C39" s="1782"/>
      <c r="D39" s="1782"/>
      <c r="E39" s="1782"/>
      <c r="F39" s="1782"/>
      <c r="G39" s="1782"/>
      <c r="H39" s="1782"/>
      <c r="I39" s="1782"/>
      <c r="J39" s="1782"/>
      <c r="K39" s="1782"/>
      <c r="L39" s="1782"/>
      <c r="M39" s="1782"/>
      <c r="N39" s="1782"/>
      <c r="O39" s="1782"/>
      <c r="P39" s="1782"/>
    </row>
    <row r="40" spans="1:16" x14ac:dyDescent="0.35">
      <c r="A40" s="1782"/>
      <c r="B40" s="1782"/>
      <c r="C40" s="1782"/>
      <c r="D40" s="1782"/>
      <c r="E40" s="1782"/>
      <c r="F40" s="1782"/>
      <c r="G40" s="1782"/>
      <c r="H40" s="1782"/>
      <c r="I40" s="1782"/>
      <c r="J40" s="1782"/>
      <c r="K40" s="1782"/>
      <c r="L40" s="1782"/>
      <c r="M40" s="1782"/>
      <c r="N40" s="1782"/>
      <c r="O40" s="1782"/>
      <c r="P40" s="1782"/>
    </row>
    <row r="41" spans="1:16" x14ac:dyDescent="0.35">
      <c r="A41" s="1782"/>
      <c r="B41" s="1782"/>
      <c r="C41" s="1782"/>
      <c r="D41" s="1782"/>
      <c r="E41" s="1782"/>
      <c r="F41" s="1782"/>
      <c r="G41" s="1782"/>
      <c r="H41" s="1782"/>
      <c r="I41" s="1782"/>
      <c r="J41" s="1782"/>
      <c r="K41" s="1782"/>
      <c r="L41" s="1782"/>
      <c r="M41" s="1782"/>
      <c r="N41" s="1782"/>
      <c r="O41" s="1782"/>
      <c r="P41" s="1782"/>
    </row>
    <row r="42" spans="1:16" x14ac:dyDescent="0.35">
      <c r="A42" s="1782"/>
      <c r="B42" s="1782"/>
      <c r="C42" s="1782"/>
      <c r="D42" s="1782"/>
      <c r="E42" s="1782"/>
      <c r="F42" s="1782"/>
      <c r="G42" s="1782"/>
      <c r="H42" s="1782"/>
      <c r="I42" s="1782"/>
      <c r="J42" s="1782"/>
      <c r="K42" s="1782"/>
      <c r="L42" s="1782"/>
      <c r="M42" s="1782"/>
      <c r="N42" s="1782"/>
      <c r="O42" s="1782"/>
      <c r="P42" s="1782"/>
    </row>
    <row r="43" spans="1:16" x14ac:dyDescent="0.35">
      <c r="A43" s="160"/>
      <c r="B43" s="160"/>
      <c r="C43" s="160"/>
      <c r="D43" s="160"/>
      <c r="E43" s="160"/>
      <c r="F43" s="160"/>
      <c r="G43" s="160"/>
      <c r="H43" s="160"/>
      <c r="I43" s="160"/>
      <c r="J43" s="160"/>
      <c r="K43" s="160"/>
      <c r="L43" s="160"/>
      <c r="M43" s="160"/>
      <c r="N43" s="160"/>
      <c r="O43" s="160"/>
      <c r="P43" s="160"/>
    </row>
    <row r="44" spans="1:16" x14ac:dyDescent="0.35">
      <c r="A44" s="1674" t="s">
        <v>556</v>
      </c>
      <c r="B44" s="1674"/>
      <c r="C44" s="1674"/>
      <c r="D44" s="1674"/>
      <c r="E44" s="1674"/>
      <c r="F44" s="1674"/>
      <c r="G44" s="1674"/>
      <c r="H44" s="1674"/>
      <c r="I44" s="1674"/>
      <c r="J44" s="1674"/>
      <c r="K44" s="1674"/>
      <c r="L44" s="1674"/>
      <c r="M44" s="1674"/>
      <c r="N44" s="1674"/>
      <c r="O44" s="1674"/>
      <c r="P44" s="1674"/>
    </row>
    <row r="45" spans="1:16" x14ac:dyDescent="0.35">
      <c r="A45" s="1674"/>
      <c r="B45" s="1674"/>
      <c r="C45" s="1674"/>
      <c r="D45" s="1674"/>
      <c r="E45" s="1674"/>
      <c r="F45" s="1674"/>
      <c r="G45" s="1674"/>
      <c r="H45" s="1674"/>
      <c r="I45" s="1674"/>
      <c r="J45" s="1674"/>
      <c r="K45" s="1674"/>
      <c r="L45" s="1674"/>
      <c r="M45" s="1674"/>
      <c r="N45" s="1674"/>
      <c r="O45" s="1674"/>
      <c r="P45" s="1674"/>
    </row>
    <row r="46" spans="1:16" x14ac:dyDescent="0.35">
      <c r="A46" s="1674"/>
      <c r="B46" s="1674"/>
      <c r="C46" s="1674"/>
      <c r="D46" s="1674"/>
      <c r="E46" s="1674"/>
      <c r="F46" s="1674"/>
      <c r="G46" s="1674"/>
      <c r="H46" s="1674"/>
      <c r="I46" s="1674"/>
      <c r="J46" s="1674"/>
      <c r="K46" s="1674"/>
      <c r="L46" s="1674"/>
      <c r="M46" s="1674"/>
      <c r="N46" s="1674"/>
      <c r="O46" s="1674"/>
      <c r="P46" s="1674"/>
    </row>
    <row r="47" spans="1:16" x14ac:dyDescent="0.35">
      <c r="A47" s="901"/>
      <c r="B47" s="901"/>
      <c r="C47" s="901"/>
      <c r="D47" s="903"/>
      <c r="E47" s="901"/>
      <c r="F47" s="901"/>
      <c r="G47" s="901"/>
      <c r="H47" s="901"/>
      <c r="I47" s="901"/>
      <c r="J47" s="901"/>
      <c r="K47" s="901"/>
      <c r="L47" s="901"/>
      <c r="M47" s="901"/>
      <c r="N47" s="901"/>
      <c r="O47" s="901"/>
      <c r="P47" s="901"/>
    </row>
    <row r="48" spans="1:16" x14ac:dyDescent="0.35">
      <c r="A48" s="1780" t="s">
        <v>557</v>
      </c>
      <c r="B48" s="1781"/>
      <c r="C48" s="1781"/>
      <c r="D48" s="1781"/>
      <c r="E48" s="1781"/>
      <c r="F48" s="1781"/>
      <c r="G48" s="1781"/>
      <c r="H48" s="1781"/>
      <c r="I48" s="1781"/>
      <c r="J48" s="1781"/>
      <c r="K48" s="1781"/>
      <c r="L48" s="1781"/>
      <c r="M48" s="1781"/>
      <c r="N48" s="1781"/>
      <c r="O48" s="1781"/>
      <c r="P48" s="1781"/>
    </row>
    <row r="49" spans="1:16" x14ac:dyDescent="0.35">
      <c r="A49" s="1781"/>
      <c r="B49" s="1781"/>
      <c r="C49" s="1781"/>
      <c r="D49" s="1781"/>
      <c r="E49" s="1781"/>
      <c r="F49" s="1781"/>
      <c r="G49" s="1781"/>
      <c r="H49" s="1781"/>
      <c r="I49" s="1781"/>
      <c r="J49" s="1781"/>
      <c r="K49" s="1781"/>
      <c r="L49" s="1781"/>
      <c r="M49" s="1781"/>
      <c r="N49" s="1781"/>
      <c r="O49" s="1781"/>
      <c r="P49" s="1781"/>
    </row>
    <row r="50" spans="1:16" x14ac:dyDescent="0.35">
      <c r="A50" s="901"/>
      <c r="B50" s="901"/>
      <c r="C50" s="901"/>
      <c r="D50" s="903"/>
      <c r="E50" s="901"/>
      <c r="F50" s="901"/>
      <c r="G50" s="901"/>
      <c r="H50" s="901"/>
      <c r="I50" s="901"/>
      <c r="J50" s="901"/>
      <c r="K50" s="901"/>
      <c r="L50" s="901"/>
      <c r="M50" s="901"/>
      <c r="N50" s="901"/>
      <c r="O50" s="901"/>
      <c r="P50" s="901"/>
    </row>
    <row r="51" spans="1:16" x14ac:dyDescent="0.35">
      <c r="A51" s="1776" t="s">
        <v>558</v>
      </c>
      <c r="B51" s="1776"/>
      <c r="C51" s="1776"/>
      <c r="D51" s="1776"/>
      <c r="E51" s="1776"/>
      <c r="F51" s="1776"/>
      <c r="G51" s="1776"/>
      <c r="H51" s="1776"/>
      <c r="I51" s="1776"/>
      <c r="J51" s="1776"/>
      <c r="K51" s="1776"/>
      <c r="L51" s="1776"/>
      <c r="M51" s="1776"/>
      <c r="N51" s="1776"/>
      <c r="O51" s="1776"/>
      <c r="P51" s="1776"/>
    </row>
    <row r="52" spans="1:16" x14ac:dyDescent="0.35">
      <c r="A52" s="1776"/>
      <c r="B52" s="1776"/>
      <c r="C52" s="1776"/>
      <c r="D52" s="1776"/>
      <c r="E52" s="1776"/>
      <c r="F52" s="1776"/>
      <c r="G52" s="1776"/>
      <c r="H52" s="1776"/>
      <c r="I52" s="1776"/>
      <c r="J52" s="1776"/>
      <c r="K52" s="1776"/>
      <c r="L52" s="1776"/>
      <c r="M52" s="1776"/>
      <c r="N52" s="1776"/>
      <c r="O52" s="1776"/>
      <c r="P52" s="1776"/>
    </row>
    <row r="53" spans="1:16" x14ac:dyDescent="0.35">
      <c r="A53" s="1776"/>
      <c r="B53" s="1776"/>
      <c r="C53" s="1776"/>
      <c r="D53" s="1776"/>
      <c r="E53" s="1776"/>
      <c r="F53" s="1776"/>
      <c r="G53" s="1776"/>
      <c r="H53" s="1776"/>
      <c r="I53" s="1776"/>
      <c r="J53" s="1776"/>
      <c r="K53" s="1776"/>
      <c r="L53" s="1776"/>
      <c r="M53" s="1776"/>
      <c r="N53" s="1776"/>
      <c r="O53" s="1776"/>
      <c r="P53" s="1776"/>
    </row>
    <row r="54" spans="1:16" x14ac:dyDescent="0.35">
      <c r="A54" s="904"/>
      <c r="B54" s="904"/>
      <c r="C54" s="904"/>
      <c r="D54" s="905"/>
      <c r="E54" s="904"/>
      <c r="F54" s="904"/>
      <c r="G54" s="904"/>
      <c r="H54" s="904"/>
      <c r="I54" s="904"/>
      <c r="J54" s="904"/>
      <c r="K54" s="904"/>
      <c r="L54" s="904"/>
      <c r="M54" s="904"/>
      <c r="N54" s="904"/>
      <c r="O54" s="904"/>
      <c r="P54" s="904"/>
    </row>
  </sheetData>
  <mergeCells count="6">
    <mergeCell ref="A51:P53"/>
    <mergeCell ref="A7:P7"/>
    <mergeCell ref="O10:P10"/>
    <mergeCell ref="A48:P49"/>
    <mergeCell ref="A38:P42"/>
    <mergeCell ref="A44:P46"/>
  </mergeCells>
  <hyperlinks>
    <hyperlink ref="A4" r:id="rId1" xr:uid="{00000000-0004-0000-1B00-000000000000}"/>
  </hyperlinks>
  <pageMargins left="0.7" right="0.7" top="0.75" bottom="0.75" header="0.3" footer="0.3"/>
  <pageSetup paperSize="9" orientation="portrait" horizontalDpi="300" verticalDpi="30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Q198"/>
  <sheetViews>
    <sheetView topLeftCell="E58" workbookViewId="0">
      <selection activeCell="E26" sqref="E26"/>
    </sheetView>
  </sheetViews>
  <sheetFormatPr defaultColWidth="11.453125" defaultRowHeight="14.5" x14ac:dyDescent="0.35"/>
  <cols>
    <col min="1" max="1" width="36" customWidth="1"/>
    <col min="2" max="2" width="15.54296875" customWidth="1"/>
    <col min="15" max="15" width="19.81640625" customWidth="1"/>
    <col min="16" max="16" width="125.81640625" customWidth="1"/>
  </cols>
  <sheetData>
    <row r="1" spans="1:15" x14ac:dyDescent="0.35">
      <c r="A1" s="77" t="s">
        <v>1397</v>
      </c>
      <c r="D1" s="913">
        <v>2022</v>
      </c>
      <c r="E1" s="913">
        <v>2023</v>
      </c>
      <c r="F1" s="913">
        <v>2024</v>
      </c>
      <c r="G1" s="913">
        <v>2025</v>
      </c>
      <c r="H1" s="913">
        <v>2026</v>
      </c>
      <c r="I1" s="913">
        <v>2027</v>
      </c>
      <c r="J1" s="913">
        <v>2028</v>
      </c>
      <c r="K1" s="913">
        <v>2029</v>
      </c>
      <c r="L1" s="913">
        <v>2030</v>
      </c>
      <c r="M1" s="914">
        <v>2031</v>
      </c>
      <c r="N1" s="915" t="s">
        <v>1196</v>
      </c>
      <c r="O1" s="915" t="s">
        <v>1197</v>
      </c>
    </row>
    <row r="2" spans="1:15" x14ac:dyDescent="0.35">
      <c r="C2" s="1783" t="s">
        <v>1398</v>
      </c>
      <c r="D2" s="1783"/>
      <c r="E2" s="1783"/>
      <c r="F2" s="1783"/>
      <c r="G2" s="1783"/>
      <c r="H2" s="1783"/>
      <c r="I2" s="1783"/>
      <c r="J2" s="1783"/>
      <c r="K2" s="1783"/>
      <c r="L2" s="1783"/>
      <c r="M2" s="1783"/>
      <c r="N2" s="1783"/>
      <c r="O2" s="1783"/>
    </row>
    <row r="3" spans="1:15" x14ac:dyDescent="0.35">
      <c r="A3" s="35" t="s">
        <v>1205</v>
      </c>
      <c r="B3" s="35">
        <v>13601</v>
      </c>
      <c r="C3" s="35" t="s">
        <v>1399</v>
      </c>
      <c r="D3" s="35">
        <v>0</v>
      </c>
      <c r="E3" s="35">
        <v>0</v>
      </c>
      <c r="F3" s="35">
        <v>601</v>
      </c>
      <c r="G3" s="35">
        <v>1038</v>
      </c>
      <c r="H3" s="35">
        <v>1251</v>
      </c>
      <c r="I3" s="35">
        <v>1431</v>
      </c>
      <c r="J3" s="35">
        <v>1492</v>
      </c>
      <c r="K3" s="35">
        <v>1530</v>
      </c>
      <c r="L3" s="35">
        <v>1567</v>
      </c>
      <c r="M3" s="35">
        <v>1606</v>
      </c>
      <c r="N3" s="35">
        <v>2890</v>
      </c>
      <c r="O3" s="35">
        <v>10516</v>
      </c>
    </row>
    <row r="4" spans="1:15" x14ac:dyDescent="0.35">
      <c r="A4" s="35" t="s">
        <v>1218</v>
      </c>
      <c r="B4" s="35">
        <v>10301</v>
      </c>
      <c r="C4" s="35" t="s">
        <v>1399</v>
      </c>
      <c r="D4" s="35">
        <v>0</v>
      </c>
      <c r="E4" s="35">
        <v>3823</v>
      </c>
      <c r="F4" s="35">
        <v>3380</v>
      </c>
      <c r="G4" s="35">
        <v>4970</v>
      </c>
      <c r="H4" s="35">
        <v>6248</v>
      </c>
      <c r="I4" s="35">
        <v>7996</v>
      </c>
      <c r="J4" s="35">
        <v>10106</v>
      </c>
      <c r="K4" s="35">
        <v>12617</v>
      </c>
      <c r="L4" s="35">
        <v>15072</v>
      </c>
      <c r="M4" s="35">
        <v>15388</v>
      </c>
      <c r="N4" s="35">
        <v>18421</v>
      </c>
      <c r="O4" s="35">
        <v>79600</v>
      </c>
    </row>
    <row r="5" spans="1:15" x14ac:dyDescent="0.35">
      <c r="A5" s="35" t="s">
        <v>1220</v>
      </c>
      <c r="B5" s="35">
        <v>13802</v>
      </c>
      <c r="C5" s="35" t="s">
        <v>1399</v>
      </c>
      <c r="D5" s="35">
        <v>0</v>
      </c>
      <c r="E5" s="35">
        <v>55</v>
      </c>
      <c r="F5" s="35">
        <v>55</v>
      </c>
      <c r="G5" s="35">
        <v>55</v>
      </c>
      <c r="H5" s="35">
        <v>55</v>
      </c>
      <c r="I5" s="35">
        <v>55</v>
      </c>
      <c r="J5" s="35">
        <v>55</v>
      </c>
      <c r="K5" s="35">
        <v>55</v>
      </c>
      <c r="L5" s="35">
        <v>55</v>
      </c>
      <c r="M5" s="35">
        <v>55</v>
      </c>
      <c r="N5" s="35">
        <v>220</v>
      </c>
      <c r="O5" s="35">
        <v>495</v>
      </c>
    </row>
    <row r="6" spans="1:15" x14ac:dyDescent="0.35">
      <c r="A6" s="35" t="s">
        <v>1222</v>
      </c>
      <c r="B6" s="35">
        <v>22005</v>
      </c>
      <c r="C6" s="35" t="s">
        <v>1399</v>
      </c>
      <c r="D6" s="35">
        <v>0</v>
      </c>
      <c r="E6" s="35">
        <v>19</v>
      </c>
      <c r="F6" s="35">
        <v>26</v>
      </c>
      <c r="G6" s="35">
        <v>27</v>
      </c>
      <c r="H6" s="35">
        <v>17</v>
      </c>
      <c r="I6" s="35">
        <v>7</v>
      </c>
      <c r="J6" s="35">
        <v>3</v>
      </c>
      <c r="K6" s="35">
        <v>1</v>
      </c>
      <c r="L6" s="35">
        <v>0</v>
      </c>
      <c r="M6" s="35">
        <v>0</v>
      </c>
      <c r="N6" s="35">
        <v>89</v>
      </c>
      <c r="O6" s="35">
        <v>100</v>
      </c>
    </row>
    <row r="7" spans="1:15" x14ac:dyDescent="0.35">
      <c r="A7" s="35" t="s">
        <v>1208</v>
      </c>
      <c r="B7" s="35">
        <v>23001</v>
      </c>
      <c r="C7" s="35" t="s">
        <v>1399</v>
      </c>
      <c r="D7" s="35">
        <v>0</v>
      </c>
      <c r="E7" s="35">
        <v>35</v>
      </c>
      <c r="F7" s="35">
        <v>125</v>
      </c>
      <c r="G7" s="35">
        <v>170</v>
      </c>
      <c r="H7" s="35">
        <v>375</v>
      </c>
      <c r="I7" s="35">
        <v>470</v>
      </c>
      <c r="J7" s="35">
        <v>415</v>
      </c>
      <c r="K7" s="35">
        <v>280</v>
      </c>
      <c r="L7" s="35">
        <v>217</v>
      </c>
      <c r="M7" s="35">
        <v>58</v>
      </c>
      <c r="N7" s="35">
        <v>705</v>
      </c>
      <c r="O7" s="35">
        <v>2145</v>
      </c>
    </row>
    <row r="8" spans="1:15" x14ac:dyDescent="0.35">
      <c r="A8" s="35" t="s">
        <v>1224</v>
      </c>
      <c r="B8" s="35">
        <v>23005</v>
      </c>
      <c r="C8" s="35" t="s">
        <v>1399</v>
      </c>
      <c r="D8" s="35">
        <v>0</v>
      </c>
      <c r="E8" s="35">
        <v>15</v>
      </c>
      <c r="F8" s="35">
        <v>15</v>
      </c>
      <c r="G8" s="35">
        <v>15</v>
      </c>
      <c r="H8" s="35">
        <v>10</v>
      </c>
      <c r="I8" s="35">
        <v>10</v>
      </c>
      <c r="J8" s="35">
        <v>10</v>
      </c>
      <c r="K8" s="35">
        <v>10</v>
      </c>
      <c r="L8" s="35">
        <v>10</v>
      </c>
      <c r="M8" s="35">
        <v>5</v>
      </c>
      <c r="N8" s="35">
        <v>55</v>
      </c>
      <c r="O8" s="35">
        <v>100</v>
      </c>
    </row>
    <row r="9" spans="1:15" x14ac:dyDescent="0.35">
      <c r="A9" s="35" t="s">
        <v>1277</v>
      </c>
      <c r="B9" s="35">
        <v>23003</v>
      </c>
      <c r="C9" s="35" t="s">
        <v>1264</v>
      </c>
      <c r="D9" s="35">
        <v>0</v>
      </c>
      <c r="E9" s="35">
        <v>65</v>
      </c>
      <c r="F9" s="35">
        <v>150</v>
      </c>
      <c r="G9" s="35">
        <v>290</v>
      </c>
      <c r="H9" s="35">
        <v>290</v>
      </c>
      <c r="I9" s="35">
        <v>290</v>
      </c>
      <c r="J9" s="35">
        <v>285</v>
      </c>
      <c r="K9" s="35">
        <v>250</v>
      </c>
      <c r="L9" s="35">
        <v>220</v>
      </c>
      <c r="M9" s="35">
        <v>160</v>
      </c>
      <c r="N9" s="35">
        <v>795</v>
      </c>
      <c r="O9" s="35">
        <v>2000</v>
      </c>
    </row>
    <row r="10" spans="1:15" x14ac:dyDescent="0.35">
      <c r="A10" s="35" t="s">
        <v>1305</v>
      </c>
      <c r="B10" s="35">
        <v>11102</v>
      </c>
      <c r="C10" s="35" t="s">
        <v>210</v>
      </c>
      <c r="D10" s="35">
        <v>0</v>
      </c>
      <c r="E10" s="35">
        <v>110</v>
      </c>
      <c r="F10" s="35">
        <v>504</v>
      </c>
      <c r="G10" s="35">
        <v>878</v>
      </c>
      <c r="H10" s="35">
        <v>1193</v>
      </c>
      <c r="I10" s="35">
        <v>1596</v>
      </c>
      <c r="J10" s="35">
        <v>2081</v>
      </c>
      <c r="K10" s="35">
        <v>2587</v>
      </c>
      <c r="L10" s="35">
        <v>3117</v>
      </c>
      <c r="M10" s="35">
        <v>3648</v>
      </c>
      <c r="N10" s="35">
        <v>2685</v>
      </c>
      <c r="O10" s="35">
        <v>15714</v>
      </c>
    </row>
    <row r="11" spans="1:15" x14ac:dyDescent="0.35">
      <c r="A11" s="35" t="s">
        <v>1307</v>
      </c>
      <c r="B11" s="35">
        <v>11405</v>
      </c>
      <c r="C11" s="35" t="s">
        <v>210</v>
      </c>
      <c r="D11" s="35">
        <v>0</v>
      </c>
      <c r="E11" s="35">
        <v>0</v>
      </c>
      <c r="F11" s="35">
        <v>235</v>
      </c>
      <c r="G11" s="35">
        <v>317</v>
      </c>
      <c r="H11" s="35">
        <v>304</v>
      </c>
      <c r="I11" s="35">
        <v>314</v>
      </c>
      <c r="J11" s="35">
        <v>324</v>
      </c>
      <c r="K11" s="35">
        <v>335</v>
      </c>
      <c r="L11" s="35">
        <v>346</v>
      </c>
      <c r="M11" s="35">
        <v>359</v>
      </c>
      <c r="N11" s="35">
        <v>856</v>
      </c>
      <c r="O11" s="35">
        <v>2534</v>
      </c>
    </row>
    <row r="12" spans="1:15" x14ac:dyDescent="0.35">
      <c r="A12" s="35" t="s">
        <v>1309</v>
      </c>
      <c r="B12" s="35">
        <v>11001</v>
      </c>
      <c r="C12" s="35" t="s">
        <v>211</v>
      </c>
      <c r="D12" s="35">
        <v>0</v>
      </c>
      <c r="E12" s="35">
        <v>0</v>
      </c>
      <c r="F12" s="35">
        <v>0</v>
      </c>
      <c r="G12" s="35">
        <v>0</v>
      </c>
      <c r="H12" s="35">
        <v>-3728</v>
      </c>
      <c r="I12" s="35">
        <v>-8317</v>
      </c>
      <c r="J12" s="35">
        <v>-17535</v>
      </c>
      <c r="K12" s="35">
        <v>-21009</v>
      </c>
      <c r="L12" s="35">
        <v>-23416</v>
      </c>
      <c r="M12" s="35">
        <v>-24516</v>
      </c>
      <c r="N12" s="35">
        <v>-3728</v>
      </c>
      <c r="O12" s="35">
        <v>-98521</v>
      </c>
    </row>
    <row r="13" spans="1:15" x14ac:dyDescent="0.35">
      <c r="A13" s="35">
        <v>0</v>
      </c>
      <c r="B13" s="35">
        <v>11004</v>
      </c>
      <c r="C13" s="35" t="s">
        <v>211</v>
      </c>
      <c r="D13" s="35">
        <v>0</v>
      </c>
      <c r="E13" s="35">
        <v>333</v>
      </c>
      <c r="F13" s="35">
        <v>314</v>
      </c>
      <c r="G13" s="35">
        <v>314</v>
      </c>
      <c r="H13" s="35">
        <v>314</v>
      </c>
      <c r="I13" s="35">
        <v>314</v>
      </c>
      <c r="J13" s="35">
        <v>314</v>
      </c>
      <c r="K13" s="35">
        <v>314</v>
      </c>
      <c r="L13" s="35">
        <v>314</v>
      </c>
      <c r="M13" s="35">
        <v>314</v>
      </c>
      <c r="N13" s="35">
        <v>1275</v>
      </c>
      <c r="O13" s="35">
        <v>2845</v>
      </c>
    </row>
    <row r="14" spans="1:15" x14ac:dyDescent="0.35">
      <c r="A14" s="35" t="s">
        <v>1305</v>
      </c>
      <c r="B14" s="35">
        <v>11102</v>
      </c>
      <c r="C14" s="35" t="s">
        <v>211</v>
      </c>
      <c r="D14" s="35">
        <v>0</v>
      </c>
      <c r="E14" s="35">
        <v>-719</v>
      </c>
      <c r="F14" s="35">
        <v>-1051</v>
      </c>
      <c r="G14" s="35">
        <v>-18680</v>
      </c>
      <c r="H14" s="35">
        <v>-7174</v>
      </c>
      <c r="I14" s="35">
        <v>-7523</v>
      </c>
      <c r="J14" s="35">
        <v>-7820</v>
      </c>
      <c r="K14" s="35">
        <v>-8529</v>
      </c>
      <c r="L14" s="35">
        <v>-9564</v>
      </c>
      <c r="M14" s="35">
        <v>-10720</v>
      </c>
      <c r="N14" s="35">
        <v>-27624</v>
      </c>
      <c r="O14" s="35">
        <v>-71780</v>
      </c>
    </row>
    <row r="15" spans="1:15" x14ac:dyDescent="0.35">
      <c r="A15" s="35">
        <v>0</v>
      </c>
      <c r="B15" s="35">
        <v>11102</v>
      </c>
      <c r="C15" s="35" t="s">
        <v>211</v>
      </c>
      <c r="D15" s="35">
        <v>0</v>
      </c>
      <c r="E15" s="35">
        <v>-23</v>
      </c>
      <c r="F15" s="35">
        <v>-60</v>
      </c>
      <c r="G15" s="35">
        <v>-61</v>
      </c>
      <c r="H15" s="35">
        <v>-43</v>
      </c>
      <c r="I15" s="35">
        <v>-30</v>
      </c>
      <c r="J15" s="35">
        <v>-34</v>
      </c>
      <c r="K15" s="35">
        <v>-26</v>
      </c>
      <c r="L15" s="35">
        <v>-3</v>
      </c>
      <c r="M15" s="35">
        <v>7</v>
      </c>
      <c r="N15" s="35">
        <v>-187</v>
      </c>
      <c r="O15" s="35">
        <v>-273</v>
      </c>
    </row>
    <row r="16" spans="1:15" x14ac:dyDescent="0.35">
      <c r="A16" s="35" t="s">
        <v>1312</v>
      </c>
      <c r="B16" s="35">
        <v>11201</v>
      </c>
      <c r="C16" s="35" t="s">
        <v>211</v>
      </c>
      <c r="D16" s="35">
        <v>0</v>
      </c>
      <c r="E16" s="35">
        <v>48</v>
      </c>
      <c r="F16" s="35">
        <v>2541</v>
      </c>
      <c r="G16" s="35">
        <v>4311</v>
      </c>
      <c r="H16" s="35">
        <v>3827</v>
      </c>
      <c r="I16" s="35">
        <v>4927</v>
      </c>
      <c r="J16" s="35">
        <v>5162</v>
      </c>
      <c r="K16" s="35">
        <v>4780</v>
      </c>
      <c r="L16" s="35">
        <v>2375</v>
      </c>
      <c r="M16" s="35">
        <v>1866</v>
      </c>
      <c r="N16" s="35">
        <v>10727</v>
      </c>
      <c r="O16" s="35">
        <v>29837</v>
      </c>
    </row>
    <row r="17" spans="1:15" x14ac:dyDescent="0.35">
      <c r="A17" s="35" t="s">
        <v>1400</v>
      </c>
      <c r="B17" s="35">
        <v>11202</v>
      </c>
      <c r="C17" s="35" t="s">
        <v>211</v>
      </c>
      <c r="D17" s="35">
        <v>0</v>
      </c>
      <c r="E17" s="35">
        <v>5</v>
      </c>
      <c r="F17" s="35">
        <v>3</v>
      </c>
      <c r="G17" s="35">
        <v>17</v>
      </c>
      <c r="H17" s="35">
        <v>15</v>
      </c>
      <c r="I17" s="35">
        <v>15</v>
      </c>
      <c r="J17" s="35">
        <v>20</v>
      </c>
      <c r="K17" s="35">
        <v>15</v>
      </c>
      <c r="L17" s="35">
        <v>15</v>
      </c>
      <c r="M17" s="35">
        <v>20</v>
      </c>
      <c r="N17" s="35">
        <v>40</v>
      </c>
      <c r="O17" s="35">
        <v>125</v>
      </c>
    </row>
    <row r="18" spans="1:15" x14ac:dyDescent="0.35">
      <c r="A18" s="35" t="s">
        <v>1314</v>
      </c>
      <c r="B18" s="35">
        <v>11301</v>
      </c>
      <c r="C18" s="35" t="s">
        <v>211</v>
      </c>
      <c r="D18" s="35">
        <v>0</v>
      </c>
      <c r="E18" s="35">
        <v>0</v>
      </c>
      <c r="F18" s="35">
        <v>0</v>
      </c>
      <c r="G18" s="35">
        <v>0</v>
      </c>
      <c r="H18" s="35">
        <v>0</v>
      </c>
      <c r="I18" s="35">
        <v>-16290</v>
      </c>
      <c r="J18" s="35">
        <v>-25656</v>
      </c>
      <c r="K18" s="35">
        <v>-23394</v>
      </c>
      <c r="L18" s="35">
        <v>-27561</v>
      </c>
      <c r="M18" s="35">
        <v>-29250</v>
      </c>
      <c r="N18" s="35">
        <v>0</v>
      </c>
      <c r="O18" s="35">
        <v>-122151</v>
      </c>
    </row>
    <row r="19" spans="1:15" x14ac:dyDescent="0.35">
      <c r="A19" s="35" t="s">
        <v>1316</v>
      </c>
      <c r="B19" s="35">
        <v>11401</v>
      </c>
      <c r="C19" s="35" t="s">
        <v>211</v>
      </c>
      <c r="D19" s="35">
        <v>0</v>
      </c>
      <c r="E19" s="35">
        <v>-69</v>
      </c>
      <c r="F19" s="35">
        <v>301</v>
      </c>
      <c r="G19" s="35">
        <v>863</v>
      </c>
      <c r="H19" s="35">
        <v>579</v>
      </c>
      <c r="I19" s="35">
        <v>466</v>
      </c>
      <c r="J19" s="35">
        <v>551</v>
      </c>
      <c r="K19" s="35">
        <v>503</v>
      </c>
      <c r="L19" s="35">
        <v>593</v>
      </c>
      <c r="M19" s="35">
        <v>632</v>
      </c>
      <c r="N19" s="35">
        <v>1674</v>
      </c>
      <c r="O19" s="35">
        <v>4419</v>
      </c>
    </row>
    <row r="20" spans="1:15" x14ac:dyDescent="0.35">
      <c r="A20" s="35">
        <v>0</v>
      </c>
      <c r="B20" s="35">
        <v>11402</v>
      </c>
      <c r="C20" s="35" t="s">
        <v>211</v>
      </c>
      <c r="D20" s="35">
        <v>0</v>
      </c>
      <c r="E20" s="35">
        <v>-1</v>
      </c>
      <c r="F20" s="35">
        <v>-1</v>
      </c>
      <c r="G20" s="35">
        <v>-1</v>
      </c>
      <c r="H20" s="35">
        <v>-2</v>
      </c>
      <c r="I20" s="35">
        <v>-2</v>
      </c>
      <c r="J20" s="35">
        <v>-2</v>
      </c>
      <c r="K20" s="35">
        <v>-2</v>
      </c>
      <c r="L20" s="35">
        <v>-2</v>
      </c>
      <c r="M20" s="35">
        <v>-2</v>
      </c>
      <c r="N20" s="35">
        <v>-5</v>
      </c>
      <c r="O20" s="35">
        <v>-15</v>
      </c>
    </row>
    <row r="21" spans="1:15" x14ac:dyDescent="0.35">
      <c r="A21" s="35">
        <v>0</v>
      </c>
      <c r="B21" s="35">
        <v>11403</v>
      </c>
      <c r="C21" s="35" t="s">
        <v>211</v>
      </c>
      <c r="D21" s="35">
        <v>0</v>
      </c>
      <c r="E21" s="35">
        <v>0</v>
      </c>
      <c r="F21" s="35">
        <v>0</v>
      </c>
      <c r="G21" s="35">
        <v>0</v>
      </c>
      <c r="H21" s="35">
        <v>0</v>
      </c>
      <c r="I21" s="35">
        <v>0</v>
      </c>
      <c r="J21" s="35">
        <v>0</v>
      </c>
      <c r="K21" s="35">
        <v>0</v>
      </c>
      <c r="L21" s="35">
        <v>0</v>
      </c>
      <c r="M21" s="35">
        <v>0</v>
      </c>
      <c r="N21" s="35">
        <v>0</v>
      </c>
      <c r="O21" s="35">
        <v>0</v>
      </c>
    </row>
    <row r="22" spans="1:15" x14ac:dyDescent="0.35">
      <c r="A22" s="35">
        <v>0</v>
      </c>
      <c r="B22" s="35">
        <v>11406</v>
      </c>
      <c r="C22" s="35" t="s">
        <v>211</v>
      </c>
      <c r="D22" s="35">
        <v>0</v>
      </c>
      <c r="E22" s="35">
        <v>1</v>
      </c>
      <c r="F22" s="35">
        <v>501</v>
      </c>
      <c r="G22" s="35">
        <v>506</v>
      </c>
      <c r="H22" s="35">
        <v>561</v>
      </c>
      <c r="I22" s="35">
        <v>628</v>
      </c>
      <c r="J22" s="35">
        <v>681</v>
      </c>
      <c r="K22" s="35">
        <v>608</v>
      </c>
      <c r="L22" s="35">
        <v>659</v>
      </c>
      <c r="M22" s="35">
        <v>684</v>
      </c>
      <c r="N22" s="35">
        <v>1569</v>
      </c>
      <c r="O22" s="35">
        <v>4829</v>
      </c>
    </row>
    <row r="23" spans="1:15" x14ac:dyDescent="0.35">
      <c r="A23" s="35">
        <v>0</v>
      </c>
      <c r="B23" s="35">
        <v>11407</v>
      </c>
      <c r="C23" s="35" t="s">
        <v>211</v>
      </c>
      <c r="D23" s="35">
        <v>0</v>
      </c>
      <c r="E23" s="35">
        <v>10</v>
      </c>
      <c r="F23" s="35">
        <v>25</v>
      </c>
      <c r="G23" s="35">
        <v>28</v>
      </c>
      <c r="H23" s="35">
        <v>29</v>
      </c>
      <c r="I23" s="35">
        <v>31</v>
      </c>
      <c r="J23" s="35">
        <v>33</v>
      </c>
      <c r="K23" s="35">
        <v>33</v>
      </c>
      <c r="L23" s="35">
        <v>35</v>
      </c>
      <c r="M23" s="35">
        <v>37</v>
      </c>
      <c r="N23" s="35">
        <v>92</v>
      </c>
      <c r="O23" s="35">
        <v>261</v>
      </c>
    </row>
    <row r="24" spans="1:15" x14ac:dyDescent="0.35">
      <c r="A24" s="35">
        <v>0</v>
      </c>
      <c r="B24" s="35">
        <v>11408</v>
      </c>
      <c r="C24" s="35" t="s">
        <v>211</v>
      </c>
      <c r="D24" s="35">
        <v>0</v>
      </c>
      <c r="E24" s="35">
        <v>0</v>
      </c>
      <c r="F24" s="35">
        <v>0</v>
      </c>
      <c r="G24" s="35">
        <v>0</v>
      </c>
      <c r="H24" s="35">
        <v>0</v>
      </c>
      <c r="I24" s="35">
        <v>0</v>
      </c>
      <c r="J24" s="35">
        <v>0</v>
      </c>
      <c r="K24" s="35">
        <v>0</v>
      </c>
      <c r="L24" s="35">
        <v>0</v>
      </c>
      <c r="M24" s="35">
        <v>0</v>
      </c>
      <c r="N24" s="35">
        <v>0</v>
      </c>
      <c r="O24" s="35">
        <v>0</v>
      </c>
    </row>
    <row r="25" spans="1:15" x14ac:dyDescent="0.35">
      <c r="A25" s="35" t="s">
        <v>1318</v>
      </c>
      <c r="B25" s="35">
        <v>11404</v>
      </c>
      <c r="C25" s="35" t="s">
        <v>211</v>
      </c>
      <c r="D25" s="35">
        <v>0</v>
      </c>
      <c r="E25" s="35">
        <v>0</v>
      </c>
      <c r="F25" s="35">
        <v>195</v>
      </c>
      <c r="G25" s="35">
        <v>230</v>
      </c>
      <c r="H25" s="35">
        <v>248</v>
      </c>
      <c r="I25" s="35">
        <v>266</v>
      </c>
      <c r="J25" s="35">
        <v>311</v>
      </c>
      <c r="K25" s="35">
        <v>281</v>
      </c>
      <c r="L25" s="35">
        <v>327</v>
      </c>
      <c r="M25" s="35">
        <v>347</v>
      </c>
      <c r="N25" s="35">
        <v>673</v>
      </c>
      <c r="O25" s="35">
        <v>2205</v>
      </c>
    </row>
    <row r="26" spans="1:15" x14ac:dyDescent="0.35">
      <c r="A26" s="35" t="s">
        <v>1330</v>
      </c>
      <c r="B26" s="35">
        <v>12001</v>
      </c>
      <c r="C26" s="35" t="s">
        <v>1401</v>
      </c>
      <c r="D26" s="35">
        <v>0</v>
      </c>
      <c r="E26" s="35">
        <v>20892</v>
      </c>
      <c r="F26" s="35">
        <v>11288</v>
      </c>
      <c r="G26" s="35">
        <v>9651</v>
      </c>
      <c r="H26" s="35">
        <v>-8548</v>
      </c>
      <c r="I26" s="35">
        <v>-463</v>
      </c>
      <c r="J26" s="35">
        <v>0</v>
      </c>
      <c r="K26" s="35">
        <v>0</v>
      </c>
      <c r="L26" s="35">
        <v>0</v>
      </c>
      <c r="M26" s="35">
        <v>0</v>
      </c>
      <c r="N26" s="35">
        <v>33283</v>
      </c>
      <c r="O26" s="35">
        <v>32820</v>
      </c>
    </row>
    <row r="27" spans="1:15" x14ac:dyDescent="0.35">
      <c r="A27" s="35" t="s">
        <v>1332</v>
      </c>
      <c r="B27" s="35">
        <v>22003</v>
      </c>
      <c r="C27" s="35" t="s">
        <v>1401</v>
      </c>
      <c r="D27" s="35">
        <v>0</v>
      </c>
      <c r="E27" s="35">
        <v>24</v>
      </c>
      <c r="F27" s="35">
        <v>65</v>
      </c>
      <c r="G27" s="35">
        <v>112</v>
      </c>
      <c r="H27" s="35">
        <v>130</v>
      </c>
      <c r="I27" s="35">
        <v>98</v>
      </c>
      <c r="J27" s="35">
        <v>56</v>
      </c>
      <c r="K27" s="35">
        <v>15</v>
      </c>
      <c r="L27" s="35">
        <v>0</v>
      </c>
      <c r="M27" s="35">
        <v>0</v>
      </c>
      <c r="N27" s="35">
        <v>331</v>
      </c>
      <c r="O27" s="35">
        <v>500</v>
      </c>
    </row>
    <row r="28" spans="1:15" x14ac:dyDescent="0.35">
      <c r="A28" s="35" t="s">
        <v>1334</v>
      </c>
      <c r="B28" s="35">
        <v>22004</v>
      </c>
      <c r="C28" s="35" t="s">
        <v>1401</v>
      </c>
      <c r="D28" s="35">
        <v>0</v>
      </c>
      <c r="E28" s="35">
        <v>50</v>
      </c>
      <c r="F28" s="35">
        <v>500</v>
      </c>
      <c r="G28" s="35">
        <v>920</v>
      </c>
      <c r="H28" s="35">
        <v>1310</v>
      </c>
      <c r="I28" s="35">
        <v>1680</v>
      </c>
      <c r="J28" s="35">
        <v>1780</v>
      </c>
      <c r="K28" s="35">
        <v>1640</v>
      </c>
      <c r="L28" s="35">
        <v>1090</v>
      </c>
      <c r="M28" s="35">
        <v>630</v>
      </c>
      <c r="N28" s="35">
        <v>2780</v>
      </c>
      <c r="O28" s="35">
        <v>9600</v>
      </c>
    </row>
    <row r="29" spans="1:15" ht="45" customHeight="1" x14ac:dyDescent="0.35">
      <c r="A29" s="14" t="s">
        <v>1402</v>
      </c>
      <c r="B29" s="35">
        <v>22007</v>
      </c>
      <c r="C29" s="35" t="s">
        <v>1401</v>
      </c>
      <c r="D29" s="35">
        <v>-622</v>
      </c>
      <c r="E29" s="35">
        <v>80</v>
      </c>
      <c r="F29" s="35">
        <v>248</v>
      </c>
      <c r="G29" s="35">
        <v>266</v>
      </c>
      <c r="H29" s="35">
        <v>363</v>
      </c>
      <c r="I29" s="35">
        <v>464</v>
      </c>
      <c r="J29" s="35">
        <v>451</v>
      </c>
      <c r="K29" s="35">
        <v>336</v>
      </c>
      <c r="L29" s="35">
        <v>226</v>
      </c>
      <c r="M29" s="35">
        <v>117</v>
      </c>
      <c r="N29" s="35">
        <v>335</v>
      </c>
      <c r="O29" s="35">
        <v>1929</v>
      </c>
    </row>
    <row r="30" spans="1:15" x14ac:dyDescent="0.35">
      <c r="A30" s="35" t="s">
        <v>1336</v>
      </c>
      <c r="B30" s="35">
        <v>23002</v>
      </c>
      <c r="C30" s="35" t="s">
        <v>1401</v>
      </c>
      <c r="D30" s="35">
        <v>0</v>
      </c>
      <c r="E30" s="35">
        <v>30</v>
      </c>
      <c r="F30" s="35">
        <v>90</v>
      </c>
      <c r="G30" s="35">
        <v>90</v>
      </c>
      <c r="H30" s="35">
        <v>85</v>
      </c>
      <c r="I30" s="35">
        <v>70</v>
      </c>
      <c r="J30" s="35">
        <v>65</v>
      </c>
      <c r="K30" s="35">
        <v>65</v>
      </c>
      <c r="L30" s="35">
        <v>35</v>
      </c>
      <c r="M30" s="35">
        <v>15</v>
      </c>
      <c r="N30" s="35">
        <v>295</v>
      </c>
      <c r="O30" s="35">
        <v>545</v>
      </c>
    </row>
    <row r="31" spans="1:15" x14ac:dyDescent="0.35">
      <c r="A31" s="35" t="s">
        <v>1327</v>
      </c>
      <c r="B31" s="35">
        <v>30002</v>
      </c>
      <c r="C31" s="35" t="s">
        <v>1401</v>
      </c>
      <c r="D31" s="35">
        <v>0</v>
      </c>
      <c r="E31" s="35">
        <v>20</v>
      </c>
      <c r="F31" s="35">
        <v>65</v>
      </c>
      <c r="G31" s="35">
        <v>110</v>
      </c>
      <c r="H31" s="35">
        <v>135</v>
      </c>
      <c r="I31" s="35">
        <v>180</v>
      </c>
      <c r="J31" s="35">
        <v>230</v>
      </c>
      <c r="K31" s="35">
        <v>180</v>
      </c>
      <c r="L31" s="35">
        <v>60</v>
      </c>
      <c r="M31" s="35">
        <v>10</v>
      </c>
      <c r="N31" s="35">
        <v>330</v>
      </c>
      <c r="O31" s="35">
        <v>990</v>
      </c>
    </row>
    <row r="32" spans="1:15" x14ac:dyDescent="0.35">
      <c r="A32" s="35" t="s">
        <v>1403</v>
      </c>
      <c r="B32" s="35">
        <v>13104</v>
      </c>
      <c r="C32" s="35" t="s">
        <v>1404</v>
      </c>
      <c r="D32" s="35">
        <v>0</v>
      </c>
      <c r="E32" s="35">
        <v>20</v>
      </c>
      <c r="F32" s="35">
        <v>145</v>
      </c>
      <c r="G32" s="35">
        <v>225</v>
      </c>
      <c r="H32" s="35">
        <v>238</v>
      </c>
      <c r="I32" s="35">
        <v>222</v>
      </c>
      <c r="J32" s="35">
        <v>206</v>
      </c>
      <c r="K32" s="35">
        <v>186</v>
      </c>
      <c r="L32" s="35">
        <v>165</v>
      </c>
      <c r="M32" s="35">
        <v>142</v>
      </c>
      <c r="N32" s="35">
        <v>628</v>
      </c>
      <c r="O32" s="35">
        <v>1550</v>
      </c>
    </row>
    <row r="33" spans="1:15" x14ac:dyDescent="0.35">
      <c r="A33" s="35" t="s">
        <v>1405</v>
      </c>
      <c r="B33" s="35">
        <v>13105</v>
      </c>
      <c r="C33" s="35" t="s">
        <v>1404</v>
      </c>
      <c r="D33" s="35">
        <v>0</v>
      </c>
      <c r="E33" s="35">
        <v>0</v>
      </c>
      <c r="F33" s="35">
        <v>1050</v>
      </c>
      <c r="G33" s="35">
        <v>1692</v>
      </c>
      <c r="H33" s="35">
        <v>1781</v>
      </c>
      <c r="I33" s="35">
        <v>1842</v>
      </c>
      <c r="J33" s="35">
        <v>1901</v>
      </c>
      <c r="K33" s="35">
        <v>1944</v>
      </c>
      <c r="L33" s="35">
        <v>2054</v>
      </c>
      <c r="M33" s="35">
        <v>2137</v>
      </c>
      <c r="N33" s="35">
        <v>4522</v>
      </c>
      <c r="O33" s="35">
        <v>14401</v>
      </c>
    </row>
    <row r="34" spans="1:15" x14ac:dyDescent="0.35">
      <c r="A34" s="35" t="s">
        <v>1364</v>
      </c>
      <c r="B34" s="35">
        <v>13204</v>
      </c>
      <c r="C34" s="35" t="s">
        <v>1404</v>
      </c>
      <c r="D34" s="35">
        <v>0</v>
      </c>
      <c r="E34" s="35">
        <v>59</v>
      </c>
      <c r="F34" s="35">
        <v>149</v>
      </c>
      <c r="G34" s="35">
        <v>244</v>
      </c>
      <c r="H34" s="35">
        <v>364</v>
      </c>
      <c r="I34" s="35">
        <v>498</v>
      </c>
      <c r="J34" s="35">
        <v>657</v>
      </c>
      <c r="K34" s="35">
        <v>851</v>
      </c>
      <c r="L34" s="35">
        <v>1086</v>
      </c>
      <c r="M34" s="35">
        <v>1410</v>
      </c>
      <c r="N34" s="35">
        <v>815</v>
      </c>
      <c r="O34" s="35">
        <v>5317</v>
      </c>
    </row>
    <row r="35" spans="1:15" x14ac:dyDescent="0.35">
      <c r="A35" s="35" t="s">
        <v>1406</v>
      </c>
      <c r="B35" s="35">
        <v>13502</v>
      </c>
      <c r="C35" s="35" t="s">
        <v>1404</v>
      </c>
      <c r="D35" s="35">
        <v>0</v>
      </c>
      <c r="E35" s="35">
        <v>842</v>
      </c>
      <c r="F35" s="35">
        <v>1201</v>
      </c>
      <c r="G35" s="35">
        <v>1291</v>
      </c>
      <c r="H35" s="35">
        <v>1519</v>
      </c>
      <c r="I35" s="35">
        <v>1710</v>
      </c>
      <c r="J35" s="35">
        <v>1890</v>
      </c>
      <c r="K35" s="35">
        <v>2176</v>
      </c>
      <c r="L35" s="35">
        <v>2189</v>
      </c>
      <c r="M35" s="35">
        <v>1882</v>
      </c>
      <c r="N35" s="35">
        <v>4853</v>
      </c>
      <c r="O35" s="35">
        <v>14699</v>
      </c>
    </row>
    <row r="36" spans="1:15" x14ac:dyDescent="0.35">
      <c r="A36" s="35" t="s">
        <v>1407</v>
      </c>
      <c r="B36" s="35">
        <v>13701</v>
      </c>
      <c r="C36" s="35" t="s">
        <v>1404</v>
      </c>
      <c r="D36" s="35">
        <v>0</v>
      </c>
      <c r="E36" s="35">
        <v>1</v>
      </c>
      <c r="F36" s="35">
        <v>1</v>
      </c>
      <c r="G36" s="35">
        <v>2</v>
      </c>
      <c r="H36" s="35">
        <v>2</v>
      </c>
      <c r="I36" s="35">
        <v>3</v>
      </c>
      <c r="J36" s="35">
        <v>3</v>
      </c>
      <c r="K36" s="35">
        <v>4</v>
      </c>
      <c r="L36" s="35">
        <v>5</v>
      </c>
      <c r="M36" s="35">
        <v>6</v>
      </c>
      <c r="N36" s="35">
        <v>6</v>
      </c>
      <c r="O36" s="35">
        <v>26</v>
      </c>
    </row>
    <row r="37" spans="1:15" x14ac:dyDescent="0.35">
      <c r="A37" s="35" t="s">
        <v>1346</v>
      </c>
      <c r="B37" s="35">
        <v>21001</v>
      </c>
      <c r="C37" s="35" t="s">
        <v>1404</v>
      </c>
      <c r="D37" s="35">
        <v>0</v>
      </c>
      <c r="E37" s="35">
        <v>178</v>
      </c>
      <c r="F37" s="35">
        <v>716</v>
      </c>
      <c r="G37" s="35">
        <v>1268</v>
      </c>
      <c r="H37" s="35">
        <v>2150</v>
      </c>
      <c r="I37" s="35">
        <v>3000</v>
      </c>
      <c r="J37" s="35">
        <v>2906</v>
      </c>
      <c r="K37" s="35">
        <v>2533</v>
      </c>
      <c r="L37" s="35">
        <v>1750</v>
      </c>
      <c r="M37" s="35">
        <v>807</v>
      </c>
      <c r="N37" s="35">
        <v>4312</v>
      </c>
      <c r="O37" s="35">
        <v>15308</v>
      </c>
    </row>
    <row r="38" spans="1:15" x14ac:dyDescent="0.35">
      <c r="A38" s="35">
        <v>0</v>
      </c>
      <c r="B38" s="35">
        <v>21002</v>
      </c>
      <c r="C38" s="35" t="s">
        <v>1404</v>
      </c>
      <c r="D38" s="35">
        <v>0</v>
      </c>
      <c r="E38" s="35">
        <v>86</v>
      </c>
      <c r="F38" s="35">
        <v>95</v>
      </c>
      <c r="G38" s="35">
        <v>125</v>
      </c>
      <c r="H38" s="35">
        <v>225</v>
      </c>
      <c r="I38" s="35">
        <v>225</v>
      </c>
      <c r="J38" s="35">
        <v>245</v>
      </c>
      <c r="K38" s="35">
        <v>240</v>
      </c>
      <c r="L38" s="35">
        <v>109</v>
      </c>
      <c r="M38" s="35">
        <v>50</v>
      </c>
      <c r="N38" s="35">
        <v>531</v>
      </c>
      <c r="O38" s="35">
        <v>1400</v>
      </c>
    </row>
    <row r="39" spans="1:15" x14ac:dyDescent="0.35">
      <c r="A39" s="35" t="s">
        <v>1358</v>
      </c>
      <c r="B39" s="35">
        <v>22002</v>
      </c>
      <c r="C39" s="35" t="s">
        <v>1404</v>
      </c>
      <c r="D39" s="35">
        <v>0</v>
      </c>
      <c r="E39" s="35">
        <v>5</v>
      </c>
      <c r="F39" s="35">
        <v>41</v>
      </c>
      <c r="G39" s="35">
        <v>116</v>
      </c>
      <c r="H39" s="35">
        <v>284</v>
      </c>
      <c r="I39" s="35">
        <v>417</v>
      </c>
      <c r="J39" s="35">
        <v>459</v>
      </c>
      <c r="K39" s="35">
        <v>355</v>
      </c>
      <c r="L39" s="35">
        <v>210</v>
      </c>
      <c r="M39" s="35">
        <v>90</v>
      </c>
      <c r="N39" s="35">
        <v>446</v>
      </c>
      <c r="O39" s="35">
        <v>1977</v>
      </c>
    </row>
    <row r="40" spans="1:15" x14ac:dyDescent="0.35">
      <c r="A40" s="35" t="s">
        <v>1374</v>
      </c>
      <c r="B40" s="35">
        <v>30001</v>
      </c>
      <c r="C40" s="35" t="s">
        <v>1404</v>
      </c>
      <c r="D40" s="35">
        <v>0</v>
      </c>
      <c r="E40" s="35">
        <v>25</v>
      </c>
      <c r="F40" s="35">
        <v>100</v>
      </c>
      <c r="G40" s="35">
        <v>125</v>
      </c>
      <c r="H40" s="35">
        <v>100</v>
      </c>
      <c r="I40" s="35">
        <v>75</v>
      </c>
      <c r="J40" s="35">
        <v>30</v>
      </c>
      <c r="K40" s="35">
        <v>20</v>
      </c>
      <c r="L40" s="35">
        <v>0</v>
      </c>
      <c r="M40" s="35">
        <v>0</v>
      </c>
      <c r="N40" s="35">
        <v>350</v>
      </c>
      <c r="O40" s="35">
        <v>475</v>
      </c>
    </row>
    <row r="42" spans="1:15" x14ac:dyDescent="0.35">
      <c r="C42" s="1784" t="s">
        <v>1408</v>
      </c>
      <c r="D42" s="1784"/>
      <c r="E42" s="1784"/>
      <c r="F42" s="1784"/>
      <c r="G42" s="1784"/>
      <c r="H42" s="1784"/>
      <c r="I42" s="1784"/>
      <c r="J42" s="1784"/>
      <c r="K42" s="1784"/>
      <c r="L42" s="1784"/>
      <c r="M42" s="1784"/>
      <c r="N42" s="1784"/>
      <c r="O42" s="1784"/>
    </row>
    <row r="43" spans="1:15" x14ac:dyDescent="0.35">
      <c r="A43" s="35" t="s">
        <v>1409</v>
      </c>
      <c r="B43" s="35">
        <v>10101</v>
      </c>
      <c r="C43" s="35" t="s">
        <v>1410</v>
      </c>
      <c r="D43" s="35">
        <v>0</v>
      </c>
      <c r="E43" s="35">
        <v>34679</v>
      </c>
      <c r="F43" s="35">
        <v>34258</v>
      </c>
      <c r="G43" s="35">
        <v>22039</v>
      </c>
      <c r="H43" s="35">
        <v>17702</v>
      </c>
      <c r="I43" s="35">
        <v>18699</v>
      </c>
      <c r="J43" s="35">
        <v>20798</v>
      </c>
      <c r="K43" s="35">
        <v>22756</v>
      </c>
      <c r="L43" s="35">
        <v>24658</v>
      </c>
      <c r="M43" s="35">
        <v>26659</v>
      </c>
      <c r="N43" s="35">
        <v>108678</v>
      </c>
      <c r="O43" s="35">
        <v>222248</v>
      </c>
    </row>
    <row r="44" spans="1:15" x14ac:dyDescent="0.35">
      <c r="A44" s="35" t="s">
        <v>1411</v>
      </c>
      <c r="B44" s="35" t="s">
        <v>1412</v>
      </c>
      <c r="C44" s="35" t="s">
        <v>1410</v>
      </c>
      <c r="D44" s="35">
        <v>0</v>
      </c>
      <c r="E44" s="35">
        <v>113</v>
      </c>
      <c r="F44" s="35">
        <v>314</v>
      </c>
      <c r="G44" s="35">
        <v>470</v>
      </c>
      <c r="H44" s="35">
        <v>642</v>
      </c>
      <c r="I44" s="35">
        <v>812</v>
      </c>
      <c r="J44" s="35">
        <v>973</v>
      </c>
      <c r="K44" s="35">
        <v>1100</v>
      </c>
      <c r="L44" s="35">
        <v>1181</v>
      </c>
      <c r="M44" s="35">
        <v>1245</v>
      </c>
      <c r="N44" s="35">
        <v>1539</v>
      </c>
      <c r="O44" s="35">
        <v>6850</v>
      </c>
    </row>
    <row r="45" spans="1:15" x14ac:dyDescent="0.35">
      <c r="A45" s="35" t="s">
        <v>1413</v>
      </c>
      <c r="B45" s="35">
        <v>13101</v>
      </c>
      <c r="C45" s="35" t="s">
        <v>1410</v>
      </c>
      <c r="D45" s="35">
        <v>0</v>
      </c>
      <c r="E45" s="35">
        <v>-1562</v>
      </c>
      <c r="F45" s="35">
        <v>-2183</v>
      </c>
      <c r="G45" s="35">
        <v>-3317</v>
      </c>
      <c r="H45" s="35">
        <v>-4822</v>
      </c>
      <c r="I45" s="35">
        <v>-6428</v>
      </c>
      <c r="J45" s="35">
        <v>-7677</v>
      </c>
      <c r="K45" s="35">
        <v>-8232</v>
      </c>
      <c r="L45" s="35">
        <v>-8329</v>
      </c>
      <c r="M45" s="35">
        <v>-8511</v>
      </c>
      <c r="N45" s="35">
        <v>-11885</v>
      </c>
      <c r="O45" s="35">
        <v>-51062</v>
      </c>
    </row>
    <row r="46" spans="1:15" x14ac:dyDescent="0.35">
      <c r="A46" s="35" t="s">
        <v>1414</v>
      </c>
      <c r="B46" s="35">
        <v>13102</v>
      </c>
      <c r="C46" s="35" t="s">
        <v>1410</v>
      </c>
      <c r="D46" s="35">
        <v>0</v>
      </c>
      <c r="E46" s="35">
        <v>-2140</v>
      </c>
      <c r="F46" s="35">
        <v>-1559</v>
      </c>
      <c r="G46" s="35">
        <v>-2458</v>
      </c>
      <c r="H46" s="35">
        <v>-5367</v>
      </c>
      <c r="I46" s="35">
        <v>-2359</v>
      </c>
      <c r="J46" s="35">
        <v>-48</v>
      </c>
      <c r="K46" s="35">
        <v>-38</v>
      </c>
      <c r="L46" s="35">
        <v>-9</v>
      </c>
      <c r="M46" s="35">
        <v>15</v>
      </c>
      <c r="N46" s="35">
        <v>-11523</v>
      </c>
      <c r="O46" s="35">
        <v>-13962</v>
      </c>
    </row>
    <row r="47" spans="1:15" x14ac:dyDescent="0.35">
      <c r="A47" s="35" t="s">
        <v>1415</v>
      </c>
      <c r="B47" s="35">
        <v>13104</v>
      </c>
      <c r="C47" s="35" t="s">
        <v>1410</v>
      </c>
      <c r="D47" s="35">
        <v>0</v>
      </c>
      <c r="E47" s="35">
        <v>-22</v>
      </c>
      <c r="F47" s="35">
        <v>-158</v>
      </c>
      <c r="G47" s="35">
        <v>-244</v>
      </c>
      <c r="H47" s="35">
        <v>-257</v>
      </c>
      <c r="I47" s="35">
        <v>-241</v>
      </c>
      <c r="J47" s="35">
        <v>-223</v>
      </c>
      <c r="K47" s="35">
        <v>-202</v>
      </c>
      <c r="L47" s="35">
        <v>-178</v>
      </c>
      <c r="M47" s="35">
        <v>-154</v>
      </c>
      <c r="N47" s="35">
        <v>-681</v>
      </c>
      <c r="O47" s="35">
        <v>-1679</v>
      </c>
    </row>
    <row r="48" spans="1:15" x14ac:dyDescent="0.35">
      <c r="A48" s="35" t="s">
        <v>1416</v>
      </c>
      <c r="B48" s="35">
        <v>13105</v>
      </c>
      <c r="C48" s="35" t="s">
        <v>1410</v>
      </c>
      <c r="D48" s="35">
        <v>0</v>
      </c>
      <c r="E48" s="35">
        <v>0</v>
      </c>
      <c r="F48" s="35">
        <v>-1138</v>
      </c>
      <c r="G48" s="35">
        <v>-1832</v>
      </c>
      <c r="H48" s="35">
        <v>-1929</v>
      </c>
      <c r="I48" s="35">
        <v>-1996</v>
      </c>
      <c r="J48" s="35">
        <v>-2059</v>
      </c>
      <c r="K48" s="35">
        <v>-2106</v>
      </c>
      <c r="L48" s="35">
        <v>-2225</v>
      </c>
      <c r="M48" s="35">
        <v>-2315</v>
      </c>
      <c r="N48" s="35">
        <v>-4899</v>
      </c>
      <c r="O48" s="35">
        <v>-15600</v>
      </c>
    </row>
    <row r="49" spans="1:15" x14ac:dyDescent="0.35">
      <c r="A49" s="35" t="s">
        <v>1417</v>
      </c>
      <c r="B49" s="35">
        <v>13303</v>
      </c>
      <c r="C49" s="35" t="s">
        <v>1410</v>
      </c>
      <c r="D49" s="35">
        <v>0</v>
      </c>
      <c r="E49" s="35">
        <v>-62</v>
      </c>
      <c r="F49" s="35">
        <v>-50</v>
      </c>
      <c r="G49" s="35">
        <v>-46</v>
      </c>
      <c r="H49" s="35">
        <v>-42</v>
      </c>
      <c r="I49" s="35">
        <v>-38</v>
      </c>
      <c r="J49" s="35">
        <v>-35</v>
      </c>
      <c r="K49" s="35">
        <v>-32</v>
      </c>
      <c r="L49" s="35">
        <v>-30</v>
      </c>
      <c r="M49" s="35">
        <v>-28</v>
      </c>
      <c r="N49" s="35">
        <v>-200</v>
      </c>
      <c r="O49" s="35">
        <v>-362</v>
      </c>
    </row>
    <row r="50" spans="1:15" x14ac:dyDescent="0.35">
      <c r="A50" s="35" t="s">
        <v>1418</v>
      </c>
      <c r="B50" s="35" t="s">
        <v>1419</v>
      </c>
      <c r="C50" s="35" t="s">
        <v>1410</v>
      </c>
      <c r="D50" s="35">
        <v>0</v>
      </c>
      <c r="E50" s="35">
        <v>-2376</v>
      </c>
      <c r="F50" s="35">
        <v>-2679</v>
      </c>
      <c r="G50" s="35">
        <v>-2315</v>
      </c>
      <c r="H50" s="35">
        <v>-2572</v>
      </c>
      <c r="I50" s="35">
        <v>-2467</v>
      </c>
      <c r="J50" s="35">
        <v>-2490</v>
      </c>
      <c r="K50" s="35">
        <v>-2638</v>
      </c>
      <c r="L50" s="35">
        <v>-2569</v>
      </c>
      <c r="M50" s="35">
        <v>-2081</v>
      </c>
      <c r="N50" s="35">
        <v>-9943</v>
      </c>
      <c r="O50" s="35">
        <v>-22188</v>
      </c>
    </row>
    <row r="51" spans="1:15" x14ac:dyDescent="0.35">
      <c r="A51" s="35" t="s">
        <v>1420</v>
      </c>
      <c r="B51" s="35">
        <v>13601</v>
      </c>
      <c r="C51" s="35" t="s">
        <v>1410</v>
      </c>
      <c r="D51" s="35">
        <v>0</v>
      </c>
      <c r="E51" s="35">
        <v>902</v>
      </c>
      <c r="F51" s="35">
        <v>1230</v>
      </c>
      <c r="G51" s="35">
        <v>1271</v>
      </c>
      <c r="H51" s="35">
        <v>1304</v>
      </c>
      <c r="I51" s="35">
        <v>1336</v>
      </c>
      <c r="J51" s="35">
        <v>1368</v>
      </c>
      <c r="K51" s="35">
        <v>1402</v>
      </c>
      <c r="L51" s="35">
        <v>1436</v>
      </c>
      <c r="M51" s="35">
        <v>1470</v>
      </c>
      <c r="N51" s="35">
        <v>4707</v>
      </c>
      <c r="O51" s="35">
        <v>11719</v>
      </c>
    </row>
    <row r="52" spans="1:15" x14ac:dyDescent="0.35">
      <c r="A52" s="35" t="s">
        <v>1421</v>
      </c>
      <c r="B52" s="35" t="s">
        <v>1422</v>
      </c>
      <c r="C52" s="35" t="s">
        <v>1410</v>
      </c>
      <c r="D52" s="35">
        <v>0</v>
      </c>
      <c r="E52" s="35">
        <v>1</v>
      </c>
      <c r="F52" s="35">
        <v>1</v>
      </c>
      <c r="G52" s="35">
        <v>-678</v>
      </c>
      <c r="H52" s="35">
        <v>-858</v>
      </c>
      <c r="I52" s="35">
        <v>-7820</v>
      </c>
      <c r="J52" s="35">
        <v>-11303</v>
      </c>
      <c r="K52" s="35">
        <v>-12736</v>
      </c>
      <c r="L52" s="35">
        <v>-14927</v>
      </c>
      <c r="M52" s="35">
        <v>-17285</v>
      </c>
      <c r="N52" s="35">
        <v>-1535</v>
      </c>
      <c r="O52" s="35">
        <v>-65606</v>
      </c>
    </row>
    <row r="53" spans="1:15" x14ac:dyDescent="0.35">
      <c r="A53" s="35" t="s">
        <v>1423</v>
      </c>
      <c r="B53" s="35">
        <v>13901</v>
      </c>
      <c r="C53" s="35" t="s">
        <v>1410</v>
      </c>
      <c r="D53" s="35">
        <v>0</v>
      </c>
      <c r="E53" s="35">
        <v>103</v>
      </c>
      <c r="F53" s="35">
        <v>135</v>
      </c>
      <c r="G53" s="35">
        <v>131</v>
      </c>
      <c r="H53" s="35">
        <v>130</v>
      </c>
      <c r="I53" s="35">
        <v>130</v>
      </c>
      <c r="J53" s="35">
        <v>131</v>
      </c>
      <c r="K53" s="35">
        <v>132</v>
      </c>
      <c r="L53" s="35">
        <v>133</v>
      </c>
      <c r="M53" s="35">
        <v>134</v>
      </c>
      <c r="N53" s="35">
        <v>498</v>
      </c>
      <c r="O53" s="35">
        <v>1159</v>
      </c>
    </row>
    <row r="54" spans="1:15" x14ac:dyDescent="0.35">
      <c r="A54" s="35" t="s">
        <v>1424</v>
      </c>
      <c r="B54" s="35">
        <v>13902</v>
      </c>
      <c r="C54" s="35" t="s">
        <v>1410</v>
      </c>
      <c r="D54" s="35">
        <v>0</v>
      </c>
      <c r="E54" s="35">
        <v>-16</v>
      </c>
      <c r="F54" s="35">
        <v>-13</v>
      </c>
      <c r="G54" s="35">
        <v>-15</v>
      </c>
      <c r="H54" s="35">
        <v>-16</v>
      </c>
      <c r="I54" s="35">
        <v>-18</v>
      </c>
      <c r="J54" s="35">
        <v>-21</v>
      </c>
      <c r="K54" s="35">
        <v>-22</v>
      </c>
      <c r="L54" s="35">
        <v>-23</v>
      </c>
      <c r="M54" s="35">
        <v>-24</v>
      </c>
      <c r="N54" s="35">
        <v>-60</v>
      </c>
      <c r="O54" s="35">
        <v>-168</v>
      </c>
    </row>
    <row r="55" spans="1:15" x14ac:dyDescent="0.35">
      <c r="A55" s="35" t="s">
        <v>1425</v>
      </c>
      <c r="B55" s="35" t="s">
        <v>1426</v>
      </c>
      <c r="C55" s="35" t="s">
        <v>1410</v>
      </c>
      <c r="D55" s="35">
        <v>0</v>
      </c>
      <c r="E55" s="35">
        <v>0</v>
      </c>
      <c r="F55" s="35">
        <v>0</v>
      </c>
      <c r="G55" s="35">
        <v>0</v>
      </c>
      <c r="H55" s="35">
        <v>0</v>
      </c>
      <c r="I55" s="35">
        <v>17666</v>
      </c>
      <c r="J55" s="35">
        <v>26198</v>
      </c>
      <c r="K55" s="35">
        <v>9453</v>
      </c>
      <c r="L55" s="35">
        <v>-274</v>
      </c>
      <c r="M55" s="35">
        <v>-284</v>
      </c>
      <c r="N55" s="35">
        <v>0</v>
      </c>
      <c r="O55" s="35">
        <v>52759</v>
      </c>
    </row>
    <row r="56" spans="1:15" x14ac:dyDescent="0.35">
      <c r="A56" s="35" t="s">
        <v>1427</v>
      </c>
      <c r="B56" s="35">
        <v>60113</v>
      </c>
      <c r="C56" s="35" t="s">
        <v>1410</v>
      </c>
      <c r="D56" s="35">
        <v>0</v>
      </c>
      <c r="E56" s="35">
        <v>0</v>
      </c>
      <c r="F56" s="35">
        <v>0</v>
      </c>
      <c r="G56" s="35">
        <v>0</v>
      </c>
      <c r="H56" s="35">
        <v>850</v>
      </c>
      <c r="I56" s="137">
        <v>1350</v>
      </c>
      <c r="J56" s="137">
        <v>1400</v>
      </c>
      <c r="K56" s="137">
        <v>1200</v>
      </c>
      <c r="L56" s="137">
        <v>1050</v>
      </c>
      <c r="M56" s="35">
        <v>500</v>
      </c>
      <c r="N56" s="35">
        <v>850</v>
      </c>
      <c r="O56" s="137">
        <v>6350</v>
      </c>
    </row>
    <row r="57" spans="1:15" x14ac:dyDescent="0.35">
      <c r="A57" s="35" t="s">
        <v>1428</v>
      </c>
      <c r="B57" s="35">
        <v>10201</v>
      </c>
      <c r="C57" s="35" t="s">
        <v>1410</v>
      </c>
      <c r="D57" s="35">
        <v>0</v>
      </c>
      <c r="E57" s="35">
        <v>5697</v>
      </c>
      <c r="F57" s="35">
        <v>7875</v>
      </c>
      <c r="G57" s="35">
        <v>8070</v>
      </c>
      <c r="H57" s="35">
        <v>8581</v>
      </c>
      <c r="I57" s="35">
        <v>8882</v>
      </c>
      <c r="J57" s="35">
        <v>8838</v>
      </c>
      <c r="K57" s="35">
        <v>8603</v>
      </c>
      <c r="L57" s="35">
        <v>8500</v>
      </c>
      <c r="M57" s="35">
        <v>8641</v>
      </c>
      <c r="N57" s="35">
        <v>30223</v>
      </c>
      <c r="O57" s="35">
        <v>73686</v>
      </c>
    </row>
    <row r="58" spans="1:15" x14ac:dyDescent="0.35">
      <c r="A58" s="35" t="s">
        <v>1435</v>
      </c>
      <c r="B58" s="35">
        <v>13304</v>
      </c>
      <c r="C58" s="35" t="s">
        <v>1440</v>
      </c>
      <c r="D58" s="35">
        <v>0</v>
      </c>
      <c r="E58" s="35">
        <v>-273</v>
      </c>
      <c r="F58" s="35">
        <v>-193</v>
      </c>
      <c r="G58" s="35">
        <v>-203</v>
      </c>
      <c r="H58" s="35">
        <v>-216</v>
      </c>
      <c r="I58" s="35">
        <v>-230</v>
      </c>
      <c r="J58" s="35">
        <v>-241</v>
      </c>
      <c r="K58" s="35">
        <v>-240</v>
      </c>
      <c r="L58" s="35">
        <v>-229</v>
      </c>
      <c r="M58" s="35">
        <v>-217</v>
      </c>
      <c r="N58" s="35">
        <v>-887</v>
      </c>
      <c r="O58" s="35">
        <v>-2043</v>
      </c>
    </row>
    <row r="59" spans="1:15" x14ac:dyDescent="0.35">
      <c r="A59" s="35" t="s">
        <v>1431</v>
      </c>
      <c r="B59" s="35" t="s">
        <v>1432</v>
      </c>
      <c r="C59" s="35" t="s">
        <v>1440</v>
      </c>
      <c r="D59" s="35">
        <v>0</v>
      </c>
      <c r="E59" s="35">
        <v>-2882</v>
      </c>
      <c r="F59" s="35">
        <v>-2038</v>
      </c>
      <c r="G59" s="35">
        <v>-1405</v>
      </c>
      <c r="H59" s="35">
        <v>-554</v>
      </c>
      <c r="I59" s="35">
        <v>-753</v>
      </c>
      <c r="J59" s="35">
        <v>-970</v>
      </c>
      <c r="K59" s="35">
        <v>-1231</v>
      </c>
      <c r="L59" s="35">
        <v>-1581</v>
      </c>
      <c r="M59" s="35">
        <v>-2108</v>
      </c>
      <c r="N59" s="35">
        <v>-6880</v>
      </c>
      <c r="O59" s="35">
        <v>-13523</v>
      </c>
    </row>
    <row r="60" spans="1:15" x14ac:dyDescent="0.35">
      <c r="A60" s="916" t="s">
        <v>1429</v>
      </c>
      <c r="B60" s="917">
        <v>10301</v>
      </c>
      <c r="C60" s="917" t="s">
        <v>239</v>
      </c>
      <c r="D60" s="917">
        <v>0</v>
      </c>
      <c r="E60" s="918">
        <v>2012</v>
      </c>
      <c r="F60" s="918">
        <v>5106</v>
      </c>
      <c r="G60" s="918">
        <v>11125</v>
      </c>
      <c r="H60" s="918">
        <v>16116</v>
      </c>
      <c r="I60" s="918">
        <v>21716</v>
      </c>
      <c r="J60" s="918">
        <v>26314</v>
      </c>
      <c r="K60" s="918">
        <v>31218</v>
      </c>
      <c r="L60" s="918">
        <v>34877</v>
      </c>
      <c r="M60" s="918">
        <v>31904</v>
      </c>
      <c r="N60" s="918">
        <v>34359</v>
      </c>
      <c r="O60" s="919">
        <v>180388</v>
      </c>
    </row>
    <row r="61" spans="1:15" x14ac:dyDescent="0.35">
      <c r="A61" s="35" t="s">
        <v>1430</v>
      </c>
      <c r="B61" s="35">
        <v>12001</v>
      </c>
      <c r="C61" s="35" t="s">
        <v>239</v>
      </c>
      <c r="D61" s="35">
        <v>0</v>
      </c>
      <c r="E61" s="35">
        <v>1297</v>
      </c>
      <c r="F61" s="35">
        <v>-10555</v>
      </c>
      <c r="G61" s="35">
        <v>-10586</v>
      </c>
      <c r="H61" s="35">
        <v>-11431</v>
      </c>
      <c r="I61" s="35">
        <v>-154</v>
      </c>
      <c r="J61" s="35">
        <v>132</v>
      </c>
      <c r="K61" s="35">
        <v>53</v>
      </c>
      <c r="L61" s="35">
        <v>6</v>
      </c>
      <c r="M61" s="35">
        <v>0</v>
      </c>
      <c r="N61" s="35">
        <v>-31275</v>
      </c>
      <c r="O61" s="35">
        <v>-31238</v>
      </c>
    </row>
    <row r="62" spans="1:15" x14ac:dyDescent="0.35">
      <c r="A62" s="35" t="s">
        <v>1433</v>
      </c>
      <c r="B62" s="35">
        <v>13301</v>
      </c>
      <c r="C62" s="35" t="s">
        <v>239</v>
      </c>
      <c r="D62" s="35">
        <v>0</v>
      </c>
      <c r="E62" s="35">
        <v>-1887</v>
      </c>
      <c r="F62" s="35">
        <v>-1348</v>
      </c>
      <c r="G62" s="35">
        <v>-1324</v>
      </c>
      <c r="H62" s="35">
        <v>-1345</v>
      </c>
      <c r="I62" s="35">
        <v>-1327</v>
      </c>
      <c r="J62" s="35">
        <v>-1277</v>
      </c>
      <c r="K62" s="35">
        <v>-1301</v>
      </c>
      <c r="L62" s="35">
        <v>-1314</v>
      </c>
      <c r="M62" s="35">
        <v>-1327</v>
      </c>
      <c r="N62" s="35">
        <v>-5904</v>
      </c>
      <c r="O62" s="35">
        <v>-12451</v>
      </c>
    </row>
    <row r="63" spans="1:15" x14ac:dyDescent="0.35">
      <c r="A63" s="35" t="s">
        <v>1434</v>
      </c>
      <c r="B63" s="35">
        <v>13302</v>
      </c>
      <c r="C63" s="35" t="s">
        <v>239</v>
      </c>
      <c r="D63" s="35">
        <v>0</v>
      </c>
      <c r="E63" s="35">
        <v>-459</v>
      </c>
      <c r="F63" s="35">
        <v>-1021</v>
      </c>
      <c r="G63" s="35">
        <v>-2692</v>
      </c>
      <c r="H63" s="35">
        <v>-2770</v>
      </c>
      <c r="I63" s="35">
        <v>-2850</v>
      </c>
      <c r="J63" s="35">
        <v>-2935</v>
      </c>
      <c r="K63" s="35">
        <v>-3019</v>
      </c>
      <c r="L63" s="35">
        <v>-3092</v>
      </c>
      <c r="M63" s="35">
        <v>-3185</v>
      </c>
      <c r="N63" s="35">
        <v>-6942</v>
      </c>
      <c r="O63" s="35">
        <v>-22022</v>
      </c>
    </row>
    <row r="64" spans="1:15" x14ac:dyDescent="0.35">
      <c r="A64" s="35" t="s">
        <v>1436</v>
      </c>
      <c r="B64" s="35" t="s">
        <v>1437</v>
      </c>
      <c r="C64" s="35" t="s">
        <v>239</v>
      </c>
      <c r="D64" s="35">
        <v>0</v>
      </c>
      <c r="E64" s="35">
        <v>-511</v>
      </c>
      <c r="F64" s="35">
        <v>-852</v>
      </c>
      <c r="G64" s="35">
        <v>-1050</v>
      </c>
      <c r="H64" s="35">
        <v>-1275</v>
      </c>
      <c r="I64" s="35">
        <v>-1572</v>
      </c>
      <c r="J64" s="35">
        <v>-1862</v>
      </c>
      <c r="K64" s="35">
        <v>-2104</v>
      </c>
      <c r="L64" s="35">
        <v>-2364</v>
      </c>
      <c r="M64" s="35">
        <v>-2615</v>
      </c>
      <c r="N64" s="35">
        <v>-3689</v>
      </c>
      <c r="O64" s="35">
        <v>-14209</v>
      </c>
    </row>
    <row r="67" spans="3:15" x14ac:dyDescent="0.35">
      <c r="D67" s="920">
        <v>2022</v>
      </c>
      <c r="E67" s="920">
        <v>2023</v>
      </c>
      <c r="F67" s="920">
        <v>2024</v>
      </c>
      <c r="G67" s="920">
        <v>2025</v>
      </c>
      <c r="H67" s="920">
        <v>2026</v>
      </c>
      <c r="I67" s="920">
        <v>2027</v>
      </c>
      <c r="J67" s="920">
        <v>2028</v>
      </c>
      <c r="K67" s="920">
        <v>2029</v>
      </c>
      <c r="L67" s="920">
        <v>2030</v>
      </c>
      <c r="M67" s="921">
        <v>2031</v>
      </c>
      <c r="N67" s="922" t="s">
        <v>1376</v>
      </c>
      <c r="O67" s="923" t="s">
        <v>1377</v>
      </c>
    </row>
    <row r="68" spans="3:15" x14ac:dyDescent="0.35">
      <c r="C68" s="1785" t="s">
        <v>1438</v>
      </c>
      <c r="D68" s="1786"/>
      <c r="E68" s="1786"/>
      <c r="F68" s="1786"/>
      <c r="G68" s="1786"/>
      <c r="H68" s="1786"/>
      <c r="I68" s="1786"/>
      <c r="J68" s="1786"/>
      <c r="K68" s="1786"/>
      <c r="L68" s="1786"/>
      <c r="M68" s="1786"/>
      <c r="N68" s="1786"/>
      <c r="O68" s="1787"/>
    </row>
    <row r="69" spans="3:15" x14ac:dyDescent="0.35">
      <c r="C69" s="47" t="s">
        <v>1399</v>
      </c>
      <c r="D69" s="35">
        <f t="shared" ref="D69:O69" si="0">SUM(D3:D8)</f>
        <v>0</v>
      </c>
      <c r="E69" s="35">
        <f t="shared" si="0"/>
        <v>3947</v>
      </c>
      <c r="F69" s="35">
        <f t="shared" si="0"/>
        <v>4202</v>
      </c>
      <c r="G69" s="35">
        <f t="shared" si="0"/>
        <v>6275</v>
      </c>
      <c r="H69" s="35">
        <f t="shared" si="0"/>
        <v>7956</v>
      </c>
      <c r="I69" s="35">
        <f t="shared" si="0"/>
        <v>9969</v>
      </c>
      <c r="J69" s="35">
        <f t="shared" si="0"/>
        <v>12081</v>
      </c>
      <c r="K69" s="35">
        <f t="shared" si="0"/>
        <v>14493</v>
      </c>
      <c r="L69" s="35">
        <f t="shared" si="0"/>
        <v>16921</v>
      </c>
      <c r="M69" s="35">
        <f t="shared" si="0"/>
        <v>17112</v>
      </c>
      <c r="N69" s="35">
        <f t="shared" si="0"/>
        <v>22380</v>
      </c>
      <c r="O69" s="35">
        <f t="shared" si="0"/>
        <v>92956</v>
      </c>
    </row>
    <row r="70" spans="3:15" x14ac:dyDescent="0.35">
      <c r="C70" s="47" t="s">
        <v>1264</v>
      </c>
      <c r="D70" s="35">
        <f t="shared" ref="D70:O70" si="1">SUM(D9)</f>
        <v>0</v>
      </c>
      <c r="E70" s="35">
        <f t="shared" si="1"/>
        <v>65</v>
      </c>
      <c r="F70" s="35">
        <f t="shared" si="1"/>
        <v>150</v>
      </c>
      <c r="G70" s="35">
        <f t="shared" si="1"/>
        <v>290</v>
      </c>
      <c r="H70" s="35">
        <f t="shared" si="1"/>
        <v>290</v>
      </c>
      <c r="I70" s="35">
        <f t="shared" si="1"/>
        <v>290</v>
      </c>
      <c r="J70" s="35">
        <f t="shared" si="1"/>
        <v>285</v>
      </c>
      <c r="K70" s="35">
        <f t="shared" si="1"/>
        <v>250</v>
      </c>
      <c r="L70" s="35">
        <f t="shared" si="1"/>
        <v>220</v>
      </c>
      <c r="M70" s="35">
        <f t="shared" si="1"/>
        <v>160</v>
      </c>
      <c r="N70" s="47">
        <f t="shared" si="1"/>
        <v>795</v>
      </c>
      <c r="O70" s="123">
        <f t="shared" si="1"/>
        <v>2000</v>
      </c>
    </row>
    <row r="71" spans="3:15" x14ac:dyDescent="0.35">
      <c r="C71" s="47" t="s">
        <v>210</v>
      </c>
      <c r="D71" s="35">
        <f t="shared" ref="D71:O71" si="2">SUM(D10:D11)</f>
        <v>0</v>
      </c>
      <c r="E71" s="35">
        <f t="shared" si="2"/>
        <v>110</v>
      </c>
      <c r="F71" s="35">
        <f t="shared" si="2"/>
        <v>739</v>
      </c>
      <c r="G71" s="35">
        <f t="shared" si="2"/>
        <v>1195</v>
      </c>
      <c r="H71" s="35">
        <f t="shared" si="2"/>
        <v>1497</v>
      </c>
      <c r="I71" s="35">
        <f t="shared" si="2"/>
        <v>1910</v>
      </c>
      <c r="J71" s="35">
        <f t="shared" si="2"/>
        <v>2405</v>
      </c>
      <c r="K71" s="35">
        <f t="shared" si="2"/>
        <v>2922</v>
      </c>
      <c r="L71" s="35">
        <f t="shared" si="2"/>
        <v>3463</v>
      </c>
      <c r="M71" s="35">
        <f t="shared" si="2"/>
        <v>4007</v>
      </c>
      <c r="N71" s="47">
        <f t="shared" si="2"/>
        <v>3541</v>
      </c>
      <c r="O71" s="123">
        <f t="shared" si="2"/>
        <v>18248</v>
      </c>
    </row>
    <row r="72" spans="3:15" x14ac:dyDescent="0.35">
      <c r="C72" s="47" t="s">
        <v>211</v>
      </c>
      <c r="D72" s="35">
        <f t="shared" ref="D72:O72" si="3">SUM(D12:D25)</f>
        <v>0</v>
      </c>
      <c r="E72" s="35">
        <f t="shared" si="3"/>
        <v>-415</v>
      </c>
      <c r="F72" s="35">
        <f t="shared" si="3"/>
        <v>2768</v>
      </c>
      <c r="G72" s="35">
        <f t="shared" si="3"/>
        <v>-12473</v>
      </c>
      <c r="H72" s="35">
        <f t="shared" si="3"/>
        <v>-5374</v>
      </c>
      <c r="I72" s="35">
        <f t="shared" si="3"/>
        <v>-25515</v>
      </c>
      <c r="J72" s="35">
        <f t="shared" si="3"/>
        <v>-43975</v>
      </c>
      <c r="K72" s="35">
        <f t="shared" si="3"/>
        <v>-46426</v>
      </c>
      <c r="L72" s="35">
        <f t="shared" si="3"/>
        <v>-56228</v>
      </c>
      <c r="M72" s="35">
        <f t="shared" si="3"/>
        <v>-60581</v>
      </c>
      <c r="N72" s="47">
        <f t="shared" si="3"/>
        <v>-15494</v>
      </c>
      <c r="O72" s="123">
        <f t="shared" si="3"/>
        <v>-248219</v>
      </c>
    </row>
    <row r="73" spans="3:15" x14ac:dyDescent="0.35">
      <c r="C73" s="47" t="s">
        <v>1401</v>
      </c>
      <c r="D73" s="35">
        <f t="shared" ref="D73:O73" si="4">SUM(D26:D31)</f>
        <v>-622</v>
      </c>
      <c r="E73" s="35">
        <f t="shared" si="4"/>
        <v>21096</v>
      </c>
      <c r="F73" s="35">
        <f t="shared" si="4"/>
        <v>12256</v>
      </c>
      <c r="G73" s="35">
        <f t="shared" si="4"/>
        <v>11149</v>
      </c>
      <c r="H73" s="35">
        <f t="shared" si="4"/>
        <v>-6525</v>
      </c>
      <c r="I73" s="35">
        <f t="shared" si="4"/>
        <v>2029</v>
      </c>
      <c r="J73" s="35">
        <f t="shared" si="4"/>
        <v>2582</v>
      </c>
      <c r="K73" s="35">
        <f t="shared" si="4"/>
        <v>2236</v>
      </c>
      <c r="L73" s="35">
        <f t="shared" si="4"/>
        <v>1411</v>
      </c>
      <c r="M73" s="35">
        <f t="shared" si="4"/>
        <v>772</v>
      </c>
      <c r="N73" s="47">
        <f t="shared" si="4"/>
        <v>37354</v>
      </c>
      <c r="O73" s="123">
        <f t="shared" si="4"/>
        <v>46384</v>
      </c>
    </row>
    <row r="74" spans="3:15" x14ac:dyDescent="0.35">
      <c r="C74" s="47" t="s">
        <v>1404</v>
      </c>
      <c r="D74" s="35">
        <f t="shared" ref="D74:O74" si="5">SUM(D32:D40)</f>
        <v>0</v>
      </c>
      <c r="E74" s="35">
        <f t="shared" si="5"/>
        <v>1216</v>
      </c>
      <c r="F74" s="35">
        <f t="shared" si="5"/>
        <v>3498</v>
      </c>
      <c r="G74" s="35">
        <f t="shared" si="5"/>
        <v>5088</v>
      </c>
      <c r="H74" s="35">
        <f t="shared" si="5"/>
        <v>6663</v>
      </c>
      <c r="I74" s="35">
        <f t="shared" si="5"/>
        <v>7992</v>
      </c>
      <c r="J74" s="35">
        <f t="shared" si="5"/>
        <v>8297</v>
      </c>
      <c r="K74" s="35">
        <f t="shared" si="5"/>
        <v>8309</v>
      </c>
      <c r="L74" s="35">
        <f t="shared" si="5"/>
        <v>7568</v>
      </c>
      <c r="M74" s="35">
        <f t="shared" si="5"/>
        <v>6524</v>
      </c>
      <c r="N74" s="124">
        <f t="shared" si="5"/>
        <v>16463</v>
      </c>
      <c r="O74" s="125">
        <f t="shared" si="5"/>
        <v>55153</v>
      </c>
    </row>
    <row r="75" spans="3:15" x14ac:dyDescent="0.35">
      <c r="C75" s="1785" t="s">
        <v>1439</v>
      </c>
      <c r="D75" s="1786"/>
      <c r="E75" s="1786"/>
      <c r="F75" s="1786"/>
      <c r="G75" s="1786"/>
      <c r="H75" s="1786"/>
      <c r="I75" s="1786"/>
      <c r="J75" s="1786"/>
      <c r="K75" s="1786"/>
      <c r="L75" s="1786"/>
      <c r="M75" s="1786"/>
      <c r="N75" s="1786"/>
      <c r="O75" s="1787"/>
    </row>
    <row r="76" spans="3:15" x14ac:dyDescent="0.35">
      <c r="C76" s="47" t="s">
        <v>385</v>
      </c>
      <c r="D76" s="35">
        <v>0</v>
      </c>
      <c r="E76" s="35">
        <v>596</v>
      </c>
      <c r="F76" s="35">
        <v>1406</v>
      </c>
      <c r="G76" s="35">
        <v>1885</v>
      </c>
      <c r="H76" s="35">
        <v>2113</v>
      </c>
      <c r="I76" s="35">
        <v>2058</v>
      </c>
      <c r="J76" s="35">
        <v>1745</v>
      </c>
      <c r="K76" s="35">
        <v>1369</v>
      </c>
      <c r="L76" s="35">
        <v>970</v>
      </c>
      <c r="M76" s="35">
        <v>369</v>
      </c>
      <c r="N76" s="699">
        <v>6000</v>
      </c>
      <c r="O76" s="78">
        <v>12511</v>
      </c>
    </row>
    <row r="77" spans="3:15" x14ac:dyDescent="0.35">
      <c r="C77" s="47" t="s">
        <v>134</v>
      </c>
      <c r="D77" s="35">
        <v>0</v>
      </c>
      <c r="E77" s="35">
        <v>754</v>
      </c>
      <c r="F77" s="35">
        <v>2328</v>
      </c>
      <c r="G77" s="35">
        <v>3782</v>
      </c>
      <c r="H77" s="35">
        <v>5158</v>
      </c>
      <c r="I77" s="35">
        <v>4539</v>
      </c>
      <c r="J77" s="35">
        <v>3010</v>
      </c>
      <c r="K77" s="35">
        <v>1730</v>
      </c>
      <c r="L77" s="35">
        <v>790</v>
      </c>
      <c r="M77" s="35">
        <v>244</v>
      </c>
      <c r="N77" s="47">
        <v>12022</v>
      </c>
      <c r="O77" s="123">
        <v>22335</v>
      </c>
    </row>
    <row r="78" spans="3:15" x14ac:dyDescent="0.35">
      <c r="C78" s="47" t="s">
        <v>192</v>
      </c>
      <c r="D78" s="35">
        <v>0</v>
      </c>
      <c r="E78" s="35">
        <v>68</v>
      </c>
      <c r="F78" s="35">
        <v>1363</v>
      </c>
      <c r="G78" s="35">
        <v>2433</v>
      </c>
      <c r="H78" s="35">
        <v>2803</v>
      </c>
      <c r="I78" s="35">
        <v>1741</v>
      </c>
      <c r="J78" s="35">
        <v>570</v>
      </c>
      <c r="K78" s="35">
        <v>35</v>
      </c>
      <c r="L78" s="35">
        <v>0</v>
      </c>
      <c r="M78" s="35">
        <v>0</v>
      </c>
      <c r="N78" s="47">
        <v>6667</v>
      </c>
      <c r="O78" s="123">
        <v>9013</v>
      </c>
    </row>
    <row r="79" spans="3:15" x14ac:dyDescent="0.35">
      <c r="C79" s="47" t="s">
        <v>52</v>
      </c>
      <c r="D79" s="35">
        <v>0</v>
      </c>
      <c r="E79" s="35">
        <v>81</v>
      </c>
      <c r="F79" s="35">
        <v>350</v>
      </c>
      <c r="G79" s="35">
        <v>1354</v>
      </c>
      <c r="H79" s="35">
        <v>2869</v>
      </c>
      <c r="I79" s="35">
        <v>3890</v>
      </c>
      <c r="J79" s="35">
        <v>3430</v>
      </c>
      <c r="K79" s="35">
        <v>2260</v>
      </c>
      <c r="L79" s="35">
        <v>1320</v>
      </c>
      <c r="M79" s="35">
        <v>665</v>
      </c>
      <c r="N79" s="47">
        <v>4654</v>
      </c>
      <c r="O79" s="123">
        <v>16219</v>
      </c>
    </row>
    <row r="80" spans="3:15" x14ac:dyDescent="0.35">
      <c r="C80" s="47" t="s">
        <v>57</v>
      </c>
      <c r="D80" s="35">
        <v>0</v>
      </c>
      <c r="E80" s="35">
        <v>794</v>
      </c>
      <c r="F80" s="35">
        <v>3183</v>
      </c>
      <c r="G80" s="35">
        <v>5818</v>
      </c>
      <c r="H80" s="35">
        <v>7253</v>
      </c>
      <c r="I80" s="35">
        <v>5628</v>
      </c>
      <c r="J80" s="35">
        <v>1977</v>
      </c>
      <c r="K80" s="35">
        <v>229</v>
      </c>
      <c r="L80" s="35">
        <v>33</v>
      </c>
      <c r="M80" s="35">
        <v>1</v>
      </c>
      <c r="N80" s="47">
        <v>17048</v>
      </c>
      <c r="O80" s="123">
        <v>24916</v>
      </c>
    </row>
    <row r="81" spans="1:16" x14ac:dyDescent="0.35">
      <c r="C81" s="47"/>
      <c r="N81" s="124"/>
      <c r="O81" s="125"/>
    </row>
    <row r="82" spans="1:16" x14ac:dyDescent="0.35">
      <c r="C82" s="1785" t="s">
        <v>1408</v>
      </c>
      <c r="D82" s="1786"/>
      <c r="E82" s="1786"/>
      <c r="F82" s="1786"/>
      <c r="G82" s="1786"/>
      <c r="H82" s="1786"/>
      <c r="I82" s="1786"/>
      <c r="J82" s="1786"/>
      <c r="K82" s="1786"/>
      <c r="L82" s="1786"/>
      <c r="M82" s="1786"/>
      <c r="N82" s="1786"/>
      <c r="O82" s="1787"/>
    </row>
    <row r="83" spans="1:16" x14ac:dyDescent="0.35">
      <c r="C83" s="47" t="s">
        <v>1410</v>
      </c>
      <c r="D83" s="35">
        <f t="shared" ref="D83:O83" si="6">SUM(D43:D57)</f>
        <v>0</v>
      </c>
      <c r="E83" s="35">
        <f t="shared" si="6"/>
        <v>35317</v>
      </c>
      <c r="F83" s="35">
        <f t="shared" si="6"/>
        <v>36033</v>
      </c>
      <c r="G83" s="35">
        <f t="shared" si="6"/>
        <v>21076</v>
      </c>
      <c r="H83" s="35">
        <f t="shared" si="6"/>
        <v>13346</v>
      </c>
      <c r="I83" s="35">
        <f t="shared" si="6"/>
        <v>27508</v>
      </c>
      <c r="J83" s="35">
        <f t="shared" si="6"/>
        <v>35850</v>
      </c>
      <c r="K83" s="35">
        <f t="shared" si="6"/>
        <v>18640</v>
      </c>
      <c r="L83" s="35">
        <f t="shared" si="6"/>
        <v>8394</v>
      </c>
      <c r="M83" s="35">
        <f t="shared" si="6"/>
        <v>7982</v>
      </c>
      <c r="N83" s="35">
        <f t="shared" si="6"/>
        <v>105769</v>
      </c>
      <c r="O83" s="35">
        <f t="shared" si="6"/>
        <v>204144</v>
      </c>
    </row>
    <row r="84" spans="1:16" x14ac:dyDescent="0.35">
      <c r="C84" s="47" t="s">
        <v>486</v>
      </c>
      <c r="D84" s="35">
        <f>SUM(D58:D59)</f>
        <v>0</v>
      </c>
      <c r="E84" s="35">
        <f t="shared" ref="E84:O84" si="7">SUM(E58:E59)</f>
        <v>-3155</v>
      </c>
      <c r="F84" s="35">
        <f t="shared" si="7"/>
        <v>-2231</v>
      </c>
      <c r="G84" s="35">
        <f t="shared" si="7"/>
        <v>-1608</v>
      </c>
      <c r="H84" s="35">
        <f t="shared" si="7"/>
        <v>-770</v>
      </c>
      <c r="I84" s="35">
        <f t="shared" si="7"/>
        <v>-983</v>
      </c>
      <c r="J84" s="35">
        <f t="shared" si="7"/>
        <v>-1211</v>
      </c>
      <c r="K84" s="35">
        <f t="shared" si="7"/>
        <v>-1471</v>
      </c>
      <c r="L84" s="35">
        <f t="shared" si="7"/>
        <v>-1810</v>
      </c>
      <c r="M84" s="35">
        <f t="shared" si="7"/>
        <v>-2325</v>
      </c>
      <c r="N84" s="35">
        <f t="shared" si="7"/>
        <v>-7767</v>
      </c>
      <c r="O84" s="35">
        <f t="shared" si="7"/>
        <v>-15566</v>
      </c>
    </row>
    <row r="85" spans="1:16" x14ac:dyDescent="0.35">
      <c r="C85" s="47" t="s">
        <v>239</v>
      </c>
      <c r="D85" s="35">
        <f>SUM(D60:D64)</f>
        <v>0</v>
      </c>
      <c r="E85" s="35">
        <f t="shared" ref="E85:O85" si="8">SUM(E60:E64)</f>
        <v>452</v>
      </c>
      <c r="F85" s="35">
        <f t="shared" si="8"/>
        <v>-8670</v>
      </c>
      <c r="G85" s="35">
        <f t="shared" si="8"/>
        <v>-4527</v>
      </c>
      <c r="H85" s="35">
        <f t="shared" si="8"/>
        <v>-705</v>
      </c>
      <c r="I85" s="35">
        <f t="shared" si="8"/>
        <v>15813</v>
      </c>
      <c r="J85" s="35">
        <f t="shared" si="8"/>
        <v>20372</v>
      </c>
      <c r="K85" s="35">
        <f t="shared" si="8"/>
        <v>24847</v>
      </c>
      <c r="L85" s="35">
        <f t="shared" si="8"/>
        <v>28113</v>
      </c>
      <c r="M85" s="35">
        <f t="shared" si="8"/>
        <v>24777</v>
      </c>
      <c r="N85" s="35">
        <f t="shared" si="8"/>
        <v>-13451</v>
      </c>
      <c r="O85" s="35">
        <f t="shared" si="8"/>
        <v>100468</v>
      </c>
    </row>
    <row r="87" spans="1:16" x14ac:dyDescent="0.35">
      <c r="A87" s="60" t="s">
        <v>1387</v>
      </c>
    </row>
    <row r="88" spans="1:16" x14ac:dyDescent="0.35">
      <c r="A88" s="940" t="s">
        <v>1194</v>
      </c>
      <c r="B88" s="941" t="s">
        <v>1195</v>
      </c>
      <c r="C88" s="942">
        <v>2022</v>
      </c>
      <c r="D88" s="942">
        <v>2023</v>
      </c>
      <c r="E88" s="942">
        <v>2024</v>
      </c>
      <c r="F88" s="942">
        <v>2025</v>
      </c>
      <c r="G88" s="942">
        <v>2026</v>
      </c>
      <c r="H88" s="942">
        <v>2027</v>
      </c>
      <c r="I88" s="942">
        <v>2028</v>
      </c>
      <c r="J88" s="942">
        <v>2029</v>
      </c>
      <c r="K88" s="942">
        <v>2030</v>
      </c>
      <c r="L88" s="942">
        <v>2031</v>
      </c>
      <c r="M88" s="943" t="s">
        <v>1196</v>
      </c>
      <c r="N88" s="943" t="s">
        <v>1197</v>
      </c>
      <c r="O88" s="944" t="s">
        <v>1198</v>
      </c>
      <c r="P88" s="945" t="s">
        <v>1199</v>
      </c>
    </row>
    <row r="89" spans="1:16" x14ac:dyDescent="0.35">
      <c r="A89" s="946" t="s">
        <v>1200</v>
      </c>
      <c r="B89" s="947" t="s">
        <v>1201</v>
      </c>
      <c r="C89" s="948">
        <v>0</v>
      </c>
      <c r="D89" s="948">
        <v>3</v>
      </c>
      <c r="E89" s="948">
        <v>3</v>
      </c>
      <c r="F89" s="948">
        <v>3</v>
      </c>
      <c r="G89" s="948">
        <v>3</v>
      </c>
      <c r="H89" s="948">
        <v>1</v>
      </c>
      <c r="I89" s="948">
        <v>0</v>
      </c>
      <c r="J89" s="948">
        <v>0</v>
      </c>
      <c r="K89" s="948">
        <v>0</v>
      </c>
      <c r="L89" s="948">
        <v>0</v>
      </c>
      <c r="M89" s="948">
        <v>12</v>
      </c>
      <c r="N89" s="948">
        <v>13</v>
      </c>
      <c r="O89" s="949" t="s">
        <v>1202</v>
      </c>
      <c r="P89" s="950"/>
    </row>
    <row r="90" spans="1:16" ht="24" customHeight="1" x14ac:dyDescent="0.35">
      <c r="A90" s="946" t="s">
        <v>1203</v>
      </c>
      <c r="B90" s="947" t="s">
        <v>1204</v>
      </c>
      <c r="C90" s="948">
        <v>0</v>
      </c>
      <c r="D90" s="948">
        <v>65</v>
      </c>
      <c r="E90" s="948">
        <v>1360</v>
      </c>
      <c r="F90" s="948">
        <v>2430</v>
      </c>
      <c r="G90" s="948">
        <v>2800</v>
      </c>
      <c r="H90" s="948">
        <v>1740</v>
      </c>
      <c r="I90" s="948">
        <v>570</v>
      </c>
      <c r="J90" s="948">
        <v>35</v>
      </c>
      <c r="K90" s="948">
        <v>0</v>
      </c>
      <c r="L90" s="948">
        <v>0</v>
      </c>
      <c r="M90" s="948">
        <v>6655</v>
      </c>
      <c r="N90" s="948">
        <v>9000</v>
      </c>
      <c r="O90" s="949" t="s">
        <v>1202</v>
      </c>
      <c r="P90" s="951"/>
    </row>
    <row r="91" spans="1:16" x14ac:dyDescent="0.35">
      <c r="A91" s="952" t="s">
        <v>1205</v>
      </c>
      <c r="B91" s="953" t="s">
        <v>1206</v>
      </c>
      <c r="C91" s="954">
        <v>0</v>
      </c>
      <c r="D91" s="954">
        <v>0</v>
      </c>
      <c r="E91" s="954">
        <v>601</v>
      </c>
      <c r="F91" s="955">
        <v>1038</v>
      </c>
      <c r="G91" s="955">
        <v>1251</v>
      </c>
      <c r="H91" s="955">
        <v>1431</v>
      </c>
      <c r="I91" s="955">
        <v>1492</v>
      </c>
      <c r="J91" s="955">
        <v>1530</v>
      </c>
      <c r="K91" s="955">
        <v>1567</v>
      </c>
      <c r="L91" s="955">
        <v>1606</v>
      </c>
      <c r="M91" s="955">
        <v>2890</v>
      </c>
      <c r="N91" s="955">
        <v>10516</v>
      </c>
      <c r="O91" s="956" t="s">
        <v>1207</v>
      </c>
      <c r="P91" s="957"/>
    </row>
    <row r="92" spans="1:16" x14ac:dyDescent="0.35">
      <c r="A92" s="958" t="s">
        <v>1208</v>
      </c>
      <c r="B92" s="959" t="s">
        <v>1209</v>
      </c>
      <c r="C92" s="920">
        <v>0</v>
      </c>
      <c r="D92" s="920">
        <v>30</v>
      </c>
      <c r="E92" s="920">
        <v>120</v>
      </c>
      <c r="F92" s="920">
        <v>165</v>
      </c>
      <c r="G92" s="920">
        <v>370</v>
      </c>
      <c r="H92" s="920">
        <v>470</v>
      </c>
      <c r="I92" s="920">
        <v>420</v>
      </c>
      <c r="J92" s="920">
        <v>285</v>
      </c>
      <c r="K92" s="920">
        <v>220</v>
      </c>
      <c r="L92" s="921">
        <v>65</v>
      </c>
      <c r="M92" s="920">
        <v>685</v>
      </c>
      <c r="N92" s="960">
        <v>2145</v>
      </c>
      <c r="O92" s="961" t="s">
        <v>1210</v>
      </c>
      <c r="P92" s="962" t="s">
        <v>1211</v>
      </c>
    </row>
    <row r="93" spans="1:16" x14ac:dyDescent="0.35">
      <c r="A93" s="946" t="s">
        <v>1212</v>
      </c>
      <c r="B93" s="947" t="s">
        <v>1213</v>
      </c>
      <c r="C93" s="948">
        <v>0</v>
      </c>
      <c r="D93" s="948">
        <v>2</v>
      </c>
      <c r="E93" s="948">
        <v>10</v>
      </c>
      <c r="F93" s="948">
        <v>25</v>
      </c>
      <c r="G93" s="948">
        <v>28</v>
      </c>
      <c r="H93" s="948">
        <v>17</v>
      </c>
      <c r="I93" s="948">
        <v>11</v>
      </c>
      <c r="J93" s="948">
        <v>4</v>
      </c>
      <c r="K93" s="948">
        <v>2</v>
      </c>
      <c r="L93" s="948">
        <v>1</v>
      </c>
      <c r="M93" s="948">
        <v>65</v>
      </c>
      <c r="N93" s="948">
        <v>100</v>
      </c>
      <c r="O93" s="949" t="s">
        <v>1210</v>
      </c>
      <c r="P93" s="950" t="s">
        <v>1214</v>
      </c>
    </row>
    <row r="94" spans="1:16" ht="24" customHeight="1" x14ac:dyDescent="0.35">
      <c r="A94" s="963" t="s">
        <v>1215</v>
      </c>
      <c r="B94" s="964" t="s">
        <v>1216</v>
      </c>
      <c r="C94" s="948">
        <v>0</v>
      </c>
      <c r="D94" s="948">
        <v>36</v>
      </c>
      <c r="E94" s="948">
        <v>30</v>
      </c>
      <c r="F94" s="948">
        <v>14</v>
      </c>
      <c r="G94" s="948">
        <v>7</v>
      </c>
      <c r="H94" s="948">
        <v>0</v>
      </c>
      <c r="I94" s="948">
        <v>0</v>
      </c>
      <c r="J94" s="948">
        <v>0</v>
      </c>
      <c r="K94" s="948">
        <v>0</v>
      </c>
      <c r="L94" s="948">
        <v>0</v>
      </c>
      <c r="M94" s="948">
        <v>87</v>
      </c>
      <c r="N94" s="948">
        <v>87</v>
      </c>
      <c r="O94" s="949" t="s">
        <v>1210</v>
      </c>
      <c r="P94" s="950" t="s">
        <v>1217</v>
      </c>
    </row>
    <row r="95" spans="1:16" x14ac:dyDescent="0.35">
      <c r="A95" s="946" t="s">
        <v>1218</v>
      </c>
      <c r="B95" s="947" t="s">
        <v>1219</v>
      </c>
      <c r="C95" s="948">
        <v>0</v>
      </c>
      <c r="D95" s="965">
        <v>5240</v>
      </c>
      <c r="E95" s="965">
        <v>4175</v>
      </c>
      <c r="F95" s="965">
        <v>5215</v>
      </c>
      <c r="G95" s="965">
        <v>6493</v>
      </c>
      <c r="H95" s="965">
        <v>7982</v>
      </c>
      <c r="I95" s="965">
        <v>9820</v>
      </c>
      <c r="J95" s="965">
        <v>11813</v>
      </c>
      <c r="K95" s="965">
        <v>14269</v>
      </c>
      <c r="L95" s="965">
        <v>14605</v>
      </c>
      <c r="M95" s="965">
        <v>21123</v>
      </c>
      <c r="N95" s="965">
        <v>79612</v>
      </c>
      <c r="O95" s="966" t="s">
        <v>1210</v>
      </c>
      <c r="P95" s="950"/>
    </row>
    <row r="96" spans="1:16" x14ac:dyDescent="0.35">
      <c r="A96" s="946" t="s">
        <v>1220</v>
      </c>
      <c r="B96" s="947" t="s">
        <v>1221</v>
      </c>
      <c r="C96" s="967">
        <v>0</v>
      </c>
      <c r="D96" s="967">
        <v>55</v>
      </c>
      <c r="E96" s="967">
        <v>55</v>
      </c>
      <c r="F96" s="967">
        <v>55</v>
      </c>
      <c r="G96" s="967">
        <v>55</v>
      </c>
      <c r="H96" s="967">
        <v>55</v>
      </c>
      <c r="I96" s="967">
        <v>55</v>
      </c>
      <c r="J96" s="967">
        <v>55</v>
      </c>
      <c r="K96" s="967">
        <v>55</v>
      </c>
      <c r="L96" s="967">
        <v>55</v>
      </c>
      <c r="M96" s="967">
        <v>220</v>
      </c>
      <c r="N96" s="967">
        <v>495</v>
      </c>
      <c r="O96" s="968" t="s">
        <v>1210</v>
      </c>
      <c r="P96" s="951"/>
    </row>
    <row r="97" spans="1:16" x14ac:dyDescent="0.35">
      <c r="A97" s="946" t="s">
        <v>1222</v>
      </c>
      <c r="B97" s="947" t="s">
        <v>1223</v>
      </c>
      <c r="C97" s="948">
        <v>0</v>
      </c>
      <c r="D97" s="948">
        <v>19</v>
      </c>
      <c r="E97" s="948">
        <v>26</v>
      </c>
      <c r="F97" s="948">
        <v>27</v>
      </c>
      <c r="G97" s="948">
        <v>17</v>
      </c>
      <c r="H97" s="948">
        <v>7</v>
      </c>
      <c r="I97" s="948">
        <v>3</v>
      </c>
      <c r="J97" s="948">
        <v>1</v>
      </c>
      <c r="K97" s="948">
        <v>0</v>
      </c>
      <c r="L97" s="948">
        <v>0</v>
      </c>
      <c r="M97" s="948">
        <v>89</v>
      </c>
      <c r="N97" s="948">
        <v>100</v>
      </c>
      <c r="O97" s="966" t="s">
        <v>1210</v>
      </c>
      <c r="P97" s="951"/>
    </row>
    <row r="98" spans="1:16" x14ac:dyDescent="0.35">
      <c r="A98" s="946" t="s">
        <v>1224</v>
      </c>
      <c r="B98" s="947" t="s">
        <v>1225</v>
      </c>
      <c r="C98" s="948">
        <v>0</v>
      </c>
      <c r="D98" s="948">
        <v>15</v>
      </c>
      <c r="E98" s="948">
        <v>15</v>
      </c>
      <c r="F98" s="948">
        <v>15</v>
      </c>
      <c r="G98" s="948">
        <v>10</v>
      </c>
      <c r="H98" s="948">
        <v>10</v>
      </c>
      <c r="I98" s="948">
        <v>10</v>
      </c>
      <c r="J98" s="948">
        <v>10</v>
      </c>
      <c r="K98" s="948">
        <v>10</v>
      </c>
      <c r="L98" s="948">
        <v>5</v>
      </c>
      <c r="M98" s="948">
        <v>55</v>
      </c>
      <c r="N98" s="948">
        <v>100</v>
      </c>
      <c r="O98" s="949" t="s">
        <v>1210</v>
      </c>
      <c r="P98" s="951"/>
    </row>
    <row r="99" spans="1:16" ht="36" customHeight="1" x14ac:dyDescent="0.35">
      <c r="A99" s="946" t="s">
        <v>1226</v>
      </c>
      <c r="B99" s="947" t="s">
        <v>1227</v>
      </c>
      <c r="C99" s="969">
        <v>0</v>
      </c>
      <c r="D99" s="969">
        <v>22</v>
      </c>
      <c r="E99" s="969">
        <v>96</v>
      </c>
      <c r="F99" s="969">
        <v>170</v>
      </c>
      <c r="G99" s="969">
        <v>213</v>
      </c>
      <c r="H99" s="969">
        <v>160</v>
      </c>
      <c r="I99" s="969">
        <v>47</v>
      </c>
      <c r="J99" s="969">
        <v>2</v>
      </c>
      <c r="K99" s="969">
        <v>0</v>
      </c>
      <c r="L99" s="969">
        <v>0</v>
      </c>
      <c r="M99" s="969">
        <v>501</v>
      </c>
      <c r="N99" s="969">
        <v>710</v>
      </c>
      <c r="O99" s="948" t="s">
        <v>1210</v>
      </c>
      <c r="P99" s="951"/>
    </row>
    <row r="100" spans="1:16" ht="36" customHeight="1" x14ac:dyDescent="0.35">
      <c r="A100" s="946" t="s">
        <v>1228</v>
      </c>
      <c r="B100" s="947" t="s">
        <v>1229</v>
      </c>
      <c r="C100" s="970"/>
      <c r="D100" s="970">
        <v>90</v>
      </c>
      <c r="E100" s="970">
        <v>260</v>
      </c>
      <c r="F100" s="970">
        <v>427</v>
      </c>
      <c r="G100" s="970">
        <v>560</v>
      </c>
      <c r="H100" s="970">
        <v>572</v>
      </c>
      <c r="I100" s="970">
        <v>534</v>
      </c>
      <c r="J100" s="970">
        <v>275</v>
      </c>
      <c r="K100" s="970">
        <v>162</v>
      </c>
      <c r="L100" s="970">
        <v>70</v>
      </c>
      <c r="M100" s="970">
        <v>1347</v>
      </c>
      <c r="N100" s="970">
        <v>2960</v>
      </c>
      <c r="O100" s="971" t="s">
        <v>1210</v>
      </c>
      <c r="P100" s="951"/>
    </row>
    <row r="101" spans="1:16" x14ac:dyDescent="0.35">
      <c r="A101" s="946" t="s">
        <v>1230</v>
      </c>
      <c r="B101" s="947" t="s">
        <v>1231</v>
      </c>
      <c r="C101" s="948">
        <v>0</v>
      </c>
      <c r="D101" s="948">
        <v>40</v>
      </c>
      <c r="E101" s="948">
        <v>60</v>
      </c>
      <c r="F101" s="948">
        <v>52</v>
      </c>
      <c r="G101" s="948">
        <v>40</v>
      </c>
      <c r="H101" s="948">
        <v>27</v>
      </c>
      <c r="I101" s="948">
        <v>19</v>
      </c>
      <c r="J101" s="948">
        <v>10</v>
      </c>
      <c r="K101" s="948">
        <v>2</v>
      </c>
      <c r="L101" s="948">
        <v>0</v>
      </c>
      <c r="M101" s="948">
        <v>192</v>
      </c>
      <c r="N101" s="948">
        <v>250</v>
      </c>
      <c r="O101" s="949" t="s">
        <v>1210</v>
      </c>
      <c r="P101" s="951"/>
    </row>
    <row r="102" spans="1:16" x14ac:dyDescent="0.35">
      <c r="A102" s="963" t="s">
        <v>1232</v>
      </c>
      <c r="B102" s="964" t="s">
        <v>1233</v>
      </c>
      <c r="C102" s="948">
        <v>0</v>
      </c>
      <c r="D102" s="948">
        <v>49</v>
      </c>
      <c r="E102" s="948">
        <v>62</v>
      </c>
      <c r="F102" s="948">
        <v>62</v>
      </c>
      <c r="G102" s="948">
        <v>62</v>
      </c>
      <c r="H102" s="948">
        <v>63</v>
      </c>
      <c r="I102" s="948">
        <v>63</v>
      </c>
      <c r="J102" s="948">
        <v>63</v>
      </c>
      <c r="K102" s="948">
        <v>64</v>
      </c>
      <c r="L102" s="948">
        <v>12</v>
      </c>
      <c r="M102" s="948">
        <v>235</v>
      </c>
      <c r="N102" s="948">
        <v>500</v>
      </c>
      <c r="O102" s="949" t="s">
        <v>1210</v>
      </c>
      <c r="P102" s="951"/>
    </row>
    <row r="103" spans="1:16" x14ac:dyDescent="0.35">
      <c r="A103" s="946" t="s">
        <v>1234</v>
      </c>
      <c r="B103" s="947" t="s">
        <v>1235</v>
      </c>
      <c r="C103" s="948">
        <v>0</v>
      </c>
      <c r="D103" s="948">
        <v>0</v>
      </c>
      <c r="E103" s="948">
        <v>0</v>
      </c>
      <c r="F103" s="948">
        <v>0</v>
      </c>
      <c r="G103" s="948">
        <v>-20</v>
      </c>
      <c r="H103" s="948">
        <v>-28</v>
      </c>
      <c r="I103" s="948">
        <v>-28</v>
      </c>
      <c r="J103" s="948">
        <v>-28</v>
      </c>
      <c r="K103" s="948">
        <v>-28</v>
      </c>
      <c r="L103" s="948">
        <v>-28</v>
      </c>
      <c r="M103" s="948">
        <v>-20</v>
      </c>
      <c r="N103" s="948">
        <v>-160</v>
      </c>
      <c r="O103" s="949" t="s">
        <v>1210</v>
      </c>
      <c r="P103" s="951"/>
    </row>
    <row r="104" spans="1:16" ht="24" customHeight="1" x14ac:dyDescent="0.35">
      <c r="A104" s="946" t="s">
        <v>1236</v>
      </c>
      <c r="B104" s="947" t="s">
        <v>1237</v>
      </c>
      <c r="C104" s="948">
        <v>0</v>
      </c>
      <c r="D104" s="948">
        <v>-235</v>
      </c>
      <c r="E104" s="948">
        <v>-44</v>
      </c>
      <c r="F104" s="948">
        <v>-22</v>
      </c>
      <c r="G104" s="948">
        <v>-26</v>
      </c>
      <c r="H104" s="948">
        <v>-23</v>
      </c>
      <c r="I104" s="948">
        <v>-19</v>
      </c>
      <c r="J104" s="948">
        <v>-41</v>
      </c>
      <c r="K104" s="948">
        <v>-35</v>
      </c>
      <c r="L104" s="948">
        <v>-39</v>
      </c>
      <c r="M104" s="948">
        <v>-327</v>
      </c>
      <c r="N104" s="948">
        <v>-484</v>
      </c>
      <c r="O104" s="949" t="s">
        <v>1210</v>
      </c>
      <c r="P104" s="951"/>
    </row>
    <row r="105" spans="1:16" x14ac:dyDescent="0.35">
      <c r="A105" s="946" t="s">
        <v>1238</v>
      </c>
      <c r="B105" s="947" t="s">
        <v>1239</v>
      </c>
      <c r="C105" s="948">
        <v>0</v>
      </c>
      <c r="D105" s="948">
        <v>7</v>
      </c>
      <c r="E105" s="948">
        <v>8</v>
      </c>
      <c r="F105" s="948">
        <v>6</v>
      </c>
      <c r="G105" s="948">
        <v>2</v>
      </c>
      <c r="H105" s="948">
        <v>1</v>
      </c>
      <c r="I105" s="948">
        <v>0</v>
      </c>
      <c r="J105" s="948">
        <v>0</v>
      </c>
      <c r="K105" s="948">
        <v>0</v>
      </c>
      <c r="L105" s="948">
        <v>0</v>
      </c>
      <c r="M105" s="948">
        <v>23</v>
      </c>
      <c r="N105" s="948">
        <v>24</v>
      </c>
      <c r="O105" s="949" t="s">
        <v>1210</v>
      </c>
      <c r="P105" s="951"/>
    </row>
    <row r="106" spans="1:16" ht="36" customHeight="1" x14ac:dyDescent="0.35">
      <c r="A106" s="946" t="s">
        <v>1240</v>
      </c>
      <c r="B106" s="947" t="s">
        <v>1241</v>
      </c>
      <c r="C106" s="948">
        <v>0</v>
      </c>
      <c r="D106" s="948">
        <v>50</v>
      </c>
      <c r="E106" s="948">
        <v>77</v>
      </c>
      <c r="F106" s="948">
        <v>87</v>
      </c>
      <c r="G106" s="948">
        <v>81</v>
      </c>
      <c r="H106" s="948">
        <v>50</v>
      </c>
      <c r="I106" s="948">
        <v>30</v>
      </c>
      <c r="J106" s="948">
        <v>10</v>
      </c>
      <c r="K106" s="948">
        <v>0</v>
      </c>
      <c r="L106" s="948">
        <v>0</v>
      </c>
      <c r="M106" s="948">
        <v>295</v>
      </c>
      <c r="N106" s="948">
        <v>385</v>
      </c>
      <c r="O106" s="949" t="s">
        <v>1210</v>
      </c>
      <c r="P106" s="951"/>
    </row>
    <row r="107" spans="1:16" x14ac:dyDescent="0.35">
      <c r="A107" s="963" t="s">
        <v>1242</v>
      </c>
      <c r="B107" s="964" t="s">
        <v>1243</v>
      </c>
      <c r="C107" s="948">
        <v>0</v>
      </c>
      <c r="D107" s="948">
        <v>3</v>
      </c>
      <c r="E107" s="948">
        <v>2</v>
      </c>
      <c r="F107" s="948">
        <v>0</v>
      </c>
      <c r="G107" s="948">
        <v>0</v>
      </c>
      <c r="H107" s="948">
        <v>0</v>
      </c>
      <c r="I107" s="948">
        <v>0</v>
      </c>
      <c r="J107" s="948">
        <v>0</v>
      </c>
      <c r="K107" s="948">
        <v>0</v>
      </c>
      <c r="L107" s="948">
        <v>0</v>
      </c>
      <c r="M107" s="948">
        <v>5</v>
      </c>
      <c r="N107" s="948">
        <v>5</v>
      </c>
      <c r="O107" s="949" t="s">
        <v>1244</v>
      </c>
      <c r="P107" s="951"/>
    </row>
    <row r="108" spans="1:16" x14ac:dyDescent="0.35">
      <c r="A108" s="963" t="s">
        <v>1245</v>
      </c>
      <c r="B108" s="964" t="s">
        <v>1246</v>
      </c>
      <c r="C108" s="948">
        <v>0</v>
      </c>
      <c r="D108" s="948">
        <v>70</v>
      </c>
      <c r="E108" s="948">
        <v>80</v>
      </c>
      <c r="F108" s="948">
        <v>62</v>
      </c>
      <c r="G108" s="948">
        <v>25</v>
      </c>
      <c r="H108" s="948">
        <v>13</v>
      </c>
      <c r="I108" s="948">
        <v>0</v>
      </c>
      <c r="J108" s="948">
        <v>0</v>
      </c>
      <c r="K108" s="948">
        <v>0</v>
      </c>
      <c r="L108" s="948">
        <v>0</v>
      </c>
      <c r="M108" s="948">
        <v>237</v>
      </c>
      <c r="N108" s="948">
        <v>250</v>
      </c>
      <c r="O108" s="949" t="s">
        <v>1244</v>
      </c>
      <c r="P108" s="951"/>
    </row>
    <row r="109" spans="1:16" ht="24" customHeight="1" x14ac:dyDescent="0.35">
      <c r="A109" s="963" t="s">
        <v>1247</v>
      </c>
      <c r="B109" s="964" t="s">
        <v>1248</v>
      </c>
      <c r="C109" s="967">
        <v>0</v>
      </c>
      <c r="D109" s="967">
        <v>33</v>
      </c>
      <c r="E109" s="967">
        <v>54</v>
      </c>
      <c r="F109" s="967">
        <v>37</v>
      </c>
      <c r="G109" s="967">
        <v>16</v>
      </c>
      <c r="H109" s="967">
        <v>0</v>
      </c>
      <c r="I109" s="967">
        <v>0</v>
      </c>
      <c r="J109" s="967">
        <v>0</v>
      </c>
      <c r="K109" s="967">
        <v>0</v>
      </c>
      <c r="L109" s="967">
        <v>0</v>
      </c>
      <c r="M109" s="967">
        <v>140</v>
      </c>
      <c r="N109" s="967">
        <v>140</v>
      </c>
      <c r="O109" s="949" t="s">
        <v>1210</v>
      </c>
      <c r="P109" s="951"/>
    </row>
    <row r="110" spans="1:16" x14ac:dyDescent="0.35">
      <c r="A110" s="946" t="s">
        <v>1249</v>
      </c>
      <c r="B110" s="947" t="s">
        <v>1250</v>
      </c>
      <c r="C110" s="948">
        <v>0</v>
      </c>
      <c r="D110" s="948">
        <v>40</v>
      </c>
      <c r="E110" s="948">
        <v>40</v>
      </c>
      <c r="F110" s="948">
        <v>30</v>
      </c>
      <c r="G110" s="948">
        <v>10</v>
      </c>
      <c r="H110" s="948">
        <v>5</v>
      </c>
      <c r="I110" s="948">
        <v>0</v>
      </c>
      <c r="J110" s="948">
        <v>0</v>
      </c>
      <c r="K110" s="948">
        <v>0</v>
      </c>
      <c r="L110" s="948">
        <v>0</v>
      </c>
      <c r="M110" s="948">
        <v>120</v>
      </c>
      <c r="N110" s="948">
        <v>125</v>
      </c>
      <c r="O110" s="949" t="s">
        <v>1210</v>
      </c>
      <c r="P110" s="951"/>
    </row>
    <row r="111" spans="1:16" x14ac:dyDescent="0.35">
      <c r="A111" s="963" t="s">
        <v>1251</v>
      </c>
      <c r="B111" s="947" t="s">
        <v>1252</v>
      </c>
      <c r="C111" s="948">
        <v>0</v>
      </c>
      <c r="D111" s="948">
        <v>5</v>
      </c>
      <c r="E111" s="948">
        <v>8</v>
      </c>
      <c r="F111" s="948">
        <v>8</v>
      </c>
      <c r="G111" s="948">
        <v>8</v>
      </c>
      <c r="H111" s="948">
        <v>4</v>
      </c>
      <c r="I111" s="948">
        <v>0</v>
      </c>
      <c r="J111" s="948">
        <v>0</v>
      </c>
      <c r="K111" s="948">
        <v>0</v>
      </c>
      <c r="L111" s="948">
        <v>0</v>
      </c>
      <c r="M111" s="948">
        <v>29</v>
      </c>
      <c r="N111" s="948">
        <v>33</v>
      </c>
      <c r="O111" s="949" t="s">
        <v>1210</v>
      </c>
      <c r="P111" s="951"/>
    </row>
    <row r="112" spans="1:16" x14ac:dyDescent="0.35">
      <c r="A112" s="946" t="s">
        <v>1253</v>
      </c>
      <c r="B112" s="964" t="s">
        <v>1254</v>
      </c>
      <c r="C112" s="948">
        <v>0</v>
      </c>
      <c r="D112" s="948">
        <v>3</v>
      </c>
      <c r="E112" s="948">
        <v>8</v>
      </c>
      <c r="F112" s="948">
        <v>8</v>
      </c>
      <c r="G112" s="948">
        <v>8</v>
      </c>
      <c r="H112" s="948">
        <v>3</v>
      </c>
      <c r="I112" s="948">
        <v>0</v>
      </c>
      <c r="J112" s="948">
        <v>0</v>
      </c>
      <c r="K112" s="948">
        <v>0</v>
      </c>
      <c r="L112" s="948">
        <v>0</v>
      </c>
      <c r="M112" s="948">
        <v>27</v>
      </c>
      <c r="N112" s="948">
        <v>30</v>
      </c>
      <c r="O112" s="949" t="s">
        <v>1210</v>
      </c>
      <c r="P112" s="951"/>
    </row>
    <row r="113" spans="1:16" ht="24" customHeight="1" x14ac:dyDescent="0.35">
      <c r="A113" s="946" t="s">
        <v>1255</v>
      </c>
      <c r="B113" s="947" t="s">
        <v>1256</v>
      </c>
      <c r="C113" s="967">
        <v>0</v>
      </c>
      <c r="D113" s="967">
        <v>165</v>
      </c>
      <c r="E113" s="967">
        <v>165</v>
      </c>
      <c r="F113" s="967">
        <v>230</v>
      </c>
      <c r="G113" s="967">
        <v>340</v>
      </c>
      <c r="H113" s="967">
        <v>490</v>
      </c>
      <c r="I113" s="967">
        <v>540</v>
      </c>
      <c r="J113" s="967">
        <v>640</v>
      </c>
      <c r="K113" s="967">
        <v>475</v>
      </c>
      <c r="L113" s="967">
        <v>330</v>
      </c>
      <c r="M113" s="967">
        <v>900</v>
      </c>
      <c r="N113" s="967">
        <v>3375</v>
      </c>
      <c r="O113" s="966" t="s">
        <v>1210</v>
      </c>
      <c r="P113" s="951"/>
    </row>
    <row r="114" spans="1:16" ht="24" customHeight="1" x14ac:dyDescent="0.35">
      <c r="A114" s="972" t="s">
        <v>1226</v>
      </c>
      <c r="B114" s="973" t="s">
        <v>1257</v>
      </c>
      <c r="C114" s="948">
        <v>0</v>
      </c>
      <c r="D114" s="948">
        <v>195</v>
      </c>
      <c r="E114" s="948">
        <v>448</v>
      </c>
      <c r="F114" s="948">
        <v>641</v>
      </c>
      <c r="G114" s="948">
        <v>716</v>
      </c>
      <c r="H114" s="948">
        <v>681</v>
      </c>
      <c r="I114" s="948">
        <v>528</v>
      </c>
      <c r="J114" s="948">
        <v>421</v>
      </c>
      <c r="K114" s="948">
        <v>323</v>
      </c>
      <c r="L114" s="948">
        <v>23</v>
      </c>
      <c r="M114" s="965">
        <v>2000</v>
      </c>
      <c r="N114" s="965">
        <v>3976</v>
      </c>
      <c r="O114" s="966" t="s">
        <v>1210</v>
      </c>
      <c r="P114" s="974"/>
    </row>
    <row r="115" spans="1:16" ht="30" customHeight="1" x14ac:dyDescent="0.35">
      <c r="A115" s="958" t="s">
        <v>1258</v>
      </c>
      <c r="B115" s="959" t="s">
        <v>1259</v>
      </c>
      <c r="C115" s="975">
        <v>0</v>
      </c>
      <c r="D115" s="975">
        <v>20</v>
      </c>
      <c r="E115" s="975">
        <v>57</v>
      </c>
      <c r="F115" s="975">
        <v>96</v>
      </c>
      <c r="G115" s="975">
        <v>150</v>
      </c>
      <c r="H115" s="975">
        <v>200</v>
      </c>
      <c r="I115" s="975">
        <v>185</v>
      </c>
      <c r="J115" s="975">
        <v>147</v>
      </c>
      <c r="K115" s="975">
        <v>106</v>
      </c>
      <c r="L115" s="975">
        <v>39</v>
      </c>
      <c r="M115" s="975">
        <v>323</v>
      </c>
      <c r="N115" s="976">
        <v>1000</v>
      </c>
      <c r="O115" s="977" t="s">
        <v>1260</v>
      </c>
      <c r="P115" s="978" t="s">
        <v>1261</v>
      </c>
    </row>
    <row r="116" spans="1:16" x14ac:dyDescent="0.35">
      <c r="A116" s="963" t="s">
        <v>1262</v>
      </c>
      <c r="B116" s="947" t="s">
        <v>1263</v>
      </c>
      <c r="C116" s="948">
        <v>0</v>
      </c>
      <c r="D116" s="948">
        <v>15</v>
      </c>
      <c r="E116" s="948">
        <v>53</v>
      </c>
      <c r="F116" s="948">
        <v>57</v>
      </c>
      <c r="G116" s="948">
        <v>48</v>
      </c>
      <c r="H116" s="948">
        <v>43</v>
      </c>
      <c r="I116" s="948">
        <v>17</v>
      </c>
      <c r="J116" s="948">
        <v>2</v>
      </c>
      <c r="K116" s="948">
        <v>0</v>
      </c>
      <c r="L116" s="948">
        <v>0</v>
      </c>
      <c r="M116" s="948">
        <v>173</v>
      </c>
      <c r="N116" s="948">
        <v>235</v>
      </c>
      <c r="O116" s="949" t="s">
        <v>1264</v>
      </c>
      <c r="P116" s="950" t="s">
        <v>1265</v>
      </c>
    </row>
    <row r="117" spans="1:16" x14ac:dyDescent="0.35">
      <c r="A117" s="946" t="s">
        <v>1266</v>
      </c>
      <c r="B117" s="947" t="s">
        <v>1267</v>
      </c>
      <c r="C117" s="948">
        <v>0</v>
      </c>
      <c r="D117" s="948">
        <v>15</v>
      </c>
      <c r="E117" s="948">
        <v>53</v>
      </c>
      <c r="F117" s="948">
        <v>57</v>
      </c>
      <c r="G117" s="948">
        <v>48</v>
      </c>
      <c r="H117" s="948">
        <v>43</v>
      </c>
      <c r="I117" s="948">
        <v>17</v>
      </c>
      <c r="J117" s="948">
        <v>2</v>
      </c>
      <c r="K117" s="948">
        <v>0</v>
      </c>
      <c r="L117" s="948">
        <v>0</v>
      </c>
      <c r="M117" s="948">
        <v>173</v>
      </c>
      <c r="N117" s="948">
        <v>235</v>
      </c>
      <c r="O117" s="949" t="s">
        <v>1264</v>
      </c>
      <c r="P117" s="950" t="s">
        <v>1265</v>
      </c>
    </row>
    <row r="118" spans="1:16" x14ac:dyDescent="0.35">
      <c r="A118" s="963" t="s">
        <v>1268</v>
      </c>
      <c r="B118" s="964" t="s">
        <v>1269</v>
      </c>
      <c r="C118" s="948">
        <v>0</v>
      </c>
      <c r="D118" s="948">
        <v>42</v>
      </c>
      <c r="E118" s="948">
        <v>18</v>
      </c>
      <c r="F118" s="948">
        <v>0</v>
      </c>
      <c r="G118" s="948">
        <v>0</v>
      </c>
      <c r="H118" s="948">
        <v>0</v>
      </c>
      <c r="I118" s="948">
        <v>0</v>
      </c>
      <c r="J118" s="948">
        <v>0</v>
      </c>
      <c r="K118" s="948">
        <v>0</v>
      </c>
      <c r="L118" s="948">
        <v>0</v>
      </c>
      <c r="M118" s="948">
        <v>60</v>
      </c>
      <c r="N118" s="948">
        <v>60</v>
      </c>
      <c r="O118" s="949" t="s">
        <v>1260</v>
      </c>
      <c r="P118" s="951" t="s">
        <v>1270</v>
      </c>
    </row>
    <row r="119" spans="1:16" x14ac:dyDescent="0.35">
      <c r="A119" s="946" t="s">
        <v>1271</v>
      </c>
      <c r="B119" s="947" t="s">
        <v>1272</v>
      </c>
      <c r="C119" s="948">
        <v>0</v>
      </c>
      <c r="D119" s="948">
        <v>2</v>
      </c>
      <c r="E119" s="948">
        <v>13</v>
      </c>
      <c r="F119" s="948">
        <v>26</v>
      </c>
      <c r="G119" s="948">
        <v>30</v>
      </c>
      <c r="H119" s="948">
        <v>24</v>
      </c>
      <c r="I119" s="948">
        <v>0</v>
      </c>
      <c r="J119" s="948">
        <v>0</v>
      </c>
      <c r="K119" s="948">
        <v>0</v>
      </c>
      <c r="L119" s="948">
        <v>0</v>
      </c>
      <c r="M119" s="948">
        <v>71</v>
      </c>
      <c r="N119" s="948">
        <v>95</v>
      </c>
      <c r="O119" s="949" t="s">
        <v>1260</v>
      </c>
      <c r="P119" s="950" t="s">
        <v>1273</v>
      </c>
    </row>
    <row r="120" spans="1:16" ht="36" customHeight="1" x14ac:dyDescent="0.35">
      <c r="A120" s="946" t="s">
        <v>1274</v>
      </c>
      <c r="B120" s="947" t="s">
        <v>1275</v>
      </c>
      <c r="C120" s="948">
        <v>0</v>
      </c>
      <c r="D120" s="948">
        <v>3</v>
      </c>
      <c r="E120" s="948">
        <v>19</v>
      </c>
      <c r="F120" s="948">
        <v>67</v>
      </c>
      <c r="G120" s="948">
        <v>86</v>
      </c>
      <c r="H120" s="948">
        <v>59</v>
      </c>
      <c r="I120" s="948">
        <v>35</v>
      </c>
      <c r="J120" s="948">
        <v>19</v>
      </c>
      <c r="K120" s="948">
        <v>6</v>
      </c>
      <c r="L120" s="948">
        <v>0</v>
      </c>
      <c r="M120" s="948">
        <v>175</v>
      </c>
      <c r="N120" s="948">
        <v>294</v>
      </c>
      <c r="O120" s="949" t="s">
        <v>1260</v>
      </c>
      <c r="P120" s="974" t="s">
        <v>1276</v>
      </c>
    </row>
    <row r="121" spans="1:16" x14ac:dyDescent="0.35">
      <c r="A121" s="946" t="s">
        <v>1277</v>
      </c>
      <c r="B121" s="947" t="s">
        <v>1278</v>
      </c>
      <c r="C121" s="948">
        <v>0</v>
      </c>
      <c r="D121" s="948">
        <v>65</v>
      </c>
      <c r="E121" s="948">
        <v>150</v>
      </c>
      <c r="F121" s="948">
        <v>290</v>
      </c>
      <c r="G121" s="948">
        <v>290</v>
      </c>
      <c r="H121" s="948">
        <v>290</v>
      </c>
      <c r="I121" s="948">
        <v>285</v>
      </c>
      <c r="J121" s="948">
        <v>250</v>
      </c>
      <c r="K121" s="948">
        <v>220</v>
      </c>
      <c r="L121" s="948">
        <v>160</v>
      </c>
      <c r="M121" s="948">
        <v>795</v>
      </c>
      <c r="N121" s="965">
        <v>2000</v>
      </c>
      <c r="O121" s="949" t="s">
        <v>1260</v>
      </c>
      <c r="P121" s="951"/>
    </row>
    <row r="122" spans="1:16" x14ac:dyDescent="0.35">
      <c r="A122" s="946" t="s">
        <v>1279</v>
      </c>
      <c r="B122" s="947" t="s">
        <v>1280</v>
      </c>
      <c r="C122" s="948">
        <v>0</v>
      </c>
      <c r="D122" s="948">
        <v>5</v>
      </c>
      <c r="E122" s="948">
        <v>20</v>
      </c>
      <c r="F122" s="948">
        <v>65</v>
      </c>
      <c r="G122" s="948">
        <v>105</v>
      </c>
      <c r="H122" s="948">
        <v>140</v>
      </c>
      <c r="I122" s="948">
        <v>175</v>
      </c>
      <c r="J122" s="948">
        <v>210</v>
      </c>
      <c r="K122" s="948">
        <v>150</v>
      </c>
      <c r="L122" s="948">
        <v>35</v>
      </c>
      <c r="M122" s="948">
        <v>195</v>
      </c>
      <c r="N122" s="948">
        <v>905</v>
      </c>
      <c r="O122" s="979" t="s">
        <v>1260</v>
      </c>
      <c r="P122" s="980"/>
    </row>
    <row r="123" spans="1:16" x14ac:dyDescent="0.35">
      <c r="A123" s="946" t="s">
        <v>1281</v>
      </c>
      <c r="B123" s="947" t="s">
        <v>1282</v>
      </c>
      <c r="C123" s="948">
        <v>0</v>
      </c>
      <c r="D123" s="948">
        <v>10</v>
      </c>
      <c r="E123" s="948">
        <v>150</v>
      </c>
      <c r="F123" s="948">
        <v>300</v>
      </c>
      <c r="G123" s="948">
        <v>590</v>
      </c>
      <c r="H123" s="948">
        <v>460</v>
      </c>
      <c r="I123" s="948">
        <v>295</v>
      </c>
      <c r="J123" s="948">
        <v>195</v>
      </c>
      <c r="K123" s="948">
        <v>0</v>
      </c>
      <c r="L123" s="948">
        <v>0</v>
      </c>
      <c r="M123" s="965">
        <v>1050</v>
      </c>
      <c r="N123" s="965">
        <v>2000</v>
      </c>
      <c r="O123" s="949" t="s">
        <v>1260</v>
      </c>
      <c r="P123" s="951"/>
    </row>
    <row r="124" spans="1:16" x14ac:dyDescent="0.35">
      <c r="A124" s="946" t="s">
        <v>1283</v>
      </c>
      <c r="B124" s="947" t="s">
        <v>1284</v>
      </c>
      <c r="C124" s="948"/>
      <c r="D124" s="948"/>
      <c r="E124" s="948"/>
      <c r="F124" s="948"/>
      <c r="G124" s="948"/>
      <c r="H124" s="948"/>
      <c r="I124" s="948"/>
      <c r="J124" s="948"/>
      <c r="K124" s="948"/>
      <c r="L124" s="948"/>
      <c r="M124" s="948"/>
      <c r="N124" s="948"/>
      <c r="O124" s="949"/>
      <c r="P124" s="951"/>
    </row>
    <row r="125" spans="1:16" ht="24" customHeight="1" x14ac:dyDescent="0.35">
      <c r="A125" s="963" t="s">
        <v>1285</v>
      </c>
      <c r="B125" s="964" t="s">
        <v>1286</v>
      </c>
      <c r="C125" s="967">
        <v>0</v>
      </c>
      <c r="D125" s="967">
        <v>72</v>
      </c>
      <c r="E125" s="967">
        <v>123</v>
      </c>
      <c r="F125" s="967">
        <v>122</v>
      </c>
      <c r="G125" s="967">
        <v>115</v>
      </c>
      <c r="H125" s="967">
        <v>55</v>
      </c>
      <c r="I125" s="967">
        <v>55</v>
      </c>
      <c r="J125" s="967">
        <v>33</v>
      </c>
      <c r="K125" s="967">
        <v>0</v>
      </c>
      <c r="L125" s="967">
        <v>0</v>
      </c>
      <c r="M125" s="967">
        <v>432</v>
      </c>
      <c r="N125" s="967">
        <v>575</v>
      </c>
      <c r="O125" s="948" t="s">
        <v>1260</v>
      </c>
      <c r="P125" s="951"/>
    </row>
    <row r="126" spans="1:16" x14ac:dyDescent="0.35">
      <c r="A126" s="946" t="s">
        <v>1287</v>
      </c>
      <c r="B126" s="947" t="s">
        <v>1288</v>
      </c>
      <c r="C126" s="948">
        <v>0</v>
      </c>
      <c r="D126" s="948">
        <v>1</v>
      </c>
      <c r="E126" s="948">
        <v>2</v>
      </c>
      <c r="F126" s="948">
        <v>2</v>
      </c>
      <c r="G126" s="948">
        <v>2</v>
      </c>
      <c r="H126" s="948">
        <v>2</v>
      </c>
      <c r="I126" s="948">
        <v>2</v>
      </c>
      <c r="J126" s="948">
        <v>2</v>
      </c>
      <c r="K126" s="948">
        <v>2</v>
      </c>
      <c r="L126" s="948">
        <v>1</v>
      </c>
      <c r="M126" s="948">
        <v>7</v>
      </c>
      <c r="N126" s="948">
        <v>16</v>
      </c>
      <c r="O126" s="949" t="s">
        <v>1260</v>
      </c>
      <c r="P126" s="951"/>
    </row>
    <row r="127" spans="1:16" x14ac:dyDescent="0.35">
      <c r="A127" s="946" t="s">
        <v>1289</v>
      </c>
      <c r="B127" s="947" t="s">
        <v>1290</v>
      </c>
      <c r="C127" s="948">
        <v>0</v>
      </c>
      <c r="D127" s="948">
        <v>49</v>
      </c>
      <c r="E127" s="948">
        <v>190</v>
      </c>
      <c r="F127" s="948">
        <v>379</v>
      </c>
      <c r="G127" s="948">
        <v>531</v>
      </c>
      <c r="H127" s="948">
        <v>619</v>
      </c>
      <c r="I127" s="948">
        <v>580</v>
      </c>
      <c r="J127" s="948">
        <v>387</v>
      </c>
      <c r="K127" s="948">
        <v>196</v>
      </c>
      <c r="L127" s="948">
        <v>69</v>
      </c>
      <c r="M127" s="965">
        <v>1149</v>
      </c>
      <c r="N127" s="965">
        <v>3000</v>
      </c>
      <c r="O127" s="949" t="s">
        <v>1260</v>
      </c>
      <c r="P127" s="951"/>
    </row>
    <row r="128" spans="1:16" x14ac:dyDescent="0.35">
      <c r="A128" s="963" t="s">
        <v>1291</v>
      </c>
      <c r="B128" s="964" t="s">
        <v>1292</v>
      </c>
      <c r="C128" s="948">
        <v>0</v>
      </c>
      <c r="D128" s="948">
        <v>22</v>
      </c>
      <c r="E128" s="948">
        <v>22</v>
      </c>
      <c r="F128" s="948">
        <v>6</v>
      </c>
      <c r="G128" s="948">
        <v>0</v>
      </c>
      <c r="H128" s="948">
        <v>0</v>
      </c>
      <c r="I128" s="948">
        <v>0</v>
      </c>
      <c r="J128" s="948">
        <v>0</v>
      </c>
      <c r="K128" s="948">
        <v>0</v>
      </c>
      <c r="L128" s="948">
        <v>0</v>
      </c>
      <c r="M128" s="948">
        <v>50</v>
      </c>
      <c r="N128" s="948">
        <v>50</v>
      </c>
      <c r="O128" s="949" t="s">
        <v>1260</v>
      </c>
      <c r="P128" s="950"/>
    </row>
    <row r="129" spans="1:16" x14ac:dyDescent="0.35">
      <c r="A129" s="946" t="s">
        <v>1293</v>
      </c>
      <c r="B129" s="947" t="s">
        <v>1294</v>
      </c>
      <c r="C129" s="948">
        <v>0</v>
      </c>
      <c r="D129" s="948">
        <v>30</v>
      </c>
      <c r="E129" s="948">
        <v>30</v>
      </c>
      <c r="F129" s="948">
        <v>40</v>
      </c>
      <c r="G129" s="948">
        <v>15</v>
      </c>
      <c r="H129" s="948">
        <v>5</v>
      </c>
      <c r="I129" s="948">
        <v>5</v>
      </c>
      <c r="J129" s="948">
        <v>0</v>
      </c>
      <c r="K129" s="948">
        <v>0</v>
      </c>
      <c r="L129" s="948">
        <v>0</v>
      </c>
      <c r="M129" s="948">
        <v>115</v>
      </c>
      <c r="N129" s="948">
        <v>125</v>
      </c>
      <c r="O129" s="949" t="s">
        <v>1260</v>
      </c>
      <c r="P129" s="951"/>
    </row>
    <row r="130" spans="1:16" x14ac:dyDescent="0.35">
      <c r="A130" s="946" t="s">
        <v>1295</v>
      </c>
      <c r="B130" s="947" t="s">
        <v>1296</v>
      </c>
      <c r="C130" s="948">
        <v>0</v>
      </c>
      <c r="D130" s="948">
        <v>10</v>
      </c>
      <c r="E130" s="948">
        <v>230</v>
      </c>
      <c r="F130" s="948">
        <v>660</v>
      </c>
      <c r="G130" s="948">
        <v>945</v>
      </c>
      <c r="H130" s="948">
        <v>605</v>
      </c>
      <c r="I130" s="948">
        <v>100</v>
      </c>
      <c r="J130" s="948">
        <v>0</v>
      </c>
      <c r="K130" s="948">
        <v>0</v>
      </c>
      <c r="L130" s="948">
        <v>0</v>
      </c>
      <c r="M130" s="965">
        <v>1845</v>
      </c>
      <c r="N130" s="965">
        <v>2550</v>
      </c>
      <c r="O130" s="949" t="s">
        <v>1260</v>
      </c>
      <c r="P130" s="951"/>
    </row>
    <row r="131" spans="1:16" x14ac:dyDescent="0.35">
      <c r="A131" s="946" t="s">
        <v>1297</v>
      </c>
      <c r="B131" s="947" t="s">
        <v>1298</v>
      </c>
      <c r="C131" s="948">
        <v>0</v>
      </c>
      <c r="D131" s="948">
        <v>10</v>
      </c>
      <c r="E131" s="948">
        <v>45</v>
      </c>
      <c r="F131" s="948">
        <v>70</v>
      </c>
      <c r="G131" s="948">
        <v>100</v>
      </c>
      <c r="H131" s="948">
        <v>100</v>
      </c>
      <c r="I131" s="948">
        <v>100</v>
      </c>
      <c r="J131" s="948">
        <v>100</v>
      </c>
      <c r="K131" s="948">
        <v>100</v>
      </c>
      <c r="L131" s="948">
        <v>100</v>
      </c>
      <c r="M131" s="948">
        <v>225</v>
      </c>
      <c r="N131" s="948">
        <v>725</v>
      </c>
      <c r="O131" s="949" t="s">
        <v>1260</v>
      </c>
      <c r="P131" s="951"/>
    </row>
    <row r="132" spans="1:16" x14ac:dyDescent="0.35">
      <c r="A132" s="963" t="s">
        <v>1299</v>
      </c>
      <c r="B132" s="964" t="s">
        <v>1300</v>
      </c>
      <c r="C132" s="948">
        <v>0</v>
      </c>
      <c r="D132" s="948">
        <v>14</v>
      </c>
      <c r="E132" s="948">
        <v>11</v>
      </c>
      <c r="F132" s="948">
        <v>0</v>
      </c>
      <c r="G132" s="948">
        <v>0</v>
      </c>
      <c r="H132" s="948">
        <v>0</v>
      </c>
      <c r="I132" s="948">
        <v>0</v>
      </c>
      <c r="J132" s="948">
        <v>0</v>
      </c>
      <c r="K132" s="948">
        <v>0</v>
      </c>
      <c r="L132" s="948">
        <v>0</v>
      </c>
      <c r="M132" s="948">
        <v>25</v>
      </c>
      <c r="N132" s="948">
        <v>25</v>
      </c>
      <c r="O132" s="949" t="s">
        <v>1264</v>
      </c>
      <c r="P132" s="950"/>
    </row>
    <row r="133" spans="1:16" x14ac:dyDescent="0.35">
      <c r="A133" s="963" t="s">
        <v>1301</v>
      </c>
      <c r="B133" s="964" t="s">
        <v>1302</v>
      </c>
      <c r="C133" s="948">
        <v>0</v>
      </c>
      <c r="D133" s="948">
        <v>84</v>
      </c>
      <c r="E133" s="948">
        <v>320</v>
      </c>
      <c r="F133" s="948">
        <v>638</v>
      </c>
      <c r="G133" s="948">
        <v>928</v>
      </c>
      <c r="H133" s="948">
        <v>940</v>
      </c>
      <c r="I133" s="948">
        <v>720</v>
      </c>
      <c r="J133" s="948">
        <v>300</v>
      </c>
      <c r="K133" s="948">
        <v>120</v>
      </c>
      <c r="L133" s="948">
        <v>0</v>
      </c>
      <c r="M133" s="965">
        <v>1970</v>
      </c>
      <c r="N133" s="965">
        <v>4050</v>
      </c>
      <c r="O133" s="949" t="s">
        <v>1264</v>
      </c>
      <c r="P133" s="951"/>
    </row>
    <row r="134" spans="1:16" x14ac:dyDescent="0.35">
      <c r="A134" s="946" t="s">
        <v>1303</v>
      </c>
      <c r="B134" s="947" t="s">
        <v>1304</v>
      </c>
      <c r="C134" s="948">
        <v>0</v>
      </c>
      <c r="D134" s="948">
        <v>40</v>
      </c>
      <c r="E134" s="948">
        <v>200</v>
      </c>
      <c r="F134" s="948">
        <v>400</v>
      </c>
      <c r="G134" s="948">
        <v>660</v>
      </c>
      <c r="H134" s="948">
        <v>640</v>
      </c>
      <c r="I134" s="948">
        <v>515</v>
      </c>
      <c r="J134" s="948">
        <v>240</v>
      </c>
      <c r="K134" s="948">
        <v>105</v>
      </c>
      <c r="L134" s="948">
        <v>0</v>
      </c>
      <c r="M134" s="965">
        <v>1300</v>
      </c>
      <c r="N134" s="965">
        <v>2800</v>
      </c>
      <c r="O134" s="949" t="s">
        <v>1264</v>
      </c>
      <c r="P134" s="951"/>
    </row>
    <row r="135" spans="1:16" x14ac:dyDescent="0.35">
      <c r="A135" s="946" t="s">
        <v>1305</v>
      </c>
      <c r="B135" s="947" t="s">
        <v>1306</v>
      </c>
      <c r="C135" s="981">
        <v>0</v>
      </c>
      <c r="D135" s="981">
        <v>138</v>
      </c>
      <c r="E135" s="981">
        <v>566</v>
      </c>
      <c r="F135" s="981">
        <v>994</v>
      </c>
      <c r="G135" s="982">
        <v>1328</v>
      </c>
      <c r="H135" s="982">
        <v>1791</v>
      </c>
      <c r="I135" s="982">
        <v>2350</v>
      </c>
      <c r="J135" s="982">
        <v>2928</v>
      </c>
      <c r="K135" s="982">
        <v>3548</v>
      </c>
      <c r="L135" s="982">
        <v>4162</v>
      </c>
      <c r="M135" s="982">
        <v>3026</v>
      </c>
      <c r="N135" s="982">
        <v>17805</v>
      </c>
      <c r="O135" s="983" t="s">
        <v>54</v>
      </c>
      <c r="P135" s="984"/>
    </row>
    <row r="136" spans="1:16" x14ac:dyDescent="0.35">
      <c r="A136" s="946" t="s">
        <v>1307</v>
      </c>
      <c r="B136" s="947" t="s">
        <v>1308</v>
      </c>
      <c r="C136" s="981">
        <v>0</v>
      </c>
      <c r="D136" s="981">
        <v>0</v>
      </c>
      <c r="E136" s="981">
        <v>235</v>
      </c>
      <c r="F136" s="981">
        <v>317</v>
      </c>
      <c r="G136" s="981">
        <v>304</v>
      </c>
      <c r="H136" s="981">
        <v>314</v>
      </c>
      <c r="I136" s="981">
        <v>324</v>
      </c>
      <c r="J136" s="981">
        <v>335</v>
      </c>
      <c r="K136" s="981">
        <v>346</v>
      </c>
      <c r="L136" s="981">
        <v>359</v>
      </c>
      <c r="M136" s="981">
        <v>856</v>
      </c>
      <c r="N136" s="982">
        <v>2534</v>
      </c>
      <c r="O136" s="983" t="s">
        <v>54</v>
      </c>
      <c r="P136" s="951"/>
    </row>
    <row r="137" spans="1:16" ht="24" customHeight="1" x14ac:dyDescent="0.35">
      <c r="A137" s="946" t="s">
        <v>1309</v>
      </c>
      <c r="B137" s="947" t="s">
        <v>1310</v>
      </c>
      <c r="C137" s="985"/>
      <c r="D137" s="985">
        <v>333</v>
      </c>
      <c r="E137" s="985">
        <v>314</v>
      </c>
      <c r="F137" s="985">
        <v>314</v>
      </c>
      <c r="G137" s="985">
        <v>-4530</v>
      </c>
      <c r="H137" s="985">
        <v>-9118</v>
      </c>
      <c r="I137" s="985">
        <v>-18184</v>
      </c>
      <c r="J137" s="985">
        <v>-20493</v>
      </c>
      <c r="K137" s="985">
        <v>-23289</v>
      </c>
      <c r="L137" s="985">
        <v>-24298</v>
      </c>
      <c r="M137" s="985">
        <v>-569</v>
      </c>
      <c r="N137" s="985">
        <v>-95951</v>
      </c>
      <c r="O137" s="986" t="s">
        <v>55</v>
      </c>
      <c r="P137" s="987"/>
    </row>
    <row r="138" spans="1:16" ht="36" customHeight="1" x14ac:dyDescent="0.35">
      <c r="A138" s="946" t="s">
        <v>1305</v>
      </c>
      <c r="B138" s="947" t="s">
        <v>1311</v>
      </c>
      <c r="C138" s="988">
        <v>0</v>
      </c>
      <c r="D138" s="988">
        <v>-2447</v>
      </c>
      <c r="E138" s="988">
        <v>-3716</v>
      </c>
      <c r="F138" s="988">
        <v>-19171</v>
      </c>
      <c r="G138" s="988">
        <v>-7014</v>
      </c>
      <c r="H138" s="988">
        <v>-7706</v>
      </c>
      <c r="I138" s="988">
        <v>-8497</v>
      </c>
      <c r="J138" s="988">
        <v>-9360</v>
      </c>
      <c r="K138" s="988">
        <v>-10602</v>
      </c>
      <c r="L138" s="988">
        <v>-11603</v>
      </c>
      <c r="M138" s="988">
        <v>-32348</v>
      </c>
      <c r="N138" s="988">
        <v>-80116</v>
      </c>
      <c r="O138" s="986" t="s">
        <v>55</v>
      </c>
      <c r="P138" s="951"/>
    </row>
    <row r="139" spans="1:16" x14ac:dyDescent="0.35">
      <c r="A139" s="946" t="s">
        <v>1312</v>
      </c>
      <c r="B139" s="947" t="s">
        <v>1313</v>
      </c>
      <c r="C139" s="985">
        <v>0</v>
      </c>
      <c r="D139" s="985">
        <v>53</v>
      </c>
      <c r="E139" s="985">
        <v>1991</v>
      </c>
      <c r="F139" s="985">
        <v>3308</v>
      </c>
      <c r="G139" s="985">
        <v>3545</v>
      </c>
      <c r="H139" s="985">
        <v>4537</v>
      </c>
      <c r="I139" s="985">
        <v>4476</v>
      </c>
      <c r="J139" s="985">
        <v>3947</v>
      </c>
      <c r="K139" s="985">
        <v>1781</v>
      </c>
      <c r="L139" s="985">
        <v>1462</v>
      </c>
      <c r="M139" s="985">
        <v>8897</v>
      </c>
      <c r="N139" s="985">
        <v>25100</v>
      </c>
      <c r="O139" s="986" t="s">
        <v>55</v>
      </c>
      <c r="P139" s="951"/>
    </row>
    <row r="140" spans="1:16" x14ac:dyDescent="0.35">
      <c r="A140" s="946" t="s">
        <v>1314</v>
      </c>
      <c r="B140" s="947" t="s">
        <v>1315</v>
      </c>
      <c r="C140" s="989">
        <v>0</v>
      </c>
      <c r="D140" s="989">
        <v>0</v>
      </c>
      <c r="E140" s="989">
        <v>0</v>
      </c>
      <c r="F140" s="989">
        <v>0</v>
      </c>
      <c r="G140" s="989">
        <v>0</v>
      </c>
      <c r="H140" s="990">
        <v>-16290</v>
      </c>
      <c r="I140" s="990">
        <v>-25656</v>
      </c>
      <c r="J140" s="990">
        <v>-23394</v>
      </c>
      <c r="K140" s="990">
        <v>-27561</v>
      </c>
      <c r="L140" s="990">
        <v>-29250</v>
      </c>
      <c r="M140" s="989">
        <v>0</v>
      </c>
      <c r="N140" s="990">
        <v>-122151</v>
      </c>
      <c r="O140" s="986" t="s">
        <v>55</v>
      </c>
      <c r="P140" s="951"/>
    </row>
    <row r="141" spans="1:16" ht="36" customHeight="1" x14ac:dyDescent="0.35">
      <c r="A141" s="946" t="s">
        <v>1316</v>
      </c>
      <c r="B141" s="947" t="s">
        <v>1317</v>
      </c>
      <c r="C141" s="985">
        <v>0</v>
      </c>
      <c r="D141" s="985">
        <v>-70</v>
      </c>
      <c r="E141" s="985">
        <v>300</v>
      </c>
      <c r="F141" s="985">
        <v>862</v>
      </c>
      <c r="G141" s="985">
        <v>577</v>
      </c>
      <c r="H141" s="985">
        <v>464</v>
      </c>
      <c r="I141" s="985">
        <v>549</v>
      </c>
      <c r="J141" s="985">
        <v>501</v>
      </c>
      <c r="K141" s="985">
        <v>591</v>
      </c>
      <c r="L141" s="985">
        <v>630</v>
      </c>
      <c r="M141" s="985">
        <v>1669</v>
      </c>
      <c r="N141" s="985">
        <v>4404</v>
      </c>
      <c r="O141" s="986" t="s">
        <v>55</v>
      </c>
      <c r="P141" s="951"/>
    </row>
    <row r="142" spans="1:16" x14ac:dyDescent="0.35">
      <c r="A142" s="946" t="s">
        <v>1318</v>
      </c>
      <c r="B142" s="947" t="s">
        <v>1319</v>
      </c>
      <c r="C142" s="989">
        <v>0</v>
      </c>
      <c r="D142" s="989">
        <v>0</v>
      </c>
      <c r="E142" s="989">
        <v>195</v>
      </c>
      <c r="F142" s="989">
        <v>230</v>
      </c>
      <c r="G142" s="989">
        <v>248</v>
      </c>
      <c r="H142" s="989">
        <v>266</v>
      </c>
      <c r="I142" s="989">
        <v>311</v>
      </c>
      <c r="J142" s="989">
        <v>281</v>
      </c>
      <c r="K142" s="989">
        <v>327</v>
      </c>
      <c r="L142" s="989">
        <v>347</v>
      </c>
      <c r="M142" s="989">
        <v>673</v>
      </c>
      <c r="N142" s="990">
        <v>2205</v>
      </c>
      <c r="O142" s="986" t="s">
        <v>55</v>
      </c>
      <c r="P142" s="951"/>
    </row>
    <row r="143" spans="1:16" x14ac:dyDescent="0.35">
      <c r="A143" s="963" t="s">
        <v>1320</v>
      </c>
      <c r="B143" s="964" t="s">
        <v>1321</v>
      </c>
      <c r="C143" s="991">
        <v>0</v>
      </c>
      <c r="D143" s="991">
        <v>70</v>
      </c>
      <c r="E143" s="991">
        <v>132</v>
      </c>
      <c r="F143" s="991">
        <v>51</v>
      </c>
      <c r="G143" s="991">
        <v>20</v>
      </c>
      <c r="H143" s="991">
        <v>8</v>
      </c>
      <c r="I143" s="991">
        <v>0</v>
      </c>
      <c r="J143" s="991">
        <v>0</v>
      </c>
      <c r="K143" s="991">
        <v>0</v>
      </c>
      <c r="L143" s="991">
        <v>0</v>
      </c>
      <c r="M143" s="991">
        <v>273</v>
      </c>
      <c r="N143" s="991">
        <v>281</v>
      </c>
      <c r="O143" s="992" t="s">
        <v>1322</v>
      </c>
      <c r="P143" s="951" t="s">
        <v>1323</v>
      </c>
    </row>
    <row r="144" spans="1:16" x14ac:dyDescent="0.35">
      <c r="A144" s="963" t="s">
        <v>1324</v>
      </c>
      <c r="B144" s="964" t="s">
        <v>1325</v>
      </c>
      <c r="C144" s="991">
        <v>0</v>
      </c>
      <c r="D144" s="991">
        <v>465</v>
      </c>
      <c r="E144" s="993">
        <v>2420</v>
      </c>
      <c r="F144" s="993">
        <v>4755</v>
      </c>
      <c r="G144" s="993">
        <v>5980</v>
      </c>
      <c r="H144" s="993">
        <v>4694</v>
      </c>
      <c r="I144" s="993">
        <v>1573</v>
      </c>
      <c r="J144" s="991">
        <v>93</v>
      </c>
      <c r="K144" s="991">
        <v>0</v>
      </c>
      <c r="L144" s="991">
        <v>0</v>
      </c>
      <c r="M144" s="993">
        <v>13620</v>
      </c>
      <c r="N144" s="993">
        <v>19980</v>
      </c>
      <c r="O144" s="992" t="s">
        <v>1322</v>
      </c>
      <c r="P144" s="951" t="s">
        <v>1326</v>
      </c>
    </row>
    <row r="145" spans="1:16" x14ac:dyDescent="0.35">
      <c r="A145" s="946" t="s">
        <v>1327</v>
      </c>
      <c r="B145" s="947" t="s">
        <v>1328</v>
      </c>
      <c r="C145" s="991">
        <v>0</v>
      </c>
      <c r="D145" s="991">
        <v>20</v>
      </c>
      <c r="E145" s="991">
        <v>65</v>
      </c>
      <c r="F145" s="991">
        <v>110</v>
      </c>
      <c r="G145" s="991">
        <v>135</v>
      </c>
      <c r="H145" s="991">
        <v>180</v>
      </c>
      <c r="I145" s="991">
        <v>230</v>
      </c>
      <c r="J145" s="991">
        <v>180</v>
      </c>
      <c r="K145" s="991">
        <v>60</v>
      </c>
      <c r="L145" s="991">
        <v>10</v>
      </c>
      <c r="M145" s="991">
        <v>330</v>
      </c>
      <c r="N145" s="991">
        <v>990</v>
      </c>
      <c r="O145" s="992" t="s">
        <v>1322</v>
      </c>
      <c r="P145" s="974" t="s">
        <v>1329</v>
      </c>
    </row>
    <row r="146" spans="1:16" x14ac:dyDescent="0.35">
      <c r="A146" s="946" t="s">
        <v>1330</v>
      </c>
      <c r="B146" s="947" t="s">
        <v>1331</v>
      </c>
      <c r="C146" s="991">
        <v>0</v>
      </c>
      <c r="D146" s="993">
        <v>20892</v>
      </c>
      <c r="E146" s="993">
        <v>11288</v>
      </c>
      <c r="F146" s="993">
        <v>9651</v>
      </c>
      <c r="G146" s="993">
        <v>-8548</v>
      </c>
      <c r="H146" s="991">
        <v>-463</v>
      </c>
      <c r="I146" s="991">
        <v>0</v>
      </c>
      <c r="J146" s="991">
        <v>0</v>
      </c>
      <c r="K146" s="991">
        <v>0</v>
      </c>
      <c r="L146" s="991">
        <v>0</v>
      </c>
      <c r="M146" s="993">
        <v>33283</v>
      </c>
      <c r="N146" s="993">
        <v>32820</v>
      </c>
      <c r="O146" s="994" t="s">
        <v>1322</v>
      </c>
      <c r="P146" s="951"/>
    </row>
    <row r="147" spans="1:16" x14ac:dyDescent="0.35">
      <c r="A147" s="946" t="s">
        <v>1332</v>
      </c>
      <c r="B147" s="947" t="s">
        <v>1333</v>
      </c>
      <c r="C147" s="991">
        <v>0</v>
      </c>
      <c r="D147" s="991">
        <v>24</v>
      </c>
      <c r="E147" s="991">
        <v>65</v>
      </c>
      <c r="F147" s="991">
        <v>112</v>
      </c>
      <c r="G147" s="991">
        <v>130</v>
      </c>
      <c r="H147" s="991">
        <v>98</v>
      </c>
      <c r="I147" s="991">
        <v>56</v>
      </c>
      <c r="J147" s="991">
        <v>15</v>
      </c>
      <c r="K147" s="991">
        <v>0</v>
      </c>
      <c r="L147" s="991">
        <v>0</v>
      </c>
      <c r="M147" s="991">
        <v>331</v>
      </c>
      <c r="N147" s="991">
        <v>500</v>
      </c>
      <c r="O147" s="994" t="s">
        <v>1322</v>
      </c>
      <c r="P147" s="951"/>
    </row>
    <row r="148" spans="1:16" x14ac:dyDescent="0.35">
      <c r="A148" s="995" t="s">
        <v>1334</v>
      </c>
      <c r="B148" s="996" t="s">
        <v>1335</v>
      </c>
      <c r="C148" s="991">
        <v>0</v>
      </c>
      <c r="D148" s="991">
        <v>50</v>
      </c>
      <c r="E148" s="991">
        <v>500</v>
      </c>
      <c r="F148" s="991">
        <v>920</v>
      </c>
      <c r="G148" s="993">
        <v>1310</v>
      </c>
      <c r="H148" s="993">
        <v>1680</v>
      </c>
      <c r="I148" s="993">
        <v>1780</v>
      </c>
      <c r="J148" s="993">
        <v>1640</v>
      </c>
      <c r="K148" s="993">
        <v>1090</v>
      </c>
      <c r="L148" s="991">
        <v>630</v>
      </c>
      <c r="M148" s="993">
        <v>2780</v>
      </c>
      <c r="N148" s="993">
        <v>9600</v>
      </c>
      <c r="O148" s="994" t="s">
        <v>1322</v>
      </c>
      <c r="P148" s="997"/>
    </row>
    <row r="149" spans="1:16" x14ac:dyDescent="0.35">
      <c r="A149" s="946" t="s">
        <v>1336</v>
      </c>
      <c r="B149" s="947" t="s">
        <v>1337</v>
      </c>
      <c r="C149" s="991">
        <v>0</v>
      </c>
      <c r="D149" s="991">
        <v>30</v>
      </c>
      <c r="E149" s="991">
        <v>90</v>
      </c>
      <c r="F149" s="991">
        <v>90</v>
      </c>
      <c r="G149" s="991">
        <v>85</v>
      </c>
      <c r="H149" s="991">
        <v>70</v>
      </c>
      <c r="I149" s="991">
        <v>65</v>
      </c>
      <c r="J149" s="991">
        <v>65</v>
      </c>
      <c r="K149" s="991">
        <v>35</v>
      </c>
      <c r="L149" s="991">
        <v>15</v>
      </c>
      <c r="M149" s="991">
        <v>295</v>
      </c>
      <c r="N149" s="991">
        <v>545</v>
      </c>
      <c r="O149" s="994" t="s">
        <v>1322</v>
      </c>
      <c r="P149" s="951"/>
    </row>
    <row r="150" spans="1:16" x14ac:dyDescent="0.35">
      <c r="A150" s="946" t="s">
        <v>1338</v>
      </c>
      <c r="B150" s="947" t="s">
        <v>1339</v>
      </c>
      <c r="C150" s="991">
        <v>0</v>
      </c>
      <c r="D150" s="991">
        <v>185</v>
      </c>
      <c r="E150" s="991">
        <v>394</v>
      </c>
      <c r="F150" s="991">
        <v>639</v>
      </c>
      <c r="G150" s="991">
        <v>722</v>
      </c>
      <c r="H150" s="991">
        <v>595</v>
      </c>
      <c r="I150" s="991">
        <v>346</v>
      </c>
      <c r="J150" s="991">
        <v>101</v>
      </c>
      <c r="K150" s="991">
        <v>18</v>
      </c>
      <c r="L150" s="991">
        <v>0</v>
      </c>
      <c r="M150" s="993">
        <v>1940</v>
      </c>
      <c r="N150" s="993">
        <v>3000</v>
      </c>
      <c r="O150" s="992" t="s">
        <v>1322</v>
      </c>
      <c r="P150" s="951"/>
    </row>
    <row r="151" spans="1:16" x14ac:dyDescent="0.35">
      <c r="A151" s="946" t="s">
        <v>1340</v>
      </c>
      <c r="B151" s="947" t="s">
        <v>1341</v>
      </c>
      <c r="C151" s="991">
        <v>0</v>
      </c>
      <c r="D151" s="991">
        <v>8</v>
      </c>
      <c r="E151" s="991">
        <v>26</v>
      </c>
      <c r="F151" s="991">
        <v>41</v>
      </c>
      <c r="G151" s="991">
        <v>38</v>
      </c>
      <c r="H151" s="991">
        <v>22</v>
      </c>
      <c r="I151" s="991">
        <v>11</v>
      </c>
      <c r="J151" s="991">
        <v>4</v>
      </c>
      <c r="K151" s="991">
        <v>0</v>
      </c>
      <c r="L151" s="991">
        <v>0</v>
      </c>
      <c r="M151" s="991">
        <v>113</v>
      </c>
      <c r="N151" s="991">
        <v>150</v>
      </c>
      <c r="O151" s="992" t="s">
        <v>1322</v>
      </c>
      <c r="P151" s="951"/>
    </row>
    <row r="152" spans="1:16" ht="24" customHeight="1" x14ac:dyDescent="0.35">
      <c r="A152" s="963" t="s">
        <v>1342</v>
      </c>
      <c r="B152" s="964" t="s">
        <v>1343</v>
      </c>
      <c r="C152" s="998">
        <v>0</v>
      </c>
      <c r="D152" s="999">
        <v>77</v>
      </c>
      <c r="E152" s="999">
        <v>232</v>
      </c>
      <c r="F152" s="999">
        <v>341</v>
      </c>
      <c r="G152" s="999">
        <v>496</v>
      </c>
      <c r="H152" s="999">
        <v>310</v>
      </c>
      <c r="I152" s="999">
        <v>47</v>
      </c>
      <c r="J152" s="999">
        <v>31</v>
      </c>
      <c r="K152" s="999">
        <v>15</v>
      </c>
      <c r="L152" s="999">
        <v>1</v>
      </c>
      <c r="M152" s="1000">
        <v>1146</v>
      </c>
      <c r="N152" s="1000">
        <v>1550</v>
      </c>
      <c r="O152" s="1001" t="s">
        <v>1344</v>
      </c>
      <c r="P152" s="951" t="s">
        <v>1345</v>
      </c>
    </row>
    <row r="153" spans="1:16" ht="30" customHeight="1" x14ac:dyDescent="0.35">
      <c r="A153" s="946" t="s">
        <v>1346</v>
      </c>
      <c r="B153" s="947" t="s">
        <v>1347</v>
      </c>
      <c r="C153" s="1002">
        <v>0</v>
      </c>
      <c r="D153" s="1002">
        <v>264</v>
      </c>
      <c r="E153" s="1002">
        <v>715</v>
      </c>
      <c r="F153" s="1002">
        <v>1393</v>
      </c>
      <c r="G153" s="1002">
        <v>2492</v>
      </c>
      <c r="H153" s="1002">
        <v>3364</v>
      </c>
      <c r="I153" s="1002">
        <v>3209</v>
      </c>
      <c r="J153" s="1002">
        <v>2750</v>
      </c>
      <c r="K153" s="1002">
        <v>1783</v>
      </c>
      <c r="L153" s="1002">
        <v>744</v>
      </c>
      <c r="M153" s="1003">
        <v>4864</v>
      </c>
      <c r="N153" s="1003">
        <v>16714</v>
      </c>
      <c r="O153" s="1004" t="s">
        <v>52</v>
      </c>
      <c r="P153" s="1005" t="s">
        <v>1348</v>
      </c>
    </row>
    <row r="154" spans="1:16" x14ac:dyDescent="0.35">
      <c r="A154" s="946" t="s">
        <v>1349</v>
      </c>
      <c r="B154" s="947" t="s">
        <v>1350</v>
      </c>
      <c r="C154" s="1006">
        <v>0</v>
      </c>
      <c r="D154" s="1006">
        <v>0</v>
      </c>
      <c r="E154" s="1006">
        <v>50</v>
      </c>
      <c r="F154" s="1006">
        <v>270</v>
      </c>
      <c r="G154" s="1006">
        <v>680</v>
      </c>
      <c r="H154" s="1006">
        <v>850</v>
      </c>
      <c r="I154" s="1006">
        <v>730</v>
      </c>
      <c r="J154" s="1006">
        <v>485</v>
      </c>
      <c r="K154" s="1006">
        <v>285</v>
      </c>
      <c r="L154" s="1006">
        <v>145</v>
      </c>
      <c r="M154" s="1007">
        <v>1000</v>
      </c>
      <c r="N154" s="1007">
        <v>3495</v>
      </c>
      <c r="O154" s="1008" t="s">
        <v>52</v>
      </c>
      <c r="P154" s="1009" t="s">
        <v>1351</v>
      </c>
    </row>
    <row r="155" spans="1:16" x14ac:dyDescent="0.35">
      <c r="A155" s="946" t="s">
        <v>1352</v>
      </c>
      <c r="B155" s="947" t="s">
        <v>1353</v>
      </c>
      <c r="C155" s="1006">
        <v>0</v>
      </c>
      <c r="D155" s="1006">
        <v>5</v>
      </c>
      <c r="E155" s="1006">
        <v>5</v>
      </c>
      <c r="F155" s="1006">
        <v>10</v>
      </c>
      <c r="G155" s="1006">
        <v>25</v>
      </c>
      <c r="H155" s="1006">
        <v>70</v>
      </c>
      <c r="I155" s="1006">
        <v>175</v>
      </c>
      <c r="J155" s="1006">
        <v>385</v>
      </c>
      <c r="K155" s="1006">
        <v>460</v>
      </c>
      <c r="L155" s="1006">
        <v>325</v>
      </c>
      <c r="M155" s="1006">
        <v>45</v>
      </c>
      <c r="N155" s="1007">
        <v>1460</v>
      </c>
      <c r="O155" s="1010" t="s">
        <v>52</v>
      </c>
      <c r="P155" s="1009" t="s">
        <v>1354</v>
      </c>
    </row>
    <row r="156" spans="1:16" x14ac:dyDescent="0.35">
      <c r="A156" s="963" t="s">
        <v>1355</v>
      </c>
      <c r="B156" s="964" t="s">
        <v>1356</v>
      </c>
      <c r="C156" s="1006">
        <v>0</v>
      </c>
      <c r="D156" s="1006">
        <v>6</v>
      </c>
      <c r="E156" s="1006">
        <v>8</v>
      </c>
      <c r="F156" s="1006">
        <v>1</v>
      </c>
      <c r="G156" s="1006">
        <v>0</v>
      </c>
      <c r="H156" s="1006">
        <v>0</v>
      </c>
      <c r="I156" s="1006">
        <v>0</v>
      </c>
      <c r="J156" s="1006">
        <v>0</v>
      </c>
      <c r="K156" s="1006">
        <v>0</v>
      </c>
      <c r="L156" s="1006">
        <v>0</v>
      </c>
      <c r="M156" s="1006">
        <v>15</v>
      </c>
      <c r="N156" s="1006">
        <v>15</v>
      </c>
      <c r="O156" s="1010" t="s">
        <v>52</v>
      </c>
      <c r="P156" s="1009" t="s">
        <v>1357</v>
      </c>
    </row>
    <row r="157" spans="1:16" ht="24" customHeight="1" x14ac:dyDescent="0.35">
      <c r="A157" s="946" t="s">
        <v>1358</v>
      </c>
      <c r="B157" s="947" t="s">
        <v>1359</v>
      </c>
      <c r="C157" s="1006">
        <v>0</v>
      </c>
      <c r="D157" s="1006">
        <v>5</v>
      </c>
      <c r="E157" s="1006">
        <v>41</v>
      </c>
      <c r="F157" s="1006">
        <v>116</v>
      </c>
      <c r="G157" s="1006">
        <v>284</v>
      </c>
      <c r="H157" s="1006">
        <v>417</v>
      </c>
      <c r="I157" s="1006">
        <v>459</v>
      </c>
      <c r="J157" s="1006">
        <v>355</v>
      </c>
      <c r="K157" s="1006">
        <v>210</v>
      </c>
      <c r="L157" s="1006">
        <v>90</v>
      </c>
      <c r="M157" s="1006">
        <v>446</v>
      </c>
      <c r="N157" s="1007">
        <v>1977</v>
      </c>
      <c r="O157" s="1011" t="s">
        <v>52</v>
      </c>
      <c r="P157" s="912" t="s">
        <v>1360</v>
      </c>
    </row>
    <row r="158" spans="1:16" ht="24" customHeight="1" x14ac:dyDescent="0.35">
      <c r="A158" s="946" t="s">
        <v>1361</v>
      </c>
      <c r="B158" s="947" t="s">
        <v>1362</v>
      </c>
      <c r="C158" s="1006">
        <v>0</v>
      </c>
      <c r="D158" s="1006">
        <v>20</v>
      </c>
      <c r="E158" s="1006">
        <v>100</v>
      </c>
      <c r="F158" s="1006">
        <v>460</v>
      </c>
      <c r="G158" s="1007">
        <v>1070</v>
      </c>
      <c r="H158" s="1007">
        <v>1430</v>
      </c>
      <c r="I158" s="1007">
        <v>1110</v>
      </c>
      <c r="J158" s="1006">
        <v>660</v>
      </c>
      <c r="K158" s="1006">
        <v>300</v>
      </c>
      <c r="L158" s="1006">
        <v>100</v>
      </c>
      <c r="M158" s="1007">
        <v>1650</v>
      </c>
      <c r="N158" s="1007">
        <v>5250</v>
      </c>
      <c r="O158" s="1010" t="s">
        <v>52</v>
      </c>
      <c r="P158" s="1009" t="s">
        <v>1363</v>
      </c>
    </row>
    <row r="159" spans="1:16" x14ac:dyDescent="0.35">
      <c r="A159" s="946" t="s">
        <v>1364</v>
      </c>
      <c r="B159" s="947" t="s">
        <v>1365</v>
      </c>
      <c r="C159" s="925">
        <v>0</v>
      </c>
      <c r="D159" s="925">
        <v>56</v>
      </c>
      <c r="E159" s="925">
        <v>141</v>
      </c>
      <c r="F159" s="925">
        <v>230</v>
      </c>
      <c r="G159" s="925">
        <v>343</v>
      </c>
      <c r="H159" s="925">
        <v>470</v>
      </c>
      <c r="I159" s="925">
        <v>620</v>
      </c>
      <c r="J159" s="925">
        <v>802</v>
      </c>
      <c r="K159" s="925">
        <v>1024</v>
      </c>
      <c r="L159" s="925">
        <v>1330</v>
      </c>
      <c r="M159" s="925">
        <v>769</v>
      </c>
      <c r="N159" s="925">
        <v>5015</v>
      </c>
      <c r="O159" s="1008" t="s">
        <v>52</v>
      </c>
      <c r="P159" s="951"/>
    </row>
    <row r="160" spans="1:16" x14ac:dyDescent="0.35">
      <c r="A160" s="946" t="s">
        <v>1366</v>
      </c>
      <c r="B160" s="947" t="s">
        <v>1367</v>
      </c>
      <c r="C160" s="1006"/>
      <c r="D160" s="1006"/>
      <c r="E160" s="1006"/>
      <c r="F160" s="1006"/>
      <c r="G160" s="1006"/>
      <c r="H160" s="1006"/>
      <c r="I160" s="1006"/>
      <c r="J160" s="1006"/>
      <c r="K160" s="1006"/>
      <c r="L160" s="1006"/>
      <c r="M160" s="1006"/>
      <c r="N160" s="1007"/>
      <c r="O160" s="1011"/>
      <c r="P160" s="951"/>
    </row>
    <row r="161" spans="1:17" x14ac:dyDescent="0.35">
      <c r="A161" s="946" t="s">
        <v>1368</v>
      </c>
      <c r="B161" s="947" t="s">
        <v>1369</v>
      </c>
      <c r="C161" s="1006"/>
      <c r="D161" s="1006"/>
      <c r="E161" s="1006"/>
      <c r="F161" s="1006"/>
      <c r="G161" s="1006"/>
      <c r="H161" s="1006"/>
      <c r="I161" s="1006"/>
      <c r="J161" s="1006"/>
      <c r="K161" s="1006"/>
      <c r="L161" s="1006"/>
      <c r="M161" s="1006"/>
      <c r="N161" s="1007"/>
      <c r="O161" s="926"/>
      <c r="P161" s="927"/>
    </row>
    <row r="162" spans="1:17" x14ac:dyDescent="0.35">
      <c r="A162" s="946" t="s">
        <v>1370</v>
      </c>
      <c r="B162" s="947" t="s">
        <v>1371</v>
      </c>
      <c r="C162" s="1006">
        <v>0</v>
      </c>
      <c r="D162" s="1006">
        <v>20</v>
      </c>
      <c r="E162" s="1006">
        <v>70</v>
      </c>
      <c r="F162" s="1006">
        <v>130</v>
      </c>
      <c r="G162" s="1006">
        <v>155</v>
      </c>
      <c r="H162" s="1006">
        <v>155</v>
      </c>
      <c r="I162" s="1006">
        <v>155</v>
      </c>
      <c r="J162" s="1006">
        <v>135</v>
      </c>
      <c r="K162" s="1006">
        <v>80</v>
      </c>
      <c r="L162" s="1006">
        <v>20</v>
      </c>
      <c r="M162" s="1006">
        <v>375</v>
      </c>
      <c r="N162" s="1006">
        <v>920</v>
      </c>
      <c r="O162" s="1010" t="s">
        <v>52</v>
      </c>
      <c r="P162" s="951"/>
    </row>
    <row r="163" spans="1:17" x14ac:dyDescent="0.35">
      <c r="A163" s="963" t="s">
        <v>1372</v>
      </c>
      <c r="B163" s="964" t="s">
        <v>1373</v>
      </c>
      <c r="C163" s="1006">
        <v>0</v>
      </c>
      <c r="D163" s="1006">
        <v>15</v>
      </c>
      <c r="E163" s="1006">
        <v>12</v>
      </c>
      <c r="F163" s="1006">
        <v>8</v>
      </c>
      <c r="G163" s="1006">
        <v>4</v>
      </c>
      <c r="H163" s="1006">
        <v>0</v>
      </c>
      <c r="I163" s="1006">
        <v>0</v>
      </c>
      <c r="J163" s="1006">
        <v>0</v>
      </c>
      <c r="K163" s="1006">
        <v>0</v>
      </c>
      <c r="L163" s="1006">
        <v>0</v>
      </c>
      <c r="M163" s="1006">
        <v>39</v>
      </c>
      <c r="N163" s="1006">
        <v>39</v>
      </c>
      <c r="O163" s="1010" t="s">
        <v>52</v>
      </c>
      <c r="P163" s="951"/>
    </row>
    <row r="164" spans="1:17" x14ac:dyDescent="0.35">
      <c r="A164" s="946" t="s">
        <v>1374</v>
      </c>
      <c r="B164" s="947" t="s">
        <v>1375</v>
      </c>
      <c r="C164" s="928">
        <v>0</v>
      </c>
      <c r="D164" s="928">
        <v>25</v>
      </c>
      <c r="E164" s="928">
        <v>100</v>
      </c>
      <c r="F164" s="928">
        <v>125</v>
      </c>
      <c r="G164" s="928">
        <v>100</v>
      </c>
      <c r="H164" s="928">
        <v>75</v>
      </c>
      <c r="I164" s="928">
        <v>30</v>
      </c>
      <c r="J164" s="928">
        <v>20</v>
      </c>
      <c r="K164" s="928">
        <v>0</v>
      </c>
      <c r="L164" s="928">
        <v>0</v>
      </c>
      <c r="M164" s="928">
        <v>350</v>
      </c>
      <c r="N164" s="928">
        <v>475</v>
      </c>
      <c r="O164" s="929" t="s">
        <v>52</v>
      </c>
      <c r="P164" s="951"/>
    </row>
    <row r="165" spans="1:17" x14ac:dyDescent="0.35">
      <c r="A165" s="55"/>
      <c r="B165" s="17"/>
      <c r="C165" s="37"/>
      <c r="D165" s="37"/>
      <c r="E165" s="37"/>
      <c r="F165" s="37"/>
      <c r="G165" s="37"/>
      <c r="H165" s="37"/>
      <c r="I165" s="37"/>
      <c r="J165" s="37"/>
      <c r="K165" s="37"/>
      <c r="L165" s="37"/>
      <c r="M165" s="37"/>
      <c r="N165" s="37"/>
      <c r="O165" s="55"/>
      <c r="P165" s="17"/>
    </row>
    <row r="167" spans="1:17" x14ac:dyDescent="0.35">
      <c r="A167" s="56" t="s">
        <v>1383</v>
      </c>
    </row>
    <row r="168" spans="1:17" x14ac:dyDescent="0.35">
      <c r="A168" s="930"/>
      <c r="B168" s="930"/>
      <c r="C168" s="913"/>
      <c r="D168" s="913">
        <v>2022</v>
      </c>
      <c r="E168" s="913">
        <v>2023</v>
      </c>
      <c r="F168" s="913">
        <v>2024</v>
      </c>
      <c r="G168" s="913">
        <v>2025</v>
      </c>
      <c r="H168" s="913">
        <v>2026</v>
      </c>
      <c r="I168" s="913">
        <v>2027</v>
      </c>
      <c r="J168" s="913">
        <v>2028</v>
      </c>
      <c r="K168" s="913">
        <v>2029</v>
      </c>
      <c r="L168" s="913">
        <v>2030</v>
      </c>
      <c r="M168" s="914">
        <v>2031</v>
      </c>
      <c r="N168" s="915" t="s">
        <v>1376</v>
      </c>
      <c r="O168" s="915" t="s">
        <v>1377</v>
      </c>
      <c r="Q168" s="62"/>
    </row>
    <row r="169" spans="1:17" x14ac:dyDescent="0.35">
      <c r="A169" s="931" t="s">
        <v>1378</v>
      </c>
      <c r="B169" s="931"/>
      <c r="C169" s="937"/>
      <c r="D169" s="937">
        <f t="shared" ref="D169:O169" si="9">D78/1000</f>
        <v>0</v>
      </c>
      <c r="E169" s="937">
        <f t="shared" si="9"/>
        <v>6.8000000000000005E-2</v>
      </c>
      <c r="F169" s="937">
        <f t="shared" si="9"/>
        <v>1.363</v>
      </c>
      <c r="G169" s="937">
        <f t="shared" si="9"/>
        <v>2.4329999999999998</v>
      </c>
      <c r="H169" s="937">
        <f t="shared" si="9"/>
        <v>2.8029999999999999</v>
      </c>
      <c r="I169" s="937">
        <f t="shared" si="9"/>
        <v>1.7410000000000001</v>
      </c>
      <c r="J169" s="937">
        <f t="shared" si="9"/>
        <v>0.56999999999999995</v>
      </c>
      <c r="K169" s="937">
        <f t="shared" si="9"/>
        <v>3.5000000000000003E-2</v>
      </c>
      <c r="L169" s="937">
        <f t="shared" si="9"/>
        <v>0</v>
      </c>
      <c r="M169" s="937">
        <f t="shared" si="9"/>
        <v>0</v>
      </c>
      <c r="N169" s="937">
        <f t="shared" si="9"/>
        <v>6.6669999999999998</v>
      </c>
      <c r="O169" s="937">
        <f t="shared" si="9"/>
        <v>9.0129999999999999</v>
      </c>
      <c r="Q169" s="62"/>
    </row>
    <row r="170" spans="1:17" x14ac:dyDescent="0.35">
      <c r="A170" s="931" t="s">
        <v>1379</v>
      </c>
      <c r="B170" s="931"/>
      <c r="C170" s="937"/>
      <c r="D170" s="937">
        <f t="shared" ref="D170:O170" si="10">(D77+D70)/1000</f>
        <v>0</v>
      </c>
      <c r="E170" s="937">
        <f t="shared" si="10"/>
        <v>0.81899999999999995</v>
      </c>
      <c r="F170" s="937">
        <f t="shared" si="10"/>
        <v>2.4780000000000002</v>
      </c>
      <c r="G170" s="937">
        <f t="shared" si="10"/>
        <v>4.0720000000000001</v>
      </c>
      <c r="H170" s="937">
        <f t="shared" si="10"/>
        <v>5.4480000000000004</v>
      </c>
      <c r="I170" s="937">
        <f t="shared" si="10"/>
        <v>4.8289999999999997</v>
      </c>
      <c r="J170" s="937">
        <f t="shared" si="10"/>
        <v>3.2949999999999999</v>
      </c>
      <c r="K170" s="937">
        <f t="shared" si="10"/>
        <v>1.98</v>
      </c>
      <c r="L170" s="937">
        <f t="shared" si="10"/>
        <v>1.01</v>
      </c>
      <c r="M170" s="937">
        <f t="shared" si="10"/>
        <v>0.40400000000000003</v>
      </c>
      <c r="N170" s="937">
        <f t="shared" si="10"/>
        <v>12.817</v>
      </c>
      <c r="O170" s="937">
        <f t="shared" si="10"/>
        <v>24.335000000000001</v>
      </c>
      <c r="Q170" s="62"/>
    </row>
    <row r="171" spans="1:17" x14ac:dyDescent="0.35">
      <c r="A171" s="931" t="s">
        <v>1380</v>
      </c>
      <c r="B171" s="931"/>
      <c r="C171" s="937"/>
      <c r="D171" s="937">
        <f t="shared" ref="D171:O171" si="11">(D69+D76)/1000</f>
        <v>0</v>
      </c>
      <c r="E171" s="937">
        <f t="shared" si="11"/>
        <v>4.5430000000000001</v>
      </c>
      <c r="F171" s="937">
        <f t="shared" si="11"/>
        <v>5.6079999999999997</v>
      </c>
      <c r="G171" s="937">
        <f t="shared" si="11"/>
        <v>8.16</v>
      </c>
      <c r="H171" s="937">
        <f t="shared" si="11"/>
        <v>10.069000000000001</v>
      </c>
      <c r="I171" s="937">
        <f t="shared" si="11"/>
        <v>12.026999999999999</v>
      </c>
      <c r="J171" s="937">
        <f t="shared" si="11"/>
        <v>13.826000000000001</v>
      </c>
      <c r="K171" s="937">
        <f t="shared" si="11"/>
        <v>15.862</v>
      </c>
      <c r="L171" s="937">
        <f t="shared" si="11"/>
        <v>17.890999999999998</v>
      </c>
      <c r="M171" s="937">
        <f t="shared" si="11"/>
        <v>17.481000000000002</v>
      </c>
      <c r="N171" s="937">
        <f t="shared" si="11"/>
        <v>28.38</v>
      </c>
      <c r="O171" s="937">
        <f t="shared" si="11"/>
        <v>105.467</v>
      </c>
      <c r="Q171" s="62"/>
    </row>
    <row r="172" spans="1:17" x14ac:dyDescent="0.35">
      <c r="A172" s="932" t="s">
        <v>52</v>
      </c>
      <c r="B172" s="932"/>
      <c r="C172" s="937"/>
      <c r="D172" s="937">
        <f t="shared" ref="D172:O172" si="12">(D79+D74)/1000</f>
        <v>0</v>
      </c>
      <c r="E172" s="937">
        <f t="shared" si="12"/>
        <v>1.2969999999999999</v>
      </c>
      <c r="F172" s="937">
        <f t="shared" si="12"/>
        <v>3.8479999999999999</v>
      </c>
      <c r="G172" s="937">
        <f t="shared" si="12"/>
        <v>6.4420000000000002</v>
      </c>
      <c r="H172" s="937">
        <f t="shared" si="12"/>
        <v>9.532</v>
      </c>
      <c r="I172" s="937">
        <f t="shared" si="12"/>
        <v>11.882</v>
      </c>
      <c r="J172" s="937">
        <f t="shared" si="12"/>
        <v>11.727</v>
      </c>
      <c r="K172" s="937">
        <f t="shared" si="12"/>
        <v>10.569000000000001</v>
      </c>
      <c r="L172" s="937">
        <f t="shared" si="12"/>
        <v>8.8879999999999999</v>
      </c>
      <c r="M172" s="937">
        <f t="shared" si="12"/>
        <v>7.1890000000000001</v>
      </c>
      <c r="N172" s="937">
        <f t="shared" si="12"/>
        <v>21.117000000000001</v>
      </c>
      <c r="O172" s="937">
        <f t="shared" si="12"/>
        <v>71.372</v>
      </c>
      <c r="Q172" s="62"/>
    </row>
    <row r="173" spans="1:17" x14ac:dyDescent="0.35">
      <c r="A173" s="933" t="s">
        <v>533</v>
      </c>
      <c r="B173" s="933"/>
      <c r="C173" s="937"/>
      <c r="D173" s="937"/>
      <c r="E173" s="937"/>
      <c r="F173" s="937"/>
      <c r="G173" s="937"/>
      <c r="H173" s="937"/>
      <c r="I173" s="937"/>
      <c r="J173" s="937"/>
      <c r="K173" s="937"/>
      <c r="L173" s="937"/>
      <c r="M173" s="937"/>
      <c r="N173" s="937"/>
      <c r="O173" s="937"/>
      <c r="Q173" s="62"/>
    </row>
    <row r="174" spans="1:17" x14ac:dyDescent="0.35">
      <c r="A174" s="934" t="s">
        <v>54</v>
      </c>
      <c r="B174" s="934"/>
      <c r="C174" s="937"/>
      <c r="D174" s="937">
        <f t="shared" ref="D174:O174" si="13">D71/1000</f>
        <v>0</v>
      </c>
      <c r="E174" s="937">
        <f t="shared" si="13"/>
        <v>0.11</v>
      </c>
      <c r="F174" s="937">
        <f t="shared" si="13"/>
        <v>0.73899999999999999</v>
      </c>
      <c r="G174" s="937">
        <f t="shared" si="13"/>
        <v>1.1950000000000001</v>
      </c>
      <c r="H174" s="937">
        <f t="shared" si="13"/>
        <v>1.4970000000000001</v>
      </c>
      <c r="I174" s="937">
        <f t="shared" si="13"/>
        <v>1.91</v>
      </c>
      <c r="J174" s="937">
        <f t="shared" si="13"/>
        <v>2.4049999999999998</v>
      </c>
      <c r="K174" s="937">
        <f t="shared" si="13"/>
        <v>2.9220000000000002</v>
      </c>
      <c r="L174" s="937">
        <f t="shared" si="13"/>
        <v>3.4630000000000001</v>
      </c>
      <c r="M174" s="937">
        <f t="shared" si="13"/>
        <v>4.0069999999999997</v>
      </c>
      <c r="N174" s="937">
        <f t="shared" si="13"/>
        <v>3.5409999999999999</v>
      </c>
      <c r="O174" s="937">
        <f t="shared" si="13"/>
        <v>18.248000000000001</v>
      </c>
      <c r="Q174" s="62"/>
    </row>
    <row r="175" spans="1:17" x14ac:dyDescent="0.35">
      <c r="A175" s="934" t="s">
        <v>1381</v>
      </c>
      <c r="B175" s="934"/>
      <c r="C175" s="937"/>
      <c r="D175" s="937">
        <f t="shared" ref="D175:O175" si="14">D72/1000</f>
        <v>0</v>
      </c>
      <c r="E175" s="937">
        <f t="shared" si="14"/>
        <v>-0.41499999999999998</v>
      </c>
      <c r="F175" s="937">
        <f t="shared" si="14"/>
        <v>2.7679999999999998</v>
      </c>
      <c r="G175" s="937">
        <f t="shared" si="14"/>
        <v>-12.473000000000001</v>
      </c>
      <c r="H175" s="937">
        <f t="shared" si="14"/>
        <v>-5.3739999999999997</v>
      </c>
      <c r="I175" s="937">
        <f t="shared" si="14"/>
        <v>-25.515000000000001</v>
      </c>
      <c r="J175" s="937">
        <f t="shared" si="14"/>
        <v>-43.975000000000001</v>
      </c>
      <c r="K175" s="937">
        <f t="shared" si="14"/>
        <v>-46.426000000000002</v>
      </c>
      <c r="L175" s="937">
        <f t="shared" si="14"/>
        <v>-56.228000000000002</v>
      </c>
      <c r="M175" s="937">
        <f t="shared" si="14"/>
        <v>-60.581000000000003</v>
      </c>
      <c r="N175" s="937">
        <f t="shared" si="14"/>
        <v>-15.494</v>
      </c>
      <c r="O175" s="937">
        <f t="shared" si="14"/>
        <v>-248.21899999999999</v>
      </c>
      <c r="Q175" s="62"/>
    </row>
    <row r="176" spans="1:17" x14ac:dyDescent="0.35">
      <c r="A176" s="935" t="s">
        <v>57</v>
      </c>
      <c r="B176" s="935"/>
      <c r="C176" s="937"/>
      <c r="D176" s="937">
        <f t="shared" ref="D176:O176" si="15">(D80+D73)/1000</f>
        <v>-0.622</v>
      </c>
      <c r="E176" s="937">
        <f t="shared" si="15"/>
        <v>21.89</v>
      </c>
      <c r="F176" s="937">
        <f t="shared" si="15"/>
        <v>15.439</v>
      </c>
      <c r="G176" s="937">
        <f t="shared" si="15"/>
        <v>16.966999999999999</v>
      </c>
      <c r="H176" s="937">
        <f t="shared" si="15"/>
        <v>0.72799999999999998</v>
      </c>
      <c r="I176" s="937">
        <f t="shared" si="15"/>
        <v>7.657</v>
      </c>
      <c r="J176" s="937">
        <f t="shared" si="15"/>
        <v>4.5590000000000002</v>
      </c>
      <c r="K176" s="937">
        <f t="shared" si="15"/>
        <v>2.4649999999999999</v>
      </c>
      <c r="L176" s="937">
        <f t="shared" si="15"/>
        <v>1.444</v>
      </c>
      <c r="M176" s="937">
        <f t="shared" si="15"/>
        <v>0.77300000000000002</v>
      </c>
      <c r="N176" s="937">
        <f t="shared" si="15"/>
        <v>54.402000000000001</v>
      </c>
      <c r="O176" s="937">
        <f t="shared" si="15"/>
        <v>71.3</v>
      </c>
      <c r="Q176" s="62"/>
    </row>
    <row r="177" spans="1:17" x14ac:dyDescent="0.35">
      <c r="A177" s="936" t="s">
        <v>1440</v>
      </c>
      <c r="B177" s="936"/>
      <c r="C177" s="937"/>
      <c r="D177" s="924">
        <f t="shared" ref="D177:O177" si="16">D84/1000</f>
        <v>0</v>
      </c>
      <c r="E177" s="924">
        <f t="shared" si="16"/>
        <v>-3.1549999999999998</v>
      </c>
      <c r="F177" s="924">
        <f t="shared" si="16"/>
        <v>-2.2309999999999999</v>
      </c>
      <c r="G177" s="924">
        <f t="shared" si="16"/>
        <v>-1.6080000000000001</v>
      </c>
      <c r="H177" s="924">
        <f t="shared" si="16"/>
        <v>-0.77</v>
      </c>
      <c r="I177" s="924">
        <f t="shared" si="16"/>
        <v>-0.98299999999999998</v>
      </c>
      <c r="J177" s="924">
        <f t="shared" si="16"/>
        <v>-1.2110000000000001</v>
      </c>
      <c r="K177" s="924">
        <f t="shared" si="16"/>
        <v>-1.4710000000000001</v>
      </c>
      <c r="L177" s="924">
        <f t="shared" si="16"/>
        <v>-1.81</v>
      </c>
      <c r="M177" s="924">
        <f t="shared" si="16"/>
        <v>-2.3250000000000002</v>
      </c>
      <c r="N177" s="924">
        <f t="shared" si="16"/>
        <v>-7.7670000000000003</v>
      </c>
      <c r="O177" s="924">
        <f t="shared" si="16"/>
        <v>-15.566000000000001</v>
      </c>
      <c r="Q177" s="62"/>
    </row>
    <row r="178" spans="1:17" x14ac:dyDescent="0.35">
      <c r="A178" s="936" t="s">
        <v>239</v>
      </c>
      <c r="B178" s="936"/>
      <c r="C178" s="937"/>
      <c r="D178" s="924">
        <f t="shared" ref="D178:O178" si="17">D85/1000</f>
        <v>0</v>
      </c>
      <c r="E178" s="924">
        <f t="shared" si="17"/>
        <v>0.45200000000000001</v>
      </c>
      <c r="F178" s="924">
        <f t="shared" si="17"/>
        <v>-8.67</v>
      </c>
      <c r="G178" s="924">
        <f t="shared" si="17"/>
        <v>-4.5270000000000001</v>
      </c>
      <c r="H178" s="924">
        <f t="shared" si="17"/>
        <v>-0.70499999999999996</v>
      </c>
      <c r="I178" s="924">
        <f t="shared" si="17"/>
        <v>15.813000000000001</v>
      </c>
      <c r="J178" s="924">
        <f t="shared" si="17"/>
        <v>20.372</v>
      </c>
      <c r="K178" s="924">
        <f t="shared" si="17"/>
        <v>24.847000000000001</v>
      </c>
      <c r="L178" s="924">
        <f t="shared" si="17"/>
        <v>28.113</v>
      </c>
      <c r="M178" s="924">
        <f t="shared" si="17"/>
        <v>24.777000000000001</v>
      </c>
      <c r="N178" s="924">
        <f t="shared" si="17"/>
        <v>-13.451000000000001</v>
      </c>
      <c r="O178" s="924">
        <f t="shared" si="17"/>
        <v>100.468</v>
      </c>
      <c r="Q178" s="62"/>
    </row>
    <row r="179" spans="1:17" x14ac:dyDescent="0.35">
      <c r="A179" s="936" t="s">
        <v>106</v>
      </c>
      <c r="B179" s="936"/>
      <c r="C179" s="937"/>
      <c r="D179" s="924">
        <f t="shared" ref="D179:O179" si="18">D83/1000</f>
        <v>0</v>
      </c>
      <c r="E179" s="924">
        <f t="shared" si="18"/>
        <v>35.317</v>
      </c>
      <c r="F179" s="924">
        <f t="shared" si="18"/>
        <v>36.033000000000001</v>
      </c>
      <c r="G179" s="924">
        <f t="shared" si="18"/>
        <v>21.076000000000001</v>
      </c>
      <c r="H179" s="924">
        <f t="shared" si="18"/>
        <v>13.346</v>
      </c>
      <c r="I179" s="924">
        <f t="shared" si="18"/>
        <v>27.507999999999999</v>
      </c>
      <c r="J179" s="924">
        <f t="shared" si="18"/>
        <v>35.85</v>
      </c>
      <c r="K179" s="924">
        <f t="shared" si="18"/>
        <v>18.64</v>
      </c>
      <c r="L179" s="924">
        <f t="shared" si="18"/>
        <v>8.3940000000000001</v>
      </c>
      <c r="M179" s="924">
        <f t="shared" si="18"/>
        <v>7.9820000000000002</v>
      </c>
      <c r="N179" s="924">
        <f t="shared" si="18"/>
        <v>105.76900000000001</v>
      </c>
      <c r="O179" s="924">
        <f t="shared" si="18"/>
        <v>204.14400000000001</v>
      </c>
      <c r="Q179" s="62"/>
    </row>
    <row r="182" spans="1:17" x14ac:dyDescent="0.35">
      <c r="A182" s="56" t="s">
        <v>1382</v>
      </c>
    </row>
    <row r="183" spans="1:17" x14ac:dyDescent="0.35">
      <c r="A183" s="930"/>
      <c r="B183" s="930"/>
      <c r="C183" s="930"/>
      <c r="D183" s="930" t="s">
        <v>183</v>
      </c>
      <c r="E183" s="930" t="s">
        <v>184</v>
      </c>
      <c r="F183" s="930" t="s">
        <v>185</v>
      </c>
      <c r="G183" s="930" t="s">
        <v>186</v>
      </c>
      <c r="H183" s="930" t="s">
        <v>187</v>
      </c>
      <c r="I183" s="930" t="s">
        <v>188</v>
      </c>
      <c r="J183" s="930" t="s">
        <v>189</v>
      </c>
      <c r="K183" s="930" t="s">
        <v>190</v>
      </c>
      <c r="L183" s="930" t="s">
        <v>191</v>
      </c>
      <c r="M183" s="930" t="s">
        <v>175</v>
      </c>
      <c r="N183" s="930" t="s">
        <v>176</v>
      </c>
      <c r="O183" s="930" t="s">
        <v>177</v>
      </c>
      <c r="Q183" s="62"/>
    </row>
    <row r="184" spans="1:17" x14ac:dyDescent="0.35">
      <c r="A184" s="931" t="s">
        <v>1378</v>
      </c>
      <c r="B184" s="931"/>
      <c r="C184" s="938"/>
      <c r="D184" s="938">
        <f t="shared" ref="D184:D191" si="19">D169</f>
        <v>0</v>
      </c>
      <c r="E184" s="938">
        <f>D184</f>
        <v>0</v>
      </c>
      <c r="F184" s="938">
        <f t="shared" ref="F184:F191" si="20">E169</f>
        <v>6.8000000000000005E-2</v>
      </c>
      <c r="G184" s="938">
        <f>F184</f>
        <v>6.8000000000000005E-2</v>
      </c>
      <c r="H184" s="938">
        <f>G184</f>
        <v>6.8000000000000005E-2</v>
      </c>
      <c r="I184" s="938">
        <f>H184</f>
        <v>6.8000000000000005E-2</v>
      </c>
      <c r="J184" s="938">
        <f t="shared" ref="J184:J191" si="21">F169</f>
        <v>1.363</v>
      </c>
      <c r="K184" s="938">
        <f t="shared" ref="K184:M191" si="22">J184</f>
        <v>1.363</v>
      </c>
      <c r="L184" s="938">
        <f t="shared" si="22"/>
        <v>1.363</v>
      </c>
      <c r="M184" s="938">
        <f>L184</f>
        <v>1.363</v>
      </c>
      <c r="N184" s="938">
        <f t="shared" ref="N184:N191" si="23">G169</f>
        <v>2.4329999999999998</v>
      </c>
      <c r="O184" s="938">
        <f>N184</f>
        <v>2.4329999999999998</v>
      </c>
      <c r="Q184" s="62"/>
    </row>
    <row r="185" spans="1:17" x14ac:dyDescent="0.35">
      <c r="A185" s="931" t="s">
        <v>1379</v>
      </c>
      <c r="B185" s="931"/>
      <c r="C185" s="938"/>
      <c r="D185" s="938">
        <f t="shared" si="19"/>
        <v>0</v>
      </c>
      <c r="E185" s="938">
        <f t="shared" ref="E185:E191" si="24">D185</f>
        <v>0</v>
      </c>
      <c r="F185" s="938">
        <f t="shared" si="20"/>
        <v>0.81899999999999995</v>
      </c>
      <c r="G185" s="938">
        <f t="shared" ref="G185:I191" si="25">F185</f>
        <v>0.81899999999999995</v>
      </c>
      <c r="H185" s="938">
        <f t="shared" si="25"/>
        <v>0.81899999999999995</v>
      </c>
      <c r="I185" s="938">
        <f t="shared" si="25"/>
        <v>0.81899999999999995</v>
      </c>
      <c r="J185" s="938">
        <f t="shared" si="21"/>
        <v>2.4780000000000002</v>
      </c>
      <c r="K185" s="938">
        <f t="shared" si="22"/>
        <v>2.4780000000000002</v>
      </c>
      <c r="L185" s="938">
        <f t="shared" si="22"/>
        <v>2.4780000000000002</v>
      </c>
      <c r="M185" s="938">
        <f t="shared" si="22"/>
        <v>2.4780000000000002</v>
      </c>
      <c r="N185" s="938">
        <f t="shared" si="23"/>
        <v>4.0720000000000001</v>
      </c>
      <c r="O185" s="938">
        <f t="shared" ref="O185:O191" si="26">N185</f>
        <v>4.0720000000000001</v>
      </c>
      <c r="Q185" s="62"/>
    </row>
    <row r="186" spans="1:17" x14ac:dyDescent="0.35">
      <c r="A186" s="931" t="s">
        <v>1380</v>
      </c>
      <c r="B186" s="931"/>
      <c r="C186" s="938"/>
      <c r="D186" s="938">
        <f t="shared" si="19"/>
        <v>0</v>
      </c>
      <c r="E186" s="938">
        <f t="shared" si="24"/>
        <v>0</v>
      </c>
      <c r="F186" s="938">
        <f t="shared" si="20"/>
        <v>4.5430000000000001</v>
      </c>
      <c r="G186" s="938">
        <f t="shared" si="25"/>
        <v>4.5430000000000001</v>
      </c>
      <c r="H186" s="938">
        <f t="shared" si="25"/>
        <v>4.5430000000000001</v>
      </c>
      <c r="I186" s="938">
        <f t="shared" si="25"/>
        <v>4.5430000000000001</v>
      </c>
      <c r="J186" s="938">
        <f t="shared" si="21"/>
        <v>5.6079999999999997</v>
      </c>
      <c r="K186" s="938">
        <f t="shared" si="22"/>
        <v>5.6079999999999997</v>
      </c>
      <c r="L186" s="938">
        <f t="shared" si="22"/>
        <v>5.6079999999999997</v>
      </c>
      <c r="M186" s="938">
        <f t="shared" si="22"/>
        <v>5.6079999999999997</v>
      </c>
      <c r="N186" s="938">
        <f t="shared" si="23"/>
        <v>8.16</v>
      </c>
      <c r="O186" s="938">
        <f t="shared" si="26"/>
        <v>8.16</v>
      </c>
      <c r="Q186" s="62"/>
    </row>
    <row r="187" spans="1:17" x14ac:dyDescent="0.35">
      <c r="A187" s="932" t="s">
        <v>52</v>
      </c>
      <c r="B187" s="932"/>
      <c r="C187" s="938"/>
      <c r="D187" s="938">
        <f t="shared" si="19"/>
        <v>0</v>
      </c>
      <c r="E187" s="938">
        <f t="shared" si="24"/>
        <v>0</v>
      </c>
      <c r="F187" s="938">
        <f t="shared" si="20"/>
        <v>1.2969999999999999</v>
      </c>
      <c r="G187" s="938">
        <f t="shared" si="25"/>
        <v>1.2969999999999999</v>
      </c>
      <c r="H187" s="938">
        <f t="shared" si="25"/>
        <v>1.2969999999999999</v>
      </c>
      <c r="I187" s="938">
        <f t="shared" si="25"/>
        <v>1.2969999999999999</v>
      </c>
      <c r="J187" s="938">
        <f t="shared" si="21"/>
        <v>3.8479999999999999</v>
      </c>
      <c r="K187" s="938">
        <f t="shared" si="22"/>
        <v>3.8479999999999999</v>
      </c>
      <c r="L187" s="938">
        <f t="shared" si="22"/>
        <v>3.8479999999999999</v>
      </c>
      <c r="M187" s="938">
        <f t="shared" si="22"/>
        <v>3.8479999999999999</v>
      </c>
      <c r="N187" s="938">
        <f t="shared" si="23"/>
        <v>6.4420000000000002</v>
      </c>
      <c r="O187" s="938">
        <f t="shared" si="26"/>
        <v>6.4420000000000002</v>
      </c>
      <c r="Q187" s="62"/>
    </row>
    <row r="188" spans="1:17" x14ac:dyDescent="0.35">
      <c r="A188" s="933" t="s">
        <v>533</v>
      </c>
      <c r="B188" s="933"/>
      <c r="C188" s="938"/>
      <c r="D188" s="938">
        <f t="shared" si="19"/>
        <v>0</v>
      </c>
      <c r="E188" s="938">
        <f t="shared" si="24"/>
        <v>0</v>
      </c>
      <c r="F188" s="938">
        <f t="shared" si="20"/>
        <v>0</v>
      </c>
      <c r="G188" s="938">
        <f t="shared" si="25"/>
        <v>0</v>
      </c>
      <c r="H188" s="938">
        <f t="shared" si="25"/>
        <v>0</v>
      </c>
      <c r="I188" s="938">
        <f t="shared" si="25"/>
        <v>0</v>
      </c>
      <c r="J188" s="938">
        <f t="shared" si="21"/>
        <v>0</v>
      </c>
      <c r="K188" s="938">
        <f t="shared" si="22"/>
        <v>0</v>
      </c>
      <c r="L188" s="938">
        <f t="shared" si="22"/>
        <v>0</v>
      </c>
      <c r="M188" s="938">
        <f t="shared" si="22"/>
        <v>0</v>
      </c>
      <c r="N188" s="938">
        <f t="shared" si="23"/>
        <v>0</v>
      </c>
      <c r="O188" s="938">
        <f t="shared" si="26"/>
        <v>0</v>
      </c>
      <c r="Q188" s="62"/>
    </row>
    <row r="189" spans="1:17" x14ac:dyDescent="0.35">
      <c r="A189" s="934" t="s">
        <v>54</v>
      </c>
      <c r="B189" s="934"/>
      <c r="C189" s="938"/>
      <c r="D189" s="938">
        <f t="shared" si="19"/>
        <v>0</v>
      </c>
      <c r="E189" s="938">
        <f t="shared" si="24"/>
        <v>0</v>
      </c>
      <c r="F189" s="938">
        <f t="shared" si="20"/>
        <v>0.11</v>
      </c>
      <c r="G189" s="938">
        <f t="shared" si="25"/>
        <v>0.11</v>
      </c>
      <c r="H189" s="938">
        <f t="shared" si="25"/>
        <v>0.11</v>
      </c>
      <c r="I189" s="938">
        <f t="shared" si="25"/>
        <v>0.11</v>
      </c>
      <c r="J189" s="938">
        <f t="shared" si="21"/>
        <v>0.73899999999999999</v>
      </c>
      <c r="K189" s="938">
        <f t="shared" si="22"/>
        <v>0.73899999999999999</v>
      </c>
      <c r="L189" s="938">
        <f t="shared" si="22"/>
        <v>0.73899999999999999</v>
      </c>
      <c r="M189" s="938">
        <f t="shared" si="22"/>
        <v>0.73899999999999999</v>
      </c>
      <c r="N189" s="938">
        <f t="shared" si="23"/>
        <v>1.1950000000000001</v>
      </c>
      <c r="O189" s="938">
        <f t="shared" si="26"/>
        <v>1.1950000000000001</v>
      </c>
      <c r="Q189" s="62"/>
    </row>
    <row r="190" spans="1:17" x14ac:dyDescent="0.35">
      <c r="A190" s="934" t="s">
        <v>1381</v>
      </c>
      <c r="B190" s="934"/>
      <c r="C190" s="938"/>
      <c r="D190" s="938">
        <f t="shared" si="19"/>
        <v>0</v>
      </c>
      <c r="E190" s="938">
        <f t="shared" si="24"/>
        <v>0</v>
      </c>
      <c r="F190" s="938">
        <f t="shared" si="20"/>
        <v>-0.41499999999999998</v>
      </c>
      <c r="G190" s="938">
        <f t="shared" si="25"/>
        <v>-0.41499999999999998</v>
      </c>
      <c r="H190" s="938">
        <f t="shared" si="25"/>
        <v>-0.41499999999999998</v>
      </c>
      <c r="I190" s="938">
        <f t="shared" si="25"/>
        <v>-0.41499999999999998</v>
      </c>
      <c r="J190" s="938">
        <f t="shared" si="21"/>
        <v>2.7679999999999998</v>
      </c>
      <c r="K190" s="938">
        <f t="shared" si="22"/>
        <v>2.7679999999999998</v>
      </c>
      <c r="L190" s="938">
        <f t="shared" si="22"/>
        <v>2.7679999999999998</v>
      </c>
      <c r="M190" s="938">
        <f t="shared" si="22"/>
        <v>2.7679999999999998</v>
      </c>
      <c r="N190" s="938">
        <f t="shared" si="23"/>
        <v>-12.473000000000001</v>
      </c>
      <c r="O190" s="938">
        <f t="shared" si="26"/>
        <v>-12.473000000000001</v>
      </c>
      <c r="Q190" s="62"/>
    </row>
    <row r="191" spans="1:17" x14ac:dyDescent="0.35">
      <c r="A191" s="935" t="s">
        <v>57</v>
      </c>
      <c r="B191" s="935"/>
      <c r="C191" s="938"/>
      <c r="D191" s="938">
        <f t="shared" si="19"/>
        <v>-0.622</v>
      </c>
      <c r="E191" s="938">
        <f t="shared" si="24"/>
        <v>-0.622</v>
      </c>
      <c r="F191" s="938">
        <f t="shared" si="20"/>
        <v>21.89</v>
      </c>
      <c r="G191" s="938">
        <f t="shared" si="25"/>
        <v>21.89</v>
      </c>
      <c r="H191" s="938">
        <f t="shared" si="25"/>
        <v>21.89</v>
      </c>
      <c r="I191" s="938">
        <f t="shared" si="25"/>
        <v>21.89</v>
      </c>
      <c r="J191" s="938">
        <f t="shared" si="21"/>
        <v>15.439</v>
      </c>
      <c r="K191" s="938">
        <f t="shared" si="22"/>
        <v>15.439</v>
      </c>
      <c r="L191" s="938">
        <f t="shared" si="22"/>
        <v>15.439</v>
      </c>
      <c r="M191" s="938">
        <f t="shared" si="22"/>
        <v>15.439</v>
      </c>
      <c r="N191" s="938">
        <f t="shared" si="23"/>
        <v>16.966999999999999</v>
      </c>
      <c r="O191" s="938">
        <f t="shared" si="26"/>
        <v>16.966999999999999</v>
      </c>
      <c r="Q191" s="62"/>
    </row>
    <row r="192" spans="1:17" x14ac:dyDescent="0.35">
      <c r="A192" s="936" t="s">
        <v>488</v>
      </c>
      <c r="B192" s="936"/>
      <c r="C192" s="938"/>
      <c r="D192" s="924">
        <f t="shared" ref="D192:D194" si="27">D177</f>
        <v>0</v>
      </c>
      <c r="E192" s="924">
        <f t="shared" ref="E192:E194" si="28">D192</f>
        <v>0</v>
      </c>
      <c r="F192" s="924">
        <f t="shared" ref="F192:F194" si="29">E177</f>
        <v>-3.1549999999999998</v>
      </c>
      <c r="G192" s="924">
        <f t="shared" ref="G192:G194" si="30">F192</f>
        <v>-3.1549999999999998</v>
      </c>
      <c r="H192" s="924">
        <f t="shared" ref="H192:H194" si="31">G192</f>
        <v>-3.1549999999999998</v>
      </c>
      <c r="I192" s="924">
        <f t="shared" ref="I192:I194" si="32">H192</f>
        <v>-3.1549999999999998</v>
      </c>
      <c r="J192" s="924">
        <f t="shared" ref="J192:J194" si="33">F177</f>
        <v>-2.2309999999999999</v>
      </c>
      <c r="K192" s="924">
        <f t="shared" ref="K192:K194" si="34">J192</f>
        <v>-2.2309999999999999</v>
      </c>
      <c r="L192" s="924">
        <f t="shared" ref="L192:L194" si="35">K192</f>
        <v>-2.2309999999999999</v>
      </c>
      <c r="M192" s="924">
        <f t="shared" ref="M192:M194" si="36">L192</f>
        <v>-2.2309999999999999</v>
      </c>
      <c r="N192" s="924">
        <f t="shared" ref="N192:N194" si="37">G177</f>
        <v>-1.6080000000000001</v>
      </c>
      <c r="O192" s="924">
        <f t="shared" ref="O192:O194" si="38">N192</f>
        <v>-1.6080000000000001</v>
      </c>
      <c r="Q192" s="62"/>
    </row>
    <row r="193" spans="1:17" x14ac:dyDescent="0.35">
      <c r="A193" s="936" t="s">
        <v>486</v>
      </c>
      <c r="B193" s="936"/>
      <c r="C193" s="938"/>
      <c r="D193" s="924">
        <f t="shared" si="27"/>
        <v>0</v>
      </c>
      <c r="E193" s="924">
        <f t="shared" si="28"/>
        <v>0</v>
      </c>
      <c r="F193" s="924">
        <f t="shared" si="29"/>
        <v>0.45200000000000001</v>
      </c>
      <c r="G193" s="924">
        <f t="shared" si="30"/>
        <v>0.45200000000000001</v>
      </c>
      <c r="H193" s="924">
        <f t="shared" si="31"/>
        <v>0.45200000000000001</v>
      </c>
      <c r="I193" s="924">
        <f t="shared" si="32"/>
        <v>0.45200000000000001</v>
      </c>
      <c r="J193" s="924">
        <f t="shared" si="33"/>
        <v>-8.67</v>
      </c>
      <c r="K193" s="924">
        <f t="shared" si="34"/>
        <v>-8.67</v>
      </c>
      <c r="L193" s="924">
        <f t="shared" si="35"/>
        <v>-8.67</v>
      </c>
      <c r="M193" s="924">
        <f t="shared" si="36"/>
        <v>-8.67</v>
      </c>
      <c r="N193" s="924">
        <f t="shared" si="37"/>
        <v>-4.5270000000000001</v>
      </c>
      <c r="O193" s="924">
        <f t="shared" si="38"/>
        <v>-4.5270000000000001</v>
      </c>
      <c r="Q193" s="62"/>
    </row>
    <row r="194" spans="1:17" x14ac:dyDescent="0.35">
      <c r="A194" s="936" t="s">
        <v>106</v>
      </c>
      <c r="B194" s="936"/>
      <c r="C194" s="938"/>
      <c r="D194" s="924">
        <f t="shared" si="27"/>
        <v>0</v>
      </c>
      <c r="E194" s="924">
        <f t="shared" si="28"/>
        <v>0</v>
      </c>
      <c r="F194" s="924">
        <f t="shared" si="29"/>
        <v>35.317</v>
      </c>
      <c r="G194" s="924">
        <f t="shared" si="30"/>
        <v>35.317</v>
      </c>
      <c r="H194" s="924">
        <f t="shared" si="31"/>
        <v>35.317</v>
      </c>
      <c r="I194" s="924">
        <f t="shared" si="32"/>
        <v>35.317</v>
      </c>
      <c r="J194" s="924">
        <f t="shared" si="33"/>
        <v>36.033000000000001</v>
      </c>
      <c r="K194" s="924">
        <f t="shared" si="34"/>
        <v>36.033000000000001</v>
      </c>
      <c r="L194" s="924">
        <f t="shared" si="35"/>
        <v>36.033000000000001</v>
      </c>
      <c r="M194" s="924">
        <f t="shared" si="36"/>
        <v>36.033000000000001</v>
      </c>
      <c r="N194" s="924">
        <f t="shared" si="37"/>
        <v>21.076000000000001</v>
      </c>
      <c r="O194" s="924">
        <f t="shared" si="38"/>
        <v>21.076000000000001</v>
      </c>
      <c r="Q194" s="62"/>
    </row>
    <row r="197" spans="1:17" x14ac:dyDescent="0.35">
      <c r="A197" s="56" t="s">
        <v>1384</v>
      </c>
    </row>
    <row r="198" spans="1:17" x14ac:dyDescent="0.35">
      <c r="A198" s="932" t="s">
        <v>52</v>
      </c>
      <c r="D198" s="939">
        <v>0</v>
      </c>
      <c r="E198" s="939">
        <v>0</v>
      </c>
      <c r="F198" s="939">
        <v>2.3250000000000002</v>
      </c>
      <c r="G198" s="939">
        <v>2.3250000000000002</v>
      </c>
      <c r="H198" s="939">
        <v>2.3250000000000002</v>
      </c>
      <c r="I198" s="939">
        <v>2.3250000000000002</v>
      </c>
      <c r="J198" s="939">
        <v>5.5830000000000002</v>
      </c>
      <c r="K198" s="939">
        <v>5.5830000000000002</v>
      </c>
      <c r="L198" s="939">
        <v>5.5830000000000002</v>
      </c>
      <c r="M198" s="939">
        <v>5.5830000000000002</v>
      </c>
      <c r="N198" s="939">
        <v>8.0220000000000002</v>
      </c>
      <c r="O198" s="939">
        <v>8.0220000000000002</v>
      </c>
    </row>
  </sheetData>
  <mergeCells count="5">
    <mergeCell ref="C2:O2"/>
    <mergeCell ref="C42:O42"/>
    <mergeCell ref="C68:O68"/>
    <mergeCell ref="C75:O75"/>
    <mergeCell ref="C82:O82"/>
  </mergeCells>
  <hyperlinks>
    <hyperlink ref="P157" r:id="rId1" xr:uid="{00000000-0004-0000-1C00-000000000000}"/>
    <hyperlink ref="P115" r:id="rId2" xr:uid="{00000000-0004-0000-1C00-000001000000}"/>
    <hyperlink ref="P153" r:id="rId3" location=":~:text=Who%20is%20eligible%20for%20Conservation,resource%20concerns%20when%20they%20apply." xr:uid="{00000000-0004-0000-1C00-000002000000}"/>
    <hyperlink ref="A1" r:id="rId4" xr:uid="{00000000-0004-0000-1C00-000003000000}"/>
  </hyperlinks>
  <pageMargins left="0.7" right="0.7" top="0.75" bottom="0.75" header="0.3" footer="0.3"/>
  <pageSetup orientation="portrait" horizontalDpi="1200" verticalDpi="12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25"/>
  <sheetViews>
    <sheetView zoomScaleNormal="100" workbookViewId="0">
      <pane ySplit="1" topLeftCell="A2" activePane="bottomLeft" state="frozen"/>
      <selection pane="bottomLeft" activeCell="A16" sqref="A16:C16"/>
    </sheetView>
  </sheetViews>
  <sheetFormatPr defaultColWidth="11.453125" defaultRowHeight="14.5" x14ac:dyDescent="0.35"/>
  <cols>
    <col min="1" max="1" width="30.81640625" customWidth="1"/>
    <col min="2" max="2" width="109.453125" customWidth="1"/>
    <col min="3" max="3" width="47" customWidth="1"/>
    <col min="4" max="4" width="18.81640625" customWidth="1"/>
    <col min="5" max="5" width="58.81640625" customWidth="1"/>
    <col min="6" max="6" width="33.1796875" customWidth="1"/>
  </cols>
  <sheetData>
    <row r="1" spans="1:6" ht="47.9" customHeight="1" x14ac:dyDescent="0.35">
      <c r="A1" s="25" t="s">
        <v>33</v>
      </c>
      <c r="B1" s="26" t="s">
        <v>34</v>
      </c>
      <c r="C1" s="26" t="s">
        <v>35</v>
      </c>
      <c r="D1" s="27" t="s">
        <v>36</v>
      </c>
      <c r="E1" s="30"/>
      <c r="F1" s="30"/>
    </row>
    <row r="2" spans="1:6" ht="16.5" customHeight="1" x14ac:dyDescent="0.35">
      <c r="A2" s="1572" t="s">
        <v>37</v>
      </c>
      <c r="B2" s="1573"/>
      <c r="C2" s="1573"/>
      <c r="D2" s="1574"/>
      <c r="E2" s="30"/>
      <c r="F2" s="30"/>
    </row>
    <row r="3" spans="1:6" ht="148.4" customHeight="1" x14ac:dyDescent="0.35">
      <c r="A3" s="19" t="s">
        <v>858</v>
      </c>
      <c r="B3" s="14" t="s">
        <v>857</v>
      </c>
      <c r="C3" s="14" t="s">
        <v>856</v>
      </c>
      <c r="D3" s="23" t="s">
        <v>930</v>
      </c>
    </row>
    <row r="4" spans="1:6" ht="148.4" customHeight="1" x14ac:dyDescent="0.35">
      <c r="A4" s="19" t="s">
        <v>79</v>
      </c>
      <c r="B4" s="14" t="s">
        <v>40</v>
      </c>
      <c r="C4" s="14" t="s">
        <v>914</v>
      </c>
      <c r="D4" s="23" t="s">
        <v>930</v>
      </c>
      <c r="E4" s="14"/>
      <c r="F4" s="14"/>
    </row>
    <row r="5" spans="1:6" ht="61.5" customHeight="1" x14ac:dyDescent="0.35">
      <c r="A5" s="19" t="s">
        <v>73</v>
      </c>
      <c r="B5" s="14" t="s">
        <v>74</v>
      </c>
      <c r="C5" s="32" t="s">
        <v>44</v>
      </c>
      <c r="D5" s="23" t="s">
        <v>930</v>
      </c>
    </row>
    <row r="6" spans="1:6" ht="78" customHeight="1" x14ac:dyDescent="0.35">
      <c r="A6" s="19" t="s">
        <v>45</v>
      </c>
      <c r="B6" s="14" t="s">
        <v>46</v>
      </c>
      <c r="C6" s="14" t="s">
        <v>875</v>
      </c>
      <c r="D6" s="23" t="s">
        <v>930</v>
      </c>
      <c r="E6" s="14"/>
      <c r="F6" s="14"/>
    </row>
    <row r="7" spans="1:6" ht="50.9" customHeight="1" x14ac:dyDescent="0.35">
      <c r="A7" s="19" t="s">
        <v>822</v>
      </c>
      <c r="B7" s="14" t="s">
        <v>832</v>
      </c>
      <c r="C7" s="14" t="s">
        <v>1447</v>
      </c>
      <c r="D7" s="23" t="s">
        <v>927</v>
      </c>
      <c r="E7" s="16"/>
      <c r="F7" s="14"/>
    </row>
    <row r="8" spans="1:6" ht="29.9" customHeight="1" x14ac:dyDescent="0.35">
      <c r="A8" s="19" t="s">
        <v>75</v>
      </c>
      <c r="B8" s="14" t="s">
        <v>76</v>
      </c>
      <c r="C8" s="14" t="s">
        <v>77</v>
      </c>
      <c r="D8" s="23" t="s">
        <v>927</v>
      </c>
      <c r="E8" s="16"/>
      <c r="F8" s="14"/>
    </row>
    <row r="9" spans="1:6" ht="48.65" customHeight="1" x14ac:dyDescent="0.35">
      <c r="A9" s="19" t="s">
        <v>47</v>
      </c>
      <c r="B9" s="14" t="s">
        <v>48</v>
      </c>
      <c r="C9" s="14" t="s">
        <v>849</v>
      </c>
      <c r="D9" s="23" t="s">
        <v>927</v>
      </c>
      <c r="E9" s="16"/>
      <c r="F9" s="14"/>
    </row>
    <row r="10" spans="1:6" ht="22.5" customHeight="1" x14ac:dyDescent="0.35">
      <c r="A10" s="1572" t="s">
        <v>850</v>
      </c>
      <c r="B10" s="1573"/>
      <c r="C10" s="1573"/>
      <c r="D10" s="1574"/>
      <c r="E10" s="16"/>
      <c r="F10" s="14"/>
    </row>
    <row r="11" spans="1:6" ht="22.5" customHeight="1" x14ac:dyDescent="0.35">
      <c r="A11" s="20" t="s">
        <v>75</v>
      </c>
      <c r="B11" s="1585" t="s">
        <v>860</v>
      </c>
      <c r="C11" s="1586"/>
      <c r="D11" s="31"/>
      <c r="E11" s="16"/>
      <c r="F11" s="14"/>
    </row>
    <row r="12" spans="1:6" ht="33" customHeight="1" x14ac:dyDescent="0.35">
      <c r="A12" s="20" t="s">
        <v>859</v>
      </c>
      <c r="B12" s="1578" t="s">
        <v>861</v>
      </c>
      <c r="C12" s="1578"/>
      <c r="D12" s="23"/>
      <c r="E12" s="14"/>
      <c r="F12" s="14"/>
    </row>
    <row r="13" spans="1:6" ht="39.65" customHeight="1" x14ac:dyDescent="0.35">
      <c r="A13" s="18" t="s">
        <v>851</v>
      </c>
      <c r="B13" s="1578" t="s">
        <v>862</v>
      </c>
      <c r="C13" s="1578"/>
      <c r="D13" s="23"/>
    </row>
    <row r="14" spans="1:6" ht="38.9" customHeight="1" x14ac:dyDescent="0.35">
      <c r="A14" s="18" t="s">
        <v>853</v>
      </c>
      <c r="B14" s="1578" t="s">
        <v>854</v>
      </c>
      <c r="C14" s="1578"/>
      <c r="D14" s="23"/>
    </row>
    <row r="15" spans="1:6" ht="20.149999999999999" customHeight="1" x14ac:dyDescent="0.35">
      <c r="A15" s="1575" t="s">
        <v>59</v>
      </c>
      <c r="B15" s="1576"/>
      <c r="C15" s="1576"/>
      <c r="D15" s="1577"/>
    </row>
    <row r="16" spans="1:6" ht="24.65" customHeight="1" x14ac:dyDescent="0.35">
      <c r="A16" s="1579" t="s">
        <v>830</v>
      </c>
      <c r="B16" s="1580"/>
      <c r="C16" s="1581"/>
      <c r="D16" s="23"/>
    </row>
    <row r="17" spans="1:7" ht="101.9" customHeight="1" x14ac:dyDescent="0.35">
      <c r="A17" s="18" t="s">
        <v>60</v>
      </c>
      <c r="B17" s="33" t="s">
        <v>876</v>
      </c>
      <c r="C17" s="33" t="s">
        <v>883</v>
      </c>
      <c r="D17" s="34"/>
      <c r="E17" s="33"/>
      <c r="F17" s="33"/>
      <c r="G17" s="33"/>
    </row>
    <row r="18" spans="1:7" ht="101.15" customHeight="1" x14ac:dyDescent="0.35">
      <c r="A18" s="18" t="s">
        <v>61</v>
      </c>
      <c r="B18" s="33" t="s">
        <v>877</v>
      </c>
      <c r="C18" s="33" t="s">
        <v>878</v>
      </c>
      <c r="D18" s="34"/>
      <c r="E18" s="33"/>
      <c r="F18" s="33"/>
      <c r="G18" s="33"/>
    </row>
    <row r="19" spans="1:7" ht="57.65" customHeight="1" x14ac:dyDescent="0.35">
      <c r="A19" s="18" t="s">
        <v>879</v>
      </c>
      <c r="B19" s="33" t="s">
        <v>880</v>
      </c>
      <c r="C19" s="33" t="s">
        <v>881</v>
      </c>
      <c r="D19" s="34"/>
      <c r="E19" s="33"/>
      <c r="F19" s="33"/>
      <c r="G19" s="33"/>
    </row>
    <row r="20" spans="1:7" ht="37.5" customHeight="1" x14ac:dyDescent="0.35">
      <c r="A20" s="1582" t="s">
        <v>829</v>
      </c>
      <c r="B20" s="1583"/>
      <c r="C20" s="1584"/>
      <c r="D20" s="23"/>
    </row>
    <row r="21" spans="1:7" x14ac:dyDescent="0.35">
      <c r="A21" s="1575" t="s">
        <v>62</v>
      </c>
      <c r="B21" s="1576"/>
      <c r="C21" s="1576"/>
      <c r="D21" s="1577"/>
    </row>
    <row r="22" spans="1:7" ht="29.15" customHeight="1" x14ac:dyDescent="0.35">
      <c r="A22" s="19" t="s">
        <v>63</v>
      </c>
      <c r="B22" s="14" t="s">
        <v>78</v>
      </c>
      <c r="C22" s="14" t="s">
        <v>64</v>
      </c>
      <c r="D22" s="23"/>
    </row>
    <row r="23" spans="1:7" ht="72" customHeight="1" x14ac:dyDescent="0.35">
      <c r="A23" s="19" t="s">
        <v>65</v>
      </c>
      <c r="B23" s="14" t="s">
        <v>66</v>
      </c>
      <c r="C23" s="14" t="s">
        <v>67</v>
      </c>
      <c r="D23" s="23"/>
    </row>
    <row r="24" spans="1:7" ht="29.15" customHeight="1" x14ac:dyDescent="0.35">
      <c r="A24" s="19" t="s">
        <v>68</v>
      </c>
      <c r="B24" s="14" t="s">
        <v>69</v>
      </c>
      <c r="C24" s="14" t="s">
        <v>868</v>
      </c>
      <c r="D24" s="23"/>
    </row>
    <row r="25" spans="1:7" ht="101.15" customHeight="1" x14ac:dyDescent="0.35">
      <c r="A25" s="21" t="s">
        <v>70</v>
      </c>
      <c r="B25" s="22" t="s">
        <v>71</v>
      </c>
      <c r="C25" s="22" t="s">
        <v>72</v>
      </c>
      <c r="D25" s="15"/>
    </row>
  </sheetData>
  <mergeCells count="10">
    <mergeCell ref="A21:D21"/>
    <mergeCell ref="A16:C16"/>
    <mergeCell ref="A20:C20"/>
    <mergeCell ref="A2:D2"/>
    <mergeCell ref="A10:D10"/>
    <mergeCell ref="B11:C11"/>
    <mergeCell ref="A15:D15"/>
    <mergeCell ref="B12:C12"/>
    <mergeCell ref="B13:C13"/>
    <mergeCell ref="B14:C14"/>
  </mergeCells>
  <conditionalFormatting sqref="D16 D22:D137 D20">
    <cfRule type="containsText" dxfId="7" priority="7" operator="containsText" text="Yes">
      <formula>NOT(ISERROR(SEARCH("Yes",D16)))</formula>
    </cfRule>
  </conditionalFormatting>
  <conditionalFormatting sqref="D3:D5 D7:D9">
    <cfRule type="containsText" dxfId="6" priority="6" operator="containsText" text="Yes">
      <formula>NOT(ISERROR(SEARCH("Yes",D3)))</formula>
    </cfRule>
  </conditionalFormatting>
  <conditionalFormatting sqref="D12:D14">
    <cfRule type="containsText" dxfId="5" priority="3" operator="containsText" text="Yes">
      <formula>NOT(ISERROR(SEARCH("Yes",D12)))</formula>
    </cfRule>
  </conditionalFormatting>
  <conditionalFormatting sqref="D6">
    <cfRule type="containsText" dxfId="4" priority="1" operator="containsText" text="Yes">
      <formula>NOT(ISERROR(SEARCH("Yes",D6)))</formula>
    </cfRule>
  </conditionalFormatting>
  <hyperlinks>
    <hyperlink ref="C5" r:id="rId1" xr:uid="{00000000-0004-0000-0200-000000000000}"/>
  </hyperlinks>
  <pageMargins left="0.7" right="0.7" top="0.75" bottom="0.75" header="0.3" footer="0.3"/>
  <pageSetup orientation="portrait"/>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F50"/>
  <sheetViews>
    <sheetView workbookViewId="0">
      <selection activeCell="E6" sqref="E6"/>
    </sheetView>
  </sheetViews>
  <sheetFormatPr defaultColWidth="11.453125" defaultRowHeight="14.5" x14ac:dyDescent="0.35"/>
  <cols>
    <col min="1" max="1" width="77.81640625" customWidth="1"/>
    <col min="2" max="2" width="21" customWidth="1"/>
    <col min="5" max="5" width="37.453125" customWidth="1"/>
    <col min="6" max="6" width="16" customWidth="1"/>
  </cols>
  <sheetData>
    <row r="1" spans="1:6" x14ac:dyDescent="0.35">
      <c r="A1" s="163" t="s">
        <v>559</v>
      </c>
    </row>
    <row r="2" spans="1:6" ht="20.9" customHeight="1" x14ac:dyDescent="0.4">
      <c r="A2" s="1016" t="s">
        <v>560</v>
      </c>
      <c r="B2" s="1016" t="s">
        <v>561</v>
      </c>
      <c r="C2" s="1016" t="s">
        <v>562</v>
      </c>
      <c r="D2" s="1016" t="s">
        <v>563</v>
      </c>
    </row>
    <row r="3" spans="1:6" x14ac:dyDescent="0.35">
      <c r="A3" s="1017" t="s">
        <v>564</v>
      </c>
      <c r="B3" s="902">
        <f>SUM(B4:B7)</f>
        <v>325</v>
      </c>
      <c r="E3" s="1788" t="s">
        <v>565</v>
      </c>
      <c r="F3" s="1788"/>
    </row>
    <row r="4" spans="1:6" x14ac:dyDescent="0.35">
      <c r="A4" s="785" t="s">
        <v>566</v>
      </c>
      <c r="B4" s="902">
        <v>284</v>
      </c>
      <c r="E4" s="431" t="s">
        <v>51</v>
      </c>
      <c r="F4" s="431" t="s">
        <v>567</v>
      </c>
    </row>
    <row r="5" spans="1:6" x14ac:dyDescent="0.35">
      <c r="A5" s="785" t="s">
        <v>415</v>
      </c>
      <c r="B5" s="902">
        <v>20</v>
      </c>
      <c r="E5" s="163" t="s">
        <v>150</v>
      </c>
      <c r="F5" s="163">
        <f>SUM(B11:B16)</f>
        <v>82</v>
      </c>
    </row>
    <row r="6" spans="1:6" x14ac:dyDescent="0.35">
      <c r="A6" s="785" t="s">
        <v>422</v>
      </c>
      <c r="B6" s="902">
        <v>15</v>
      </c>
      <c r="E6" s="163" t="s">
        <v>49</v>
      </c>
      <c r="F6" s="163">
        <f>B23</f>
        <v>3</v>
      </c>
    </row>
    <row r="7" spans="1:6" x14ac:dyDescent="0.35">
      <c r="A7" s="785" t="s">
        <v>423</v>
      </c>
      <c r="B7" s="902">
        <v>6</v>
      </c>
      <c r="E7" s="163" t="s">
        <v>343</v>
      </c>
      <c r="F7" s="163">
        <f>B27-B28</f>
        <v>29</v>
      </c>
    </row>
    <row r="8" spans="1:6" x14ac:dyDescent="0.35">
      <c r="A8" s="431" t="s">
        <v>568</v>
      </c>
      <c r="B8" s="902">
        <v>121</v>
      </c>
      <c r="E8" s="163" t="s">
        <v>360</v>
      </c>
      <c r="F8" s="163">
        <f>B42</f>
        <v>2</v>
      </c>
    </row>
    <row r="9" spans="1:6" x14ac:dyDescent="0.35">
      <c r="A9" s="1018" t="s">
        <v>569</v>
      </c>
      <c r="B9" s="902">
        <v>166</v>
      </c>
      <c r="E9" s="163" t="s">
        <v>570</v>
      </c>
      <c r="F9" s="163">
        <f>B18+B20+B21</f>
        <v>34</v>
      </c>
    </row>
    <row r="10" spans="1:6" x14ac:dyDescent="0.35">
      <c r="A10" s="1015" t="s">
        <v>571</v>
      </c>
      <c r="B10" s="902">
        <v>82</v>
      </c>
      <c r="E10" s="431" t="s">
        <v>572</v>
      </c>
      <c r="F10" s="431" t="s">
        <v>573</v>
      </c>
    </row>
    <row r="11" spans="1:6" x14ac:dyDescent="0.35">
      <c r="A11" s="785" t="s">
        <v>574</v>
      </c>
      <c r="B11" s="902">
        <v>54</v>
      </c>
      <c r="E11" s="163" t="s">
        <v>316</v>
      </c>
      <c r="F11" s="163">
        <f>B4</f>
        <v>284</v>
      </c>
    </row>
    <row r="12" spans="1:6" x14ac:dyDescent="0.35">
      <c r="A12" s="785" t="s">
        <v>575</v>
      </c>
      <c r="B12" s="902">
        <v>20</v>
      </c>
      <c r="E12" s="163" t="s">
        <v>576</v>
      </c>
      <c r="F12" s="163">
        <f>B5</f>
        <v>20</v>
      </c>
    </row>
    <row r="13" spans="1:6" x14ac:dyDescent="0.35">
      <c r="A13" s="785" t="s">
        <v>577</v>
      </c>
      <c r="B13" s="902">
        <v>4</v>
      </c>
      <c r="E13" s="163" t="s">
        <v>422</v>
      </c>
      <c r="F13" s="163">
        <f>B6</f>
        <v>15</v>
      </c>
    </row>
    <row r="14" spans="1:6" ht="27.65" customHeight="1" x14ac:dyDescent="0.35">
      <c r="A14" s="785" t="s">
        <v>578</v>
      </c>
      <c r="B14" s="902">
        <v>2</v>
      </c>
      <c r="E14" s="225" t="s">
        <v>423</v>
      </c>
      <c r="F14" s="163">
        <f>B7</f>
        <v>6</v>
      </c>
    </row>
    <row r="15" spans="1:6" ht="27.65" customHeight="1" x14ac:dyDescent="0.35">
      <c r="A15" s="785" t="s">
        <v>579</v>
      </c>
      <c r="B15" s="902">
        <v>1</v>
      </c>
      <c r="E15" s="225" t="s">
        <v>580</v>
      </c>
      <c r="F15" s="163">
        <f>B28</f>
        <v>15</v>
      </c>
    </row>
    <row r="16" spans="1:6" x14ac:dyDescent="0.35">
      <c r="A16" s="785" t="s">
        <v>581</v>
      </c>
      <c r="B16" s="902">
        <v>1</v>
      </c>
      <c r="E16" s="163" t="s">
        <v>582</v>
      </c>
      <c r="F16" s="163">
        <f>B37</f>
        <v>12</v>
      </c>
    </row>
    <row r="17" spans="1:6" x14ac:dyDescent="0.35">
      <c r="A17" s="431" t="s">
        <v>583</v>
      </c>
      <c r="B17" s="902">
        <v>72</v>
      </c>
      <c r="E17" s="163" t="s">
        <v>584</v>
      </c>
      <c r="F17" s="163">
        <f>B38</f>
        <v>10</v>
      </c>
    </row>
    <row r="18" spans="1:6" x14ac:dyDescent="0.35">
      <c r="A18" s="785" t="s">
        <v>585</v>
      </c>
      <c r="B18" s="902">
        <v>22</v>
      </c>
      <c r="C18" s="163" t="s">
        <v>586</v>
      </c>
    </row>
    <row r="19" spans="1:6" x14ac:dyDescent="0.35">
      <c r="A19" s="785" t="s">
        <v>587</v>
      </c>
      <c r="B19" s="902">
        <v>20</v>
      </c>
      <c r="C19" s="163" t="s">
        <v>109</v>
      </c>
    </row>
    <row r="20" spans="1:6" x14ac:dyDescent="0.35">
      <c r="A20" s="785" t="s">
        <v>588</v>
      </c>
      <c r="B20" s="902">
        <v>8</v>
      </c>
      <c r="C20" s="163" t="s">
        <v>586</v>
      </c>
    </row>
    <row r="21" spans="1:6" x14ac:dyDescent="0.35">
      <c r="A21" s="785" t="s">
        <v>589</v>
      </c>
      <c r="B21" s="902">
        <v>4</v>
      </c>
      <c r="C21" s="163" t="s">
        <v>51</v>
      </c>
    </row>
    <row r="22" spans="1:6" x14ac:dyDescent="0.35">
      <c r="A22" s="785" t="s">
        <v>590</v>
      </c>
      <c r="B22" s="902">
        <v>4</v>
      </c>
      <c r="C22" s="163" t="s">
        <v>109</v>
      </c>
    </row>
    <row r="23" spans="1:6" x14ac:dyDescent="0.35">
      <c r="A23" s="785" t="s">
        <v>591</v>
      </c>
      <c r="B23" s="902">
        <v>3</v>
      </c>
      <c r="C23" s="163" t="s">
        <v>592</v>
      </c>
    </row>
    <row r="24" spans="1:6" x14ac:dyDescent="0.35">
      <c r="A24" s="785" t="s">
        <v>593</v>
      </c>
      <c r="B24" s="902">
        <v>3</v>
      </c>
      <c r="C24" s="163" t="s">
        <v>594</v>
      </c>
    </row>
    <row r="25" spans="1:6" x14ac:dyDescent="0.35">
      <c r="A25" s="1019" t="s">
        <v>595</v>
      </c>
      <c r="B25" s="902">
        <v>3</v>
      </c>
      <c r="C25" s="163" t="s">
        <v>55</v>
      </c>
    </row>
    <row r="26" spans="1:6" x14ac:dyDescent="0.35">
      <c r="A26" s="785" t="s">
        <v>596</v>
      </c>
      <c r="B26" s="902">
        <v>4</v>
      </c>
      <c r="C26" s="163" t="s">
        <v>597</v>
      </c>
    </row>
    <row r="27" spans="1:6" x14ac:dyDescent="0.35">
      <c r="A27" s="431" t="s">
        <v>343</v>
      </c>
      <c r="B27" s="902">
        <v>44</v>
      </c>
    </row>
    <row r="28" spans="1:6" x14ac:dyDescent="0.35">
      <c r="A28" s="1012" t="s">
        <v>580</v>
      </c>
      <c r="B28" s="1013">
        <v>15</v>
      </c>
    </row>
    <row r="29" spans="1:6" x14ac:dyDescent="0.35">
      <c r="A29" s="785" t="s">
        <v>598</v>
      </c>
      <c r="B29" s="902">
        <v>14</v>
      </c>
    </row>
    <row r="30" spans="1:6" x14ac:dyDescent="0.35">
      <c r="A30" s="785" t="s">
        <v>599</v>
      </c>
      <c r="B30" s="902">
        <v>10</v>
      </c>
    </row>
    <row r="31" spans="1:6" x14ac:dyDescent="0.35">
      <c r="A31" s="785" t="s">
        <v>600</v>
      </c>
      <c r="B31" s="902">
        <v>2</v>
      </c>
    </row>
    <row r="32" spans="1:6" x14ac:dyDescent="0.35">
      <c r="A32" s="785" t="s">
        <v>601</v>
      </c>
      <c r="B32" s="902">
        <v>2</v>
      </c>
    </row>
    <row r="33" spans="1:6" x14ac:dyDescent="0.35">
      <c r="A33" s="785" t="s">
        <v>602</v>
      </c>
      <c r="B33" s="902">
        <v>1</v>
      </c>
    </row>
    <row r="34" spans="1:6" x14ac:dyDescent="0.35">
      <c r="A34" s="431" t="s">
        <v>603</v>
      </c>
      <c r="B34" s="902">
        <v>88</v>
      </c>
    </row>
    <row r="35" spans="1:6" x14ac:dyDescent="0.35">
      <c r="A35" s="1019" t="s">
        <v>604</v>
      </c>
      <c r="B35" s="902">
        <v>26</v>
      </c>
    </row>
    <row r="36" spans="1:6" x14ac:dyDescent="0.35">
      <c r="A36" s="785" t="s">
        <v>605</v>
      </c>
      <c r="B36" s="902">
        <v>25</v>
      </c>
    </row>
    <row r="37" spans="1:6" x14ac:dyDescent="0.35">
      <c r="A37" s="785" t="s">
        <v>582</v>
      </c>
      <c r="B37" s="902">
        <v>12</v>
      </c>
      <c r="C37" s="163" t="s">
        <v>606</v>
      </c>
      <c r="E37" s="163" t="s">
        <v>607</v>
      </c>
      <c r="F37" s="163" t="s">
        <v>608</v>
      </c>
    </row>
    <row r="38" spans="1:6" x14ac:dyDescent="0.35">
      <c r="A38" s="785" t="s">
        <v>584</v>
      </c>
      <c r="B38" s="902">
        <v>10</v>
      </c>
      <c r="C38" s="163" t="s">
        <v>606</v>
      </c>
      <c r="E38" s="163" t="s">
        <v>609</v>
      </c>
      <c r="F38" s="163" t="s">
        <v>610</v>
      </c>
    </row>
    <row r="39" spans="1:6" x14ac:dyDescent="0.35">
      <c r="A39" s="785" t="s">
        <v>611</v>
      </c>
      <c r="B39" s="902">
        <v>7</v>
      </c>
      <c r="C39" s="163" t="s">
        <v>597</v>
      </c>
      <c r="E39" s="163" t="s">
        <v>612</v>
      </c>
      <c r="F39" s="163" t="s">
        <v>613</v>
      </c>
    </row>
    <row r="40" spans="1:6" x14ac:dyDescent="0.35">
      <c r="A40" s="785" t="s">
        <v>614</v>
      </c>
      <c r="B40" s="902">
        <v>5</v>
      </c>
      <c r="C40" s="163" t="s">
        <v>109</v>
      </c>
      <c r="E40" s="163" t="s">
        <v>615</v>
      </c>
    </row>
    <row r="41" spans="1:6" x14ac:dyDescent="0.35">
      <c r="A41" s="785" t="s">
        <v>616</v>
      </c>
      <c r="B41" s="902">
        <v>2</v>
      </c>
      <c r="C41" s="163" t="s">
        <v>597</v>
      </c>
      <c r="E41" s="163" t="s">
        <v>617</v>
      </c>
    </row>
    <row r="42" spans="1:6" x14ac:dyDescent="0.35">
      <c r="A42" s="785" t="s">
        <v>618</v>
      </c>
      <c r="B42" s="902">
        <v>2</v>
      </c>
      <c r="C42" s="163" t="s">
        <v>586</v>
      </c>
      <c r="E42" s="1014" t="s">
        <v>619</v>
      </c>
    </row>
    <row r="43" spans="1:6" x14ac:dyDescent="0.35">
      <c r="A43" s="785" t="s">
        <v>620</v>
      </c>
      <c r="B43" s="902">
        <v>0</v>
      </c>
      <c r="E43" s="163" t="s">
        <v>621</v>
      </c>
    </row>
    <row r="44" spans="1:6" x14ac:dyDescent="0.35">
      <c r="A44" s="431" t="s">
        <v>622</v>
      </c>
      <c r="B44" s="902">
        <v>40</v>
      </c>
    </row>
    <row r="45" spans="1:6" x14ac:dyDescent="0.35">
      <c r="A45" s="1019" t="s">
        <v>623</v>
      </c>
      <c r="B45" s="1020">
        <v>21</v>
      </c>
    </row>
    <row r="46" spans="1:6" x14ac:dyDescent="0.35">
      <c r="A46" s="785" t="s">
        <v>624</v>
      </c>
      <c r="B46" s="902">
        <v>6</v>
      </c>
    </row>
    <row r="47" spans="1:6" x14ac:dyDescent="0.35">
      <c r="A47" s="1019" t="s">
        <v>625</v>
      </c>
      <c r="B47" s="1020">
        <v>4</v>
      </c>
    </row>
    <row r="48" spans="1:6" x14ac:dyDescent="0.35">
      <c r="A48" s="785" t="s">
        <v>626</v>
      </c>
      <c r="B48" s="902">
        <v>4</v>
      </c>
    </row>
    <row r="49" spans="1:2" x14ac:dyDescent="0.35">
      <c r="A49" s="1019" t="s">
        <v>627</v>
      </c>
      <c r="B49" s="1020">
        <v>3</v>
      </c>
    </row>
    <row r="50" spans="1:2" x14ac:dyDescent="0.35">
      <c r="A50" s="785" t="s">
        <v>628</v>
      </c>
      <c r="B50" s="902">
        <v>2</v>
      </c>
    </row>
  </sheetData>
  <mergeCells count="1">
    <mergeCell ref="E3:F3"/>
  </mergeCells>
  <pageMargins left="0.7" right="0.7" top="0.75" bottom="0.75" header="0.3" footer="0.3"/>
  <pageSetup orientation="portrait" horizontalDpi="300" verticalDpi="300"/>
  <drawing r:id="rId1"/>
  <legacyDrawing r:id="rId2"/>
  <tableParts count="1">
    <tablePart r:id="rId3"/>
  </tableParts>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BJ502"/>
  <sheetViews>
    <sheetView topLeftCell="L1" zoomScale="105" zoomScaleNormal="90" workbookViewId="0">
      <selection activeCell="T6" sqref="T6"/>
    </sheetView>
  </sheetViews>
  <sheetFormatPr defaultColWidth="11.453125" defaultRowHeight="14.5" x14ac:dyDescent="0.35"/>
  <cols>
    <col min="1" max="1" width="6.453125" customWidth="1"/>
    <col min="2" max="2" width="8.1796875" customWidth="1"/>
    <col min="4" max="4" width="7.1796875" customWidth="1"/>
    <col min="5" max="5" width="8.81640625" customWidth="1"/>
    <col min="7" max="7" width="8.1796875" customWidth="1"/>
    <col min="8" max="8" width="7.1796875" customWidth="1"/>
    <col min="10" max="10" width="8.453125" customWidth="1"/>
    <col min="12" max="13" width="8.453125" customWidth="1"/>
    <col min="14" max="14" width="7.453125" customWidth="1"/>
    <col min="15" max="62" width="8.453125" customWidth="1"/>
  </cols>
  <sheetData>
    <row r="1" spans="1:62" x14ac:dyDescent="0.35">
      <c r="A1" s="35" t="s">
        <v>836</v>
      </c>
      <c r="I1" s="1789"/>
      <c r="J1" s="1789"/>
      <c r="K1" s="1789"/>
    </row>
    <row r="2" spans="1:62" ht="13.4" customHeight="1" x14ac:dyDescent="0.35">
      <c r="A2" s="1033"/>
      <c r="O2" s="1060" t="s">
        <v>800</v>
      </c>
      <c r="P2" s="1795" t="s">
        <v>629</v>
      </c>
      <c r="Q2" s="1795"/>
      <c r="R2" s="1795"/>
      <c r="S2" s="1795"/>
      <c r="T2" s="1063"/>
      <c r="U2" s="1063"/>
      <c r="V2" s="1063"/>
      <c r="W2" s="1063"/>
      <c r="X2" s="1063"/>
      <c r="Y2" s="1790" t="s">
        <v>630</v>
      </c>
      <c r="Z2" s="1791"/>
      <c r="AA2" s="1791"/>
      <c r="AB2" s="1791"/>
      <c r="AC2" s="1791"/>
      <c r="AD2" s="1791"/>
      <c r="AE2" s="1063"/>
      <c r="AF2" s="1063"/>
      <c r="AG2" s="1792" t="s">
        <v>631</v>
      </c>
      <c r="AH2" s="1791"/>
      <c r="AI2" s="1791"/>
      <c r="AJ2" s="1794" t="s">
        <v>632</v>
      </c>
      <c r="AK2" s="1794"/>
      <c r="AL2" s="1794"/>
      <c r="AM2" s="1794"/>
      <c r="AN2" s="1794"/>
      <c r="AO2" s="1794"/>
      <c r="AP2" s="1794"/>
      <c r="AQ2" s="1794"/>
      <c r="AR2" s="1794"/>
      <c r="AS2" s="1794"/>
      <c r="AT2" s="1064"/>
      <c r="AU2" s="1793" t="s">
        <v>385</v>
      </c>
      <c r="AV2" s="1793"/>
      <c r="AW2" s="1793"/>
      <c r="AX2" s="1793"/>
      <c r="AY2" s="1793"/>
      <c r="AZ2" s="1793"/>
      <c r="BA2" s="1793"/>
      <c r="BB2" s="1044"/>
      <c r="BC2" s="1044"/>
      <c r="BD2" s="1044"/>
      <c r="BE2" s="1044"/>
      <c r="BF2" s="1044"/>
      <c r="BG2" s="1044"/>
      <c r="BH2" s="1044"/>
      <c r="BI2" s="1044"/>
      <c r="BJ2" s="1050" t="s">
        <v>633</v>
      </c>
    </row>
    <row r="3" spans="1:62" ht="43.4" customHeight="1" x14ac:dyDescent="0.35">
      <c r="A3" s="1034"/>
      <c r="B3" s="1034"/>
      <c r="C3" s="1034"/>
      <c r="D3" s="1034"/>
      <c r="E3" s="1034"/>
      <c r="F3" s="1034"/>
      <c r="G3" s="1034"/>
      <c r="H3" s="1034"/>
      <c r="I3" s="1034"/>
      <c r="J3" s="1034"/>
      <c r="K3" s="1034"/>
      <c r="L3" s="1034"/>
      <c r="M3" s="1034"/>
      <c r="N3" s="1034"/>
      <c r="O3" s="1061" t="s">
        <v>634</v>
      </c>
      <c r="P3" s="1043" t="s">
        <v>635</v>
      </c>
      <c r="Q3" s="1043" t="s">
        <v>636</v>
      </c>
      <c r="R3" s="1043" t="s">
        <v>637</v>
      </c>
      <c r="S3" s="1043" t="s">
        <v>638</v>
      </c>
      <c r="T3" s="1043" t="s">
        <v>639</v>
      </c>
      <c r="U3" s="1043" t="s">
        <v>640</v>
      </c>
      <c r="V3" s="1043" t="s">
        <v>641</v>
      </c>
      <c r="W3" s="1043" t="s">
        <v>642</v>
      </c>
      <c r="X3" s="1043" t="s">
        <v>643</v>
      </c>
      <c r="Y3" s="1043" t="s">
        <v>644</v>
      </c>
      <c r="Z3" s="1043"/>
      <c r="AA3" s="1043"/>
      <c r="AB3" s="1043"/>
      <c r="AC3" s="1043" t="s">
        <v>645</v>
      </c>
      <c r="AD3" s="1043" t="s">
        <v>646</v>
      </c>
      <c r="AE3" s="1043" t="s">
        <v>647</v>
      </c>
      <c r="AF3" s="1043" t="s">
        <v>648</v>
      </c>
      <c r="AG3" s="1043" t="s">
        <v>649</v>
      </c>
      <c r="AH3" s="1043" t="s">
        <v>650</v>
      </c>
      <c r="AI3" s="1043" t="s">
        <v>651</v>
      </c>
      <c r="AJ3" s="1043" t="s">
        <v>652</v>
      </c>
      <c r="AK3" s="1043" t="s">
        <v>653</v>
      </c>
      <c r="AL3" s="1043" t="s">
        <v>654</v>
      </c>
      <c r="AM3" s="1043" t="s">
        <v>655</v>
      </c>
      <c r="AN3" s="1043" t="s">
        <v>656</v>
      </c>
      <c r="AO3" s="1043" t="s">
        <v>657</v>
      </c>
      <c r="AP3" s="1043" t="s">
        <v>658</v>
      </c>
      <c r="AQ3" s="1056" t="s">
        <v>659</v>
      </c>
      <c r="AR3" s="1043" t="s">
        <v>660</v>
      </c>
      <c r="AS3" s="1043" t="s">
        <v>661</v>
      </c>
      <c r="AT3" s="1043" t="s">
        <v>662</v>
      </c>
      <c r="AU3" s="1043" t="s">
        <v>663</v>
      </c>
      <c r="AV3" s="1043" t="s">
        <v>664</v>
      </c>
      <c r="AW3" s="1043" t="s">
        <v>665</v>
      </c>
      <c r="AX3" s="1043" t="s">
        <v>666</v>
      </c>
      <c r="AY3" s="1043" t="s">
        <v>667</v>
      </c>
      <c r="AZ3" s="1043" t="s">
        <v>668</v>
      </c>
      <c r="BA3" s="1043" t="s">
        <v>645</v>
      </c>
      <c r="BB3" s="1051" t="s">
        <v>669</v>
      </c>
      <c r="BC3" s="1051" t="s">
        <v>670</v>
      </c>
      <c r="BD3" s="1051" t="s">
        <v>671</v>
      </c>
      <c r="BE3" s="1051" t="s">
        <v>672</v>
      </c>
      <c r="BF3" s="1051" t="s">
        <v>673</v>
      </c>
      <c r="BG3" s="1051" t="s">
        <v>674</v>
      </c>
      <c r="BH3" s="1051" t="s">
        <v>675</v>
      </c>
      <c r="BI3" s="1051" t="s">
        <v>676</v>
      </c>
      <c r="BJ3" s="1045" t="s">
        <v>677</v>
      </c>
    </row>
    <row r="4" spans="1:62" ht="63" customHeight="1" x14ac:dyDescent="0.35">
      <c r="A4" s="1054" t="s">
        <v>678</v>
      </c>
      <c r="B4" s="1033" t="s">
        <v>56</v>
      </c>
      <c r="C4" s="1033" t="s">
        <v>679</v>
      </c>
      <c r="D4" s="1033" t="s">
        <v>549</v>
      </c>
      <c r="E4" s="1033" t="s">
        <v>680</v>
      </c>
      <c r="F4" s="1033" t="s">
        <v>681</v>
      </c>
      <c r="G4" s="1033" t="s">
        <v>682</v>
      </c>
      <c r="H4" s="1033" t="s">
        <v>131</v>
      </c>
      <c r="I4" s="1040" t="s">
        <v>348</v>
      </c>
      <c r="J4" s="1040" t="s">
        <v>150</v>
      </c>
      <c r="K4" s="1040" t="s">
        <v>683</v>
      </c>
      <c r="L4" s="1038" t="s">
        <v>159</v>
      </c>
      <c r="M4" s="1033" t="s">
        <v>109</v>
      </c>
      <c r="N4" s="1033" t="s">
        <v>684</v>
      </c>
      <c r="O4" s="1062" t="s">
        <v>685</v>
      </c>
      <c r="P4" s="1051" t="s">
        <v>686</v>
      </c>
      <c r="Q4" s="1051" t="s">
        <v>687</v>
      </c>
      <c r="R4" s="1051" t="s">
        <v>688</v>
      </c>
      <c r="S4" s="1051" t="s">
        <v>689</v>
      </c>
      <c r="T4" s="1051" t="s">
        <v>690</v>
      </c>
      <c r="U4" s="1051" t="s">
        <v>691</v>
      </c>
      <c r="V4" s="1051" t="s">
        <v>692</v>
      </c>
      <c r="W4" s="1051" t="s">
        <v>693</v>
      </c>
      <c r="X4" s="1051" t="s">
        <v>694</v>
      </c>
      <c r="Y4" s="1051" t="s">
        <v>695</v>
      </c>
      <c r="Z4" s="1051" t="s">
        <v>696</v>
      </c>
      <c r="AA4" s="1051" t="s">
        <v>697</v>
      </c>
      <c r="AB4" s="1051" t="s">
        <v>698</v>
      </c>
      <c r="AC4" s="1051" t="s">
        <v>699</v>
      </c>
      <c r="AD4" s="1051" t="s">
        <v>700</v>
      </c>
      <c r="AE4" s="1051" t="s">
        <v>701</v>
      </c>
      <c r="AF4" s="1051" t="s">
        <v>702</v>
      </c>
      <c r="AG4" s="1051" t="s">
        <v>210</v>
      </c>
      <c r="AH4" s="1051" t="s">
        <v>211</v>
      </c>
      <c r="AI4" s="1051" t="s">
        <v>703</v>
      </c>
      <c r="AJ4" s="1051" t="s">
        <v>704</v>
      </c>
      <c r="AK4" s="1051" t="s">
        <v>705</v>
      </c>
      <c r="AL4" s="1051" t="s">
        <v>706</v>
      </c>
      <c r="AM4" s="1051" t="s">
        <v>707</v>
      </c>
      <c r="AN4" s="1051" t="s">
        <v>708</v>
      </c>
      <c r="AO4" s="1051" t="s">
        <v>709</v>
      </c>
      <c r="AP4" s="1051" t="s">
        <v>710</v>
      </c>
      <c r="AQ4" s="1052" t="s">
        <v>711</v>
      </c>
      <c r="AR4" s="1051" t="s">
        <v>712</v>
      </c>
      <c r="AS4" s="1051" t="s">
        <v>713</v>
      </c>
      <c r="AT4" s="1051" t="s">
        <v>714</v>
      </c>
      <c r="AU4" s="1051" t="s">
        <v>715</v>
      </c>
      <c r="AV4" s="1051" t="s">
        <v>716</v>
      </c>
      <c r="AW4" s="1051" t="s">
        <v>717</v>
      </c>
      <c r="AX4" s="1051" t="s">
        <v>718</v>
      </c>
      <c r="AY4" s="1051" t="s">
        <v>719</v>
      </c>
      <c r="AZ4" s="1051" t="s">
        <v>720</v>
      </c>
      <c r="BA4" s="1051"/>
      <c r="BB4" s="1051" t="s">
        <v>427</v>
      </c>
      <c r="BC4" s="1051" t="s">
        <v>721</v>
      </c>
      <c r="BD4" s="1051" t="s">
        <v>722</v>
      </c>
      <c r="BE4" s="1051" t="s">
        <v>723</v>
      </c>
      <c r="BF4" s="1051" t="s">
        <v>724</v>
      </c>
      <c r="BG4" s="1051" t="s">
        <v>725</v>
      </c>
      <c r="BH4" s="1051" t="s">
        <v>726</v>
      </c>
      <c r="BI4" s="1051" t="s">
        <v>727</v>
      </c>
      <c r="BJ4" s="1053" t="s">
        <v>728</v>
      </c>
    </row>
    <row r="5" spans="1:62" x14ac:dyDescent="0.35">
      <c r="A5" s="1035">
        <v>2021</v>
      </c>
      <c r="B5" s="1037">
        <f>Q5</f>
        <v>394.202</v>
      </c>
      <c r="C5" s="1037">
        <f>SUM(Y5:AB5)</f>
        <v>195.7</v>
      </c>
      <c r="D5" s="1037">
        <f>T5</f>
        <v>18.823</v>
      </c>
      <c r="E5" s="1037">
        <f>SUM(P5:S5)-B5</f>
        <v>0.77600000000001046</v>
      </c>
      <c r="F5" s="1037">
        <f>SUM(T5:AF5)-C5-L5-D5 - 28</f>
        <v>19.722000000000016</v>
      </c>
      <c r="G5" s="1037">
        <f>SUM(BB5:BI5)-BC5</f>
        <v>81.642999999999986</v>
      </c>
      <c r="H5" s="1037">
        <f>SUM(AG5:AI5)</f>
        <v>7.798</v>
      </c>
      <c r="I5" s="1037">
        <f>AJ5</f>
        <v>283.95749999999998</v>
      </c>
      <c r="J5" s="1037">
        <f>AL5</f>
        <v>12.347</v>
      </c>
      <c r="K5" s="1037">
        <f>SUM(AM5:AT5)</f>
        <v>29.628</v>
      </c>
      <c r="L5" s="1041">
        <f>103/4</f>
        <v>25.75</v>
      </c>
      <c r="M5" s="1037">
        <f t="shared" ref="M5:M16" si="0">SUM(AU5:BA5)</f>
        <v>31.939</v>
      </c>
      <c r="N5" s="1037">
        <f>AK5</f>
        <v>3.4</v>
      </c>
      <c r="O5" s="1065">
        <v>50</v>
      </c>
      <c r="P5" s="1058">
        <v>0.55000000000000004</v>
      </c>
      <c r="Q5" s="1059">
        <v>394.202</v>
      </c>
      <c r="R5" s="1067">
        <v>0.14599999999999999</v>
      </c>
      <c r="S5" s="1067">
        <v>0.08</v>
      </c>
      <c r="T5" s="1067">
        <v>18.823</v>
      </c>
      <c r="U5" s="1059">
        <v>19</v>
      </c>
      <c r="V5" s="1067">
        <v>11.481999999999999</v>
      </c>
      <c r="W5" s="1030">
        <v>1.5580000000000001</v>
      </c>
      <c r="X5" s="1030">
        <v>0.74</v>
      </c>
      <c r="Y5" s="1059">
        <v>0.2</v>
      </c>
      <c r="Z5" s="1059">
        <v>43.1</v>
      </c>
      <c r="AA5" s="1059">
        <v>33.9</v>
      </c>
      <c r="AB5" s="1059">
        <v>118.5</v>
      </c>
      <c r="AC5" s="1059">
        <v>28</v>
      </c>
      <c r="AD5" s="1030">
        <v>-2.0379999999999998</v>
      </c>
      <c r="AE5" s="1059">
        <v>14.31</v>
      </c>
      <c r="AF5" s="1067">
        <v>0.42</v>
      </c>
      <c r="AG5" s="1067">
        <v>7.7279999999999998</v>
      </c>
      <c r="AH5" s="1059">
        <v>7.0000000000000007E-2</v>
      </c>
      <c r="AI5" s="1059">
        <v>0</v>
      </c>
      <c r="AJ5" s="1059">
        <v>283.95749999999998</v>
      </c>
      <c r="AK5" s="1057">
        <v>3.4</v>
      </c>
      <c r="AL5" s="1057">
        <v>12.347</v>
      </c>
      <c r="AM5" s="1068">
        <v>0.28599999999999998</v>
      </c>
      <c r="AN5" s="1057">
        <v>2</v>
      </c>
      <c r="AO5" s="1059">
        <v>0.81</v>
      </c>
      <c r="AP5" s="1057">
        <v>0.52100000000000002</v>
      </c>
      <c r="AQ5" s="1069">
        <v>10</v>
      </c>
      <c r="AR5" s="1057">
        <v>2.7</v>
      </c>
      <c r="AS5" s="1057">
        <v>0.751</v>
      </c>
      <c r="AT5" s="1059">
        <v>12.56</v>
      </c>
      <c r="AU5" s="1059">
        <v>0</v>
      </c>
      <c r="AV5" s="1057">
        <v>1.415</v>
      </c>
      <c r="AW5" s="1057">
        <v>10.51</v>
      </c>
      <c r="AX5" s="1057">
        <v>2.6</v>
      </c>
      <c r="AY5" s="1059">
        <v>-0.33</v>
      </c>
      <c r="AZ5" s="1057">
        <v>17.744</v>
      </c>
      <c r="BA5" s="1059">
        <v>0</v>
      </c>
      <c r="BB5" s="1057">
        <v>4.0999999999999996</v>
      </c>
      <c r="BC5" s="1057">
        <v>7.25</v>
      </c>
      <c r="BD5" s="1057">
        <v>48.4</v>
      </c>
      <c r="BE5" s="1067">
        <v>0.83</v>
      </c>
      <c r="BF5" s="1030">
        <v>4.5110000000000001</v>
      </c>
      <c r="BG5" s="1059">
        <v>3.0739999999999998</v>
      </c>
      <c r="BH5" s="1021">
        <v>-0.28399999999999997</v>
      </c>
      <c r="BI5" s="1057">
        <v>21.012</v>
      </c>
      <c r="BJ5" s="1046">
        <v>1.1599999999999999</v>
      </c>
    </row>
    <row r="6" spans="1:62" x14ac:dyDescent="0.35">
      <c r="A6" s="1035">
        <v>2022</v>
      </c>
      <c r="B6" s="1037">
        <f t="shared" ref="B6:B15" si="1">Q6</f>
        <v>17.465</v>
      </c>
      <c r="C6" s="1037">
        <f t="shared" ref="C6:C15" si="2">SUM(Y6:AB6)</f>
        <v>10.1</v>
      </c>
      <c r="D6" s="1037">
        <f t="shared" ref="D6:D15" si="3">T6</f>
        <v>2.5950000000000002</v>
      </c>
      <c r="E6" s="1037">
        <f t="shared" ref="E6:E15" si="4">SUM(P6:S6)-B6</f>
        <v>19.719000000000005</v>
      </c>
      <c r="F6" s="1037">
        <f>SUM(T6:AF6)-C6-L6-D6</f>
        <v>52.756999999999998</v>
      </c>
      <c r="G6" s="1037">
        <f t="shared" ref="G6:G16" si="5">SUM(BB6:BI6)-BC6</f>
        <v>110.24799999999999</v>
      </c>
      <c r="H6" s="1037">
        <f t="shared" ref="H6:H15" si="6">SUM(AG6:AI6)</f>
        <v>7.9489999999999998</v>
      </c>
      <c r="I6" s="1037">
        <f t="shared" ref="I6:I15" si="7">AJ6</f>
        <v>77.092500000000001</v>
      </c>
      <c r="J6" s="1037">
        <f t="shared" ref="J6:J15" si="8">AL6</f>
        <v>46.79</v>
      </c>
      <c r="K6" s="1037">
        <f t="shared" ref="K6:K16" si="9">SUM(AM6:AT6)</f>
        <v>35.671000000000006</v>
      </c>
      <c r="L6" s="1041">
        <v>0</v>
      </c>
      <c r="M6" s="1037">
        <f t="shared" si="0"/>
        <v>56.412999999999997</v>
      </c>
      <c r="N6" s="1037">
        <f t="shared" ref="N6:N15" si="10">AK6</f>
        <v>5.0999999999999996</v>
      </c>
      <c r="O6" s="1065">
        <v>55</v>
      </c>
      <c r="P6" s="1058">
        <v>15.61</v>
      </c>
      <c r="Q6" s="1059">
        <v>17.465</v>
      </c>
      <c r="R6" s="1067">
        <v>0.317</v>
      </c>
      <c r="S6" s="1067">
        <v>3.7919999999999998</v>
      </c>
      <c r="T6" s="1059">
        <v>2.5950000000000002</v>
      </c>
      <c r="U6" s="1057">
        <v>14.5</v>
      </c>
      <c r="V6" s="1059">
        <v>25.070999999999998</v>
      </c>
      <c r="W6" s="1030">
        <v>1.952</v>
      </c>
      <c r="X6" s="1030">
        <v>0.61399999999999999</v>
      </c>
      <c r="Y6" s="1057">
        <v>0</v>
      </c>
      <c r="Z6" s="1057">
        <v>2.2999999999999998</v>
      </c>
      <c r="AA6" s="1057">
        <v>1.6</v>
      </c>
      <c r="AB6" s="1057">
        <v>6.2</v>
      </c>
      <c r="AC6" s="1059">
        <v>0</v>
      </c>
      <c r="AD6" s="1059">
        <v>1.31</v>
      </c>
      <c r="AE6" s="1059">
        <v>8.61</v>
      </c>
      <c r="AF6" s="1059">
        <v>0.7</v>
      </c>
      <c r="AG6" s="1067">
        <v>7.782</v>
      </c>
      <c r="AH6" s="1059">
        <v>0.12</v>
      </c>
      <c r="AI6" s="1059">
        <v>4.7E-2</v>
      </c>
      <c r="AJ6" s="1059">
        <v>77.092500000000001</v>
      </c>
      <c r="AK6" s="1057">
        <v>5.0999999999999996</v>
      </c>
      <c r="AL6" s="1057">
        <v>46.79</v>
      </c>
      <c r="AM6" s="1021">
        <v>0.30499999999999999</v>
      </c>
      <c r="AN6" s="1057">
        <v>4.3</v>
      </c>
      <c r="AO6" s="1030">
        <v>1.1000000000000001</v>
      </c>
      <c r="AP6" s="1057">
        <v>1.575</v>
      </c>
      <c r="AQ6" s="1069">
        <v>10</v>
      </c>
      <c r="AR6" s="1057">
        <v>4.5</v>
      </c>
      <c r="AS6" s="1057">
        <v>1.9810000000000001</v>
      </c>
      <c r="AT6" s="1059">
        <v>11.91</v>
      </c>
      <c r="AU6" s="1059">
        <v>0</v>
      </c>
      <c r="AV6" s="1057">
        <v>3.927</v>
      </c>
      <c r="AW6" s="1057">
        <v>4.2880000000000003</v>
      </c>
      <c r="AX6" s="1057">
        <v>3.7</v>
      </c>
      <c r="AY6" s="1059">
        <v>-1.34</v>
      </c>
      <c r="AZ6" s="1057">
        <v>45.838000000000001</v>
      </c>
      <c r="BA6" s="1059">
        <v>0</v>
      </c>
      <c r="BB6" s="1057">
        <v>11.3</v>
      </c>
      <c r="BC6" s="1057">
        <v>0</v>
      </c>
      <c r="BD6" s="1057">
        <v>1.1000000000000001</v>
      </c>
      <c r="BE6" s="1067">
        <v>1.75</v>
      </c>
      <c r="BF6" s="1030">
        <v>1.7330000000000001</v>
      </c>
      <c r="BG6" s="1030">
        <v>7.1440000000000001</v>
      </c>
      <c r="BH6" s="1022">
        <v>81.608999999999995</v>
      </c>
      <c r="BI6" s="1057">
        <v>5.6120000000000001</v>
      </c>
      <c r="BJ6" s="1046">
        <v>4.2</v>
      </c>
    </row>
    <row r="7" spans="1:62" x14ac:dyDescent="0.35">
      <c r="A7" s="1035">
        <v>2023</v>
      </c>
      <c r="B7" s="1037">
        <f t="shared" si="1"/>
        <v>0.48599999999999999</v>
      </c>
      <c r="C7" s="1037">
        <f t="shared" si="2"/>
        <v>0</v>
      </c>
      <c r="D7" s="1037">
        <f t="shared" si="3"/>
        <v>0.93700000000000006</v>
      </c>
      <c r="E7" s="1037">
        <f t="shared" si="4"/>
        <v>1.4159999999999999</v>
      </c>
      <c r="F7" s="1037">
        <f t="shared" ref="F7:F15" si="11">SUM(T7:AF7)-C7-L7-D7</f>
        <v>12</v>
      </c>
      <c r="G7" s="1037">
        <f t="shared" si="5"/>
        <v>12.726000000000001</v>
      </c>
      <c r="H7" s="1037">
        <f t="shared" si="6"/>
        <v>4.7519999999999998</v>
      </c>
      <c r="I7" s="1037">
        <f t="shared" si="7"/>
        <v>1</v>
      </c>
      <c r="J7" s="1037">
        <f t="shared" si="8"/>
        <v>38.595999999999997</v>
      </c>
      <c r="K7" s="1037">
        <f t="shared" si="9"/>
        <v>24.216000000000001</v>
      </c>
      <c r="L7" s="1041">
        <v>0</v>
      </c>
      <c r="M7" s="1037">
        <f t="shared" si="0"/>
        <v>15.652999999999999</v>
      </c>
      <c r="N7" s="1037">
        <f t="shared" si="10"/>
        <v>0</v>
      </c>
      <c r="O7" s="1065">
        <v>0.7</v>
      </c>
      <c r="P7" s="1058">
        <v>0.96</v>
      </c>
      <c r="Q7" s="1059">
        <v>0.48599999999999999</v>
      </c>
      <c r="R7" s="1067">
        <v>0.45600000000000002</v>
      </c>
      <c r="S7" s="1059">
        <v>0</v>
      </c>
      <c r="T7" s="1023">
        <v>0.93700000000000006</v>
      </c>
      <c r="U7" s="1057">
        <v>3</v>
      </c>
      <c r="V7" s="1067">
        <v>7.891</v>
      </c>
      <c r="W7" s="1030">
        <v>0.61699999999999999</v>
      </c>
      <c r="X7" s="1030">
        <v>8.4000000000000005E-2</v>
      </c>
      <c r="Y7" s="1057">
        <v>0</v>
      </c>
      <c r="Z7" s="1057">
        <v>0</v>
      </c>
      <c r="AA7" s="1057">
        <v>0</v>
      </c>
      <c r="AB7" s="1057">
        <v>0</v>
      </c>
      <c r="AC7" s="1059">
        <v>0</v>
      </c>
      <c r="AD7" s="1059">
        <v>0.318</v>
      </c>
      <c r="AE7" s="1067">
        <v>-0.11000000000000001</v>
      </c>
      <c r="AF7" s="1059">
        <v>0.2</v>
      </c>
      <c r="AG7" s="1067">
        <v>4.6749999999999998</v>
      </c>
      <c r="AH7" s="1059">
        <v>0.06</v>
      </c>
      <c r="AI7" s="1059">
        <v>1.7000000000000001E-2</v>
      </c>
      <c r="AJ7" s="1059">
        <v>1</v>
      </c>
      <c r="AK7" s="1057">
        <v>0</v>
      </c>
      <c r="AL7" s="1057">
        <v>38.595999999999997</v>
      </c>
      <c r="AM7" s="1059">
        <v>0.14899999999999999</v>
      </c>
      <c r="AN7" s="1057">
        <v>1.2</v>
      </c>
      <c r="AO7" s="1030">
        <v>0.53</v>
      </c>
      <c r="AP7" s="1057">
        <v>0.38100000000000001</v>
      </c>
      <c r="AQ7" s="1069">
        <v>8</v>
      </c>
      <c r="AR7" s="1057">
        <v>4.5</v>
      </c>
      <c r="AS7" s="1057">
        <v>0.76600000000000001</v>
      </c>
      <c r="AT7" s="1059">
        <v>8.69</v>
      </c>
      <c r="AU7" s="1059">
        <v>0</v>
      </c>
      <c r="AV7" s="1057">
        <v>1.93</v>
      </c>
      <c r="AW7" s="1057">
        <v>1.4379999999999999</v>
      </c>
      <c r="AX7" s="1057">
        <v>2.6</v>
      </c>
      <c r="AY7" s="1030">
        <v>-2.48</v>
      </c>
      <c r="AZ7" s="1057">
        <v>12.164999999999999</v>
      </c>
      <c r="BA7" s="1030">
        <v>0</v>
      </c>
      <c r="BB7" s="1057">
        <v>8.4</v>
      </c>
      <c r="BC7" s="1057">
        <v>0</v>
      </c>
      <c r="BD7" s="1057">
        <v>0.3</v>
      </c>
      <c r="BE7" s="1067">
        <v>1.8</v>
      </c>
      <c r="BF7" s="1030">
        <v>0</v>
      </c>
      <c r="BG7" s="1030">
        <v>0</v>
      </c>
      <c r="BH7" s="1021">
        <v>1.3759999999999999</v>
      </c>
      <c r="BI7" s="1057">
        <v>0.85</v>
      </c>
      <c r="BJ7" s="1046">
        <v>2.7</v>
      </c>
    </row>
    <row r="8" spans="1:62" x14ac:dyDescent="0.35">
      <c r="A8" s="1035">
        <v>2024</v>
      </c>
      <c r="B8" s="1037">
        <f t="shared" si="1"/>
        <v>0</v>
      </c>
      <c r="C8" s="1037">
        <f t="shared" si="2"/>
        <v>0</v>
      </c>
      <c r="D8" s="1037">
        <f t="shared" si="3"/>
        <v>0.16</v>
      </c>
      <c r="E8" s="1037">
        <f t="shared" si="4"/>
        <v>1.4790000000000001</v>
      </c>
      <c r="F8" s="1037">
        <f t="shared" si="11"/>
        <v>4.2219999999999995</v>
      </c>
      <c r="G8" s="1037">
        <f t="shared" si="5"/>
        <v>1.365</v>
      </c>
      <c r="H8" s="1037">
        <f t="shared" si="6"/>
        <v>4.637999999999999</v>
      </c>
      <c r="I8" s="1037">
        <f t="shared" si="7"/>
        <v>0</v>
      </c>
      <c r="J8" s="1037">
        <f t="shared" si="8"/>
        <v>31.911000000000001</v>
      </c>
      <c r="K8" s="1037">
        <f t="shared" si="9"/>
        <v>9.6430000000000007</v>
      </c>
      <c r="L8" s="1041">
        <v>0</v>
      </c>
      <c r="M8" s="1037">
        <f t="shared" si="0"/>
        <v>3.9320000000000004</v>
      </c>
      <c r="N8" s="1037">
        <f t="shared" si="10"/>
        <v>0</v>
      </c>
      <c r="O8" s="1065">
        <v>0.7</v>
      </c>
      <c r="P8" s="1058">
        <v>0.96</v>
      </c>
      <c r="Q8" s="1057">
        <v>0</v>
      </c>
      <c r="R8" s="1067">
        <v>0.51900000000000002</v>
      </c>
      <c r="S8" s="1059">
        <v>0</v>
      </c>
      <c r="T8" s="1024">
        <v>0.16</v>
      </c>
      <c r="U8" s="1057">
        <v>2.8</v>
      </c>
      <c r="V8" s="1059">
        <v>0.504</v>
      </c>
      <c r="W8" s="1030">
        <v>0.47199999999999998</v>
      </c>
      <c r="X8" s="1030">
        <v>2E-3</v>
      </c>
      <c r="Y8" s="1057">
        <v>0</v>
      </c>
      <c r="Z8" s="1057">
        <v>0</v>
      </c>
      <c r="AA8" s="1057">
        <v>0</v>
      </c>
      <c r="AB8" s="1057">
        <v>0</v>
      </c>
      <c r="AC8" s="1059">
        <v>0</v>
      </c>
      <c r="AD8" s="1059">
        <v>0.34399999999999997</v>
      </c>
      <c r="AE8" s="1067">
        <v>0</v>
      </c>
      <c r="AF8" s="1067">
        <v>0.1</v>
      </c>
      <c r="AG8" s="1067">
        <v>4.5739999999999998</v>
      </c>
      <c r="AH8" s="1059">
        <v>0.06</v>
      </c>
      <c r="AI8" s="1059">
        <v>4.0000000000000001E-3</v>
      </c>
      <c r="AJ8" s="1059">
        <v>0</v>
      </c>
      <c r="AK8" s="1057">
        <v>0</v>
      </c>
      <c r="AL8" s="1057">
        <v>31.911000000000001</v>
      </c>
      <c r="AM8" s="1059">
        <v>4.1000000000000002E-2</v>
      </c>
      <c r="AN8" s="1057">
        <v>0.4</v>
      </c>
      <c r="AO8" s="1030">
        <v>0.41</v>
      </c>
      <c r="AP8" s="1057">
        <v>0.13100000000000001</v>
      </c>
      <c r="AQ8" s="1069">
        <v>0</v>
      </c>
      <c r="AR8" s="1057">
        <v>3</v>
      </c>
      <c r="AS8" s="1057">
        <v>0.30099999999999999</v>
      </c>
      <c r="AT8" s="1030">
        <v>5.36</v>
      </c>
      <c r="AU8" s="1059">
        <v>0</v>
      </c>
      <c r="AV8" s="1057">
        <v>0.79600000000000004</v>
      </c>
      <c r="AW8" s="1057">
        <v>0.27500000000000002</v>
      </c>
      <c r="AX8" s="1057">
        <v>1</v>
      </c>
      <c r="AY8" s="1030">
        <v>-2.6</v>
      </c>
      <c r="AZ8" s="1057">
        <v>4.4610000000000003</v>
      </c>
      <c r="BA8" s="1030">
        <v>0</v>
      </c>
      <c r="BB8" s="1057">
        <v>0.2</v>
      </c>
      <c r="BC8" s="1057">
        <v>0</v>
      </c>
      <c r="BD8" s="1057">
        <v>0</v>
      </c>
      <c r="BE8" s="1067">
        <v>1.95</v>
      </c>
      <c r="BF8" s="1030">
        <v>0</v>
      </c>
      <c r="BG8" s="1030">
        <v>0</v>
      </c>
      <c r="BH8" s="1021">
        <v>-0.875</v>
      </c>
      <c r="BI8" s="1057">
        <v>0.09</v>
      </c>
      <c r="BJ8" s="1047">
        <v>0.87</v>
      </c>
    </row>
    <row r="9" spans="1:62" x14ac:dyDescent="0.35">
      <c r="A9" s="1035">
        <v>2025</v>
      </c>
      <c r="B9" s="1037">
        <f t="shared" si="1"/>
        <v>0</v>
      </c>
      <c r="C9" s="1037">
        <f t="shared" si="2"/>
        <v>0</v>
      </c>
      <c r="D9" s="1037">
        <f t="shared" si="3"/>
        <v>3.3000000000000002E-2</v>
      </c>
      <c r="E9" s="1037">
        <f t="shared" si="4"/>
        <v>1.63</v>
      </c>
      <c r="F9" s="1037">
        <f t="shared" si="11"/>
        <v>2.3719999999999999</v>
      </c>
      <c r="G9" s="1037">
        <f t="shared" si="5"/>
        <v>-0.90100000000000025</v>
      </c>
      <c r="H9" s="1037">
        <f t="shared" si="6"/>
        <v>1.8800000000000001</v>
      </c>
      <c r="I9" s="1037">
        <f t="shared" si="7"/>
        <v>0</v>
      </c>
      <c r="J9" s="1037">
        <f t="shared" si="8"/>
        <v>23.099</v>
      </c>
      <c r="K9" s="1037">
        <f t="shared" si="9"/>
        <v>4.5789999999999997</v>
      </c>
      <c r="L9" s="1041">
        <v>0</v>
      </c>
      <c r="M9" s="1037">
        <f t="shared" si="0"/>
        <v>-0.74299999999999988</v>
      </c>
      <c r="N9" s="1037">
        <f t="shared" si="10"/>
        <v>0</v>
      </c>
      <c r="O9" s="1065">
        <v>0.7</v>
      </c>
      <c r="P9" s="1058">
        <v>1.06</v>
      </c>
      <c r="Q9" s="1057">
        <v>0</v>
      </c>
      <c r="R9" s="1067">
        <v>0.56999999999999995</v>
      </c>
      <c r="S9" s="1059">
        <v>0</v>
      </c>
      <c r="T9" s="1025">
        <v>3.3000000000000002E-2</v>
      </c>
      <c r="U9" s="1057">
        <v>2</v>
      </c>
      <c r="V9" s="1025">
        <v>0</v>
      </c>
      <c r="W9" s="1030">
        <v>0.21299999999999999</v>
      </c>
      <c r="X9" s="1030">
        <v>2E-3</v>
      </c>
      <c r="Y9" s="1057">
        <v>0</v>
      </c>
      <c r="Z9" s="1057">
        <v>0</v>
      </c>
      <c r="AA9" s="1057">
        <v>0</v>
      </c>
      <c r="AB9" s="1057">
        <v>0</v>
      </c>
      <c r="AC9" s="1059">
        <v>0</v>
      </c>
      <c r="AD9" s="1059">
        <v>0.157</v>
      </c>
      <c r="AE9" s="1067">
        <v>0</v>
      </c>
      <c r="AF9" s="1067">
        <v>0</v>
      </c>
      <c r="AG9" s="1059">
        <v>1.81</v>
      </c>
      <c r="AH9" s="1059">
        <v>7.0000000000000007E-2</v>
      </c>
      <c r="AI9" s="1059">
        <v>0</v>
      </c>
      <c r="AJ9" s="1057">
        <v>0</v>
      </c>
      <c r="AK9" s="1057">
        <v>0</v>
      </c>
      <c r="AL9" s="1057">
        <v>23.099</v>
      </c>
      <c r="AM9" s="1059">
        <v>1.2999999999999999E-2</v>
      </c>
      <c r="AN9" s="1057">
        <v>0.3</v>
      </c>
      <c r="AO9" s="1055">
        <v>0.15</v>
      </c>
      <c r="AP9" s="1057">
        <v>0.112</v>
      </c>
      <c r="AQ9" s="1069">
        <v>0</v>
      </c>
      <c r="AR9" s="1057">
        <v>0.2</v>
      </c>
      <c r="AS9" s="1057">
        <v>7.3999999999999996E-2</v>
      </c>
      <c r="AT9" s="1030">
        <v>3.73</v>
      </c>
      <c r="AU9" s="1059">
        <v>0</v>
      </c>
      <c r="AV9" s="1057">
        <v>5.3999999999999999E-2</v>
      </c>
      <c r="AW9" s="1057">
        <v>0.13100000000000001</v>
      </c>
      <c r="AX9" s="1057">
        <v>0</v>
      </c>
      <c r="AY9" s="1030">
        <v>-2.71</v>
      </c>
      <c r="AZ9" s="1057">
        <v>1.782</v>
      </c>
      <c r="BA9" s="1030">
        <v>0</v>
      </c>
      <c r="BB9" s="1057">
        <v>0</v>
      </c>
      <c r="BC9" s="1057">
        <v>0</v>
      </c>
      <c r="BD9" s="1057">
        <v>0</v>
      </c>
      <c r="BE9" s="1067">
        <v>1.43</v>
      </c>
      <c r="BF9" s="1030">
        <v>0</v>
      </c>
      <c r="BG9" s="1030">
        <v>0</v>
      </c>
      <c r="BH9" s="1021">
        <v>-2.3410000000000002</v>
      </c>
      <c r="BI9" s="1057">
        <v>0.01</v>
      </c>
      <c r="BJ9" s="1047">
        <v>0.33</v>
      </c>
    </row>
    <row r="10" spans="1:62" x14ac:dyDescent="0.35">
      <c r="A10" s="1035">
        <v>2026</v>
      </c>
      <c r="B10" s="1037">
        <f t="shared" si="1"/>
        <v>0</v>
      </c>
      <c r="C10" s="1037">
        <f t="shared" si="2"/>
        <v>0</v>
      </c>
      <c r="D10" s="1037">
        <f t="shared" si="3"/>
        <v>3.2000000000000001E-2</v>
      </c>
      <c r="E10" s="1037">
        <f t="shared" si="4"/>
        <v>1.671</v>
      </c>
      <c r="F10" s="1037">
        <f t="shared" si="11"/>
        <v>0.49</v>
      </c>
      <c r="G10" s="1037">
        <f t="shared" si="5"/>
        <v>-2.1500000000000004</v>
      </c>
      <c r="H10" s="1037">
        <f t="shared" si="6"/>
        <v>1.446</v>
      </c>
      <c r="I10" s="1037">
        <f t="shared" si="7"/>
        <v>0</v>
      </c>
      <c r="J10" s="1037">
        <f t="shared" si="8"/>
        <v>10.766999999999999</v>
      </c>
      <c r="K10" s="1037">
        <f t="shared" si="9"/>
        <v>2.9130000000000003</v>
      </c>
      <c r="L10" s="1041"/>
      <c r="M10" s="1037">
        <f t="shared" si="0"/>
        <v>-21.606000000000002</v>
      </c>
      <c r="N10" s="1037">
        <f t="shared" si="10"/>
        <v>0</v>
      </c>
      <c r="O10" s="1065">
        <v>0.7</v>
      </c>
      <c r="P10" s="1058">
        <v>1.07</v>
      </c>
      <c r="Q10" s="1057">
        <v>0</v>
      </c>
      <c r="R10" s="1067">
        <v>0.60099999999999998</v>
      </c>
      <c r="S10" s="1059">
        <v>0</v>
      </c>
      <c r="T10" s="1021">
        <v>3.2000000000000001E-2</v>
      </c>
      <c r="U10" s="1057">
        <v>0.3</v>
      </c>
      <c r="V10" s="1067">
        <v>0</v>
      </c>
      <c r="W10" s="1030">
        <v>0.188</v>
      </c>
      <c r="X10" s="1030">
        <v>2E-3</v>
      </c>
      <c r="Y10" s="1057">
        <v>0</v>
      </c>
      <c r="Z10" s="1057">
        <v>0</v>
      </c>
      <c r="AA10" s="1057">
        <v>0</v>
      </c>
      <c r="AB10" s="1057">
        <v>0</v>
      </c>
      <c r="AC10" s="1059">
        <v>0</v>
      </c>
      <c r="AD10" s="1059">
        <v>0</v>
      </c>
      <c r="AE10" s="1059">
        <v>0</v>
      </c>
      <c r="AF10" s="1067">
        <v>0</v>
      </c>
      <c r="AG10" s="1059">
        <v>1.3759999999999999</v>
      </c>
      <c r="AH10" s="1059">
        <v>7.0000000000000007E-2</v>
      </c>
      <c r="AI10" s="1059">
        <v>0</v>
      </c>
      <c r="AJ10" s="1026">
        <v>0</v>
      </c>
      <c r="AK10" s="1057">
        <v>0</v>
      </c>
      <c r="AL10" s="1057">
        <v>10.766999999999999</v>
      </c>
      <c r="AM10" s="1059">
        <v>3.0000000000000001E-3</v>
      </c>
      <c r="AN10" s="1057">
        <v>0.2</v>
      </c>
      <c r="AO10" s="1055">
        <v>0.1</v>
      </c>
      <c r="AP10" s="1057">
        <v>0.05</v>
      </c>
      <c r="AQ10" s="1069">
        <v>0</v>
      </c>
      <c r="AR10" s="1057">
        <v>0</v>
      </c>
      <c r="AS10" s="1057">
        <v>0</v>
      </c>
      <c r="AT10" s="1030">
        <v>2.56</v>
      </c>
      <c r="AU10" s="1059">
        <v>0</v>
      </c>
      <c r="AV10" s="1057">
        <v>3.7999999999999999E-2</v>
      </c>
      <c r="AW10" s="1057">
        <v>2.5999999999999999E-2</v>
      </c>
      <c r="AX10" s="1057">
        <v>0</v>
      </c>
      <c r="AY10" s="1030">
        <v>-2.6700000000000004</v>
      </c>
      <c r="AZ10" s="1057">
        <v>0</v>
      </c>
      <c r="BA10" s="1030">
        <v>-19</v>
      </c>
      <c r="BB10" s="1057">
        <v>0</v>
      </c>
      <c r="BC10" s="1057">
        <v>0</v>
      </c>
      <c r="BD10" s="1057">
        <v>0</v>
      </c>
      <c r="BE10" s="1030">
        <v>0.88</v>
      </c>
      <c r="BF10" s="1030">
        <v>0</v>
      </c>
      <c r="BG10" s="1030">
        <v>0</v>
      </c>
      <c r="BH10" s="1059">
        <v>-2.8200000000000003</v>
      </c>
      <c r="BI10" s="1057">
        <v>-0.21</v>
      </c>
      <c r="BJ10" s="1047">
        <v>0.17</v>
      </c>
    </row>
    <row r="11" spans="1:62" x14ac:dyDescent="0.35">
      <c r="A11" s="1035">
        <v>2027</v>
      </c>
      <c r="B11" s="1037">
        <f t="shared" si="1"/>
        <v>0</v>
      </c>
      <c r="C11" s="1037">
        <f t="shared" si="2"/>
        <v>0</v>
      </c>
      <c r="D11" s="1037">
        <f t="shared" si="3"/>
        <v>3.2000000000000001E-2</v>
      </c>
      <c r="E11" s="1037">
        <f t="shared" si="4"/>
        <v>1.7130000000000001</v>
      </c>
      <c r="F11" s="1037">
        <f t="shared" si="11"/>
        <v>0</v>
      </c>
      <c r="G11" s="1037">
        <f t="shared" si="5"/>
        <v>-4.8169999999999993</v>
      </c>
      <c r="H11" s="1037">
        <f t="shared" si="6"/>
        <v>0.65699999999999992</v>
      </c>
      <c r="I11" s="1037">
        <f t="shared" si="7"/>
        <v>0</v>
      </c>
      <c r="J11" s="1037">
        <f t="shared" si="8"/>
        <v>4.0789999999999997</v>
      </c>
      <c r="K11" s="1037">
        <f t="shared" si="9"/>
        <v>2.46</v>
      </c>
      <c r="L11" s="1041"/>
      <c r="M11" s="1037">
        <f t="shared" si="0"/>
        <v>-14.713000000000001</v>
      </c>
      <c r="N11" s="1037">
        <f t="shared" si="10"/>
        <v>0</v>
      </c>
      <c r="O11" s="1065">
        <v>0.3</v>
      </c>
      <c r="P11" s="1058">
        <v>1.08</v>
      </c>
      <c r="Q11" s="1057">
        <v>0</v>
      </c>
      <c r="R11" s="1067">
        <v>0.63300000000000001</v>
      </c>
      <c r="S11" s="1024">
        <v>0</v>
      </c>
      <c r="T11" s="1057">
        <v>3.2000000000000001E-2</v>
      </c>
      <c r="U11" s="1057">
        <v>0</v>
      </c>
      <c r="V11" s="1059">
        <v>0</v>
      </c>
      <c r="W11" s="1030">
        <v>0</v>
      </c>
      <c r="X11" s="1030">
        <v>0</v>
      </c>
      <c r="Y11" s="1057">
        <v>0</v>
      </c>
      <c r="Z11" s="1057">
        <v>0</v>
      </c>
      <c r="AA11" s="1057">
        <v>0</v>
      </c>
      <c r="AB11" s="1057">
        <v>0</v>
      </c>
      <c r="AC11" s="1059">
        <v>0</v>
      </c>
      <c r="AD11" s="1067">
        <v>0</v>
      </c>
      <c r="AE11" s="1059">
        <v>0</v>
      </c>
      <c r="AF11" s="1067">
        <v>0</v>
      </c>
      <c r="AG11" s="1059">
        <v>0.57699999999999996</v>
      </c>
      <c r="AH11" s="1059">
        <v>0.08</v>
      </c>
      <c r="AI11" s="1059">
        <v>0</v>
      </c>
      <c r="AJ11" s="1059">
        <v>0</v>
      </c>
      <c r="AK11" s="1057">
        <v>0</v>
      </c>
      <c r="AL11" s="1057">
        <v>4.0789999999999997</v>
      </c>
      <c r="AM11" s="1057">
        <v>0</v>
      </c>
      <c r="AN11" s="1057">
        <v>0.1</v>
      </c>
      <c r="AO11" s="1055">
        <v>0.1</v>
      </c>
      <c r="AP11" s="1057">
        <v>0.03</v>
      </c>
      <c r="AQ11" s="1069">
        <v>0</v>
      </c>
      <c r="AR11" s="1057">
        <v>0</v>
      </c>
      <c r="AS11" s="1057">
        <v>0</v>
      </c>
      <c r="AT11" s="1055">
        <v>2.23</v>
      </c>
      <c r="AU11" s="1059">
        <v>0</v>
      </c>
      <c r="AV11" s="1057">
        <v>1.7000000000000001E-2</v>
      </c>
      <c r="AW11" s="1057">
        <v>0</v>
      </c>
      <c r="AX11" s="1057">
        <v>0</v>
      </c>
      <c r="AY11" s="1030">
        <v>-2.73</v>
      </c>
      <c r="AZ11" s="1057">
        <v>0</v>
      </c>
      <c r="BA11" s="1030">
        <v>-12</v>
      </c>
      <c r="BB11" s="1057">
        <v>0</v>
      </c>
      <c r="BC11" s="1057">
        <v>0</v>
      </c>
      <c r="BD11" s="1057">
        <v>0</v>
      </c>
      <c r="BE11" s="1030">
        <v>0.28000000000000003</v>
      </c>
      <c r="BF11" s="1030">
        <v>0</v>
      </c>
      <c r="BG11" s="1030">
        <v>0</v>
      </c>
      <c r="BH11" s="1025">
        <v>-5.0069999999999997</v>
      </c>
      <c r="BI11" s="1057">
        <v>-0.09</v>
      </c>
      <c r="BJ11" s="1048">
        <v>0.06</v>
      </c>
    </row>
    <row r="12" spans="1:62" x14ac:dyDescent="0.35">
      <c r="A12" s="1035">
        <v>2028</v>
      </c>
      <c r="B12" s="1037">
        <f t="shared" si="1"/>
        <v>0</v>
      </c>
      <c r="C12" s="1037">
        <f t="shared" si="2"/>
        <v>0</v>
      </c>
      <c r="D12" s="1037">
        <f t="shared" si="3"/>
        <v>3.3000000000000002E-2</v>
      </c>
      <c r="E12" s="1037">
        <f t="shared" si="4"/>
        <v>1.7130000000000001</v>
      </c>
      <c r="F12" s="1037">
        <f t="shared" si="11"/>
        <v>0</v>
      </c>
      <c r="G12" s="1037">
        <f t="shared" si="5"/>
        <v>-5.0590000000000002</v>
      </c>
      <c r="H12" s="1037">
        <f t="shared" si="6"/>
        <v>-1.071</v>
      </c>
      <c r="I12" s="1037">
        <f t="shared" si="7"/>
        <v>0</v>
      </c>
      <c r="J12" s="1037">
        <f t="shared" si="8"/>
        <v>1.635</v>
      </c>
      <c r="K12" s="1037">
        <f t="shared" si="9"/>
        <v>1.81</v>
      </c>
      <c r="L12" s="1041"/>
      <c r="M12" s="1037">
        <f t="shared" si="0"/>
        <v>-2.7690000000000001</v>
      </c>
      <c r="N12" s="1037">
        <f t="shared" si="10"/>
        <v>0</v>
      </c>
      <c r="O12" s="1065">
        <v>0.3</v>
      </c>
      <c r="P12" s="1058">
        <v>1.08</v>
      </c>
      <c r="Q12" s="1057">
        <v>0</v>
      </c>
      <c r="R12" s="1067">
        <v>0.63300000000000001</v>
      </c>
      <c r="S12" s="1024">
        <v>0</v>
      </c>
      <c r="T12" s="1027">
        <v>3.3000000000000002E-2</v>
      </c>
      <c r="U12" s="1057">
        <v>0</v>
      </c>
      <c r="V12" s="1059">
        <v>0</v>
      </c>
      <c r="W12" s="1030">
        <v>0</v>
      </c>
      <c r="X12" s="1030">
        <v>0</v>
      </c>
      <c r="Y12" s="1057">
        <v>0</v>
      </c>
      <c r="Z12" s="1057">
        <v>0</v>
      </c>
      <c r="AA12" s="1057">
        <v>0</v>
      </c>
      <c r="AB12" s="1057">
        <v>0</v>
      </c>
      <c r="AC12" s="1059">
        <v>0</v>
      </c>
      <c r="AD12" s="1059">
        <v>0</v>
      </c>
      <c r="AE12" s="1059">
        <v>0</v>
      </c>
      <c r="AF12" s="1059">
        <v>0</v>
      </c>
      <c r="AG12" s="1059">
        <v>-1.151</v>
      </c>
      <c r="AH12" s="1059">
        <v>0.08</v>
      </c>
      <c r="AI12" s="1059">
        <v>0</v>
      </c>
      <c r="AJ12" s="1059">
        <v>0</v>
      </c>
      <c r="AK12" s="1057">
        <v>0</v>
      </c>
      <c r="AL12" s="1057">
        <v>1.635</v>
      </c>
      <c r="AM12" s="1057">
        <v>0</v>
      </c>
      <c r="AN12" s="1057">
        <v>0.1</v>
      </c>
      <c r="AO12" s="1030">
        <v>0</v>
      </c>
      <c r="AP12" s="1057">
        <v>0</v>
      </c>
      <c r="AQ12" s="1069">
        <v>0</v>
      </c>
      <c r="AR12" s="1057">
        <v>0</v>
      </c>
      <c r="AS12" s="1057">
        <v>0</v>
      </c>
      <c r="AT12" s="1055">
        <v>1.71</v>
      </c>
      <c r="AU12" s="1059">
        <v>0</v>
      </c>
      <c r="AV12" s="1057">
        <v>1E-3</v>
      </c>
      <c r="AW12" s="1057">
        <v>0</v>
      </c>
      <c r="AX12" s="1057">
        <v>0</v>
      </c>
      <c r="AY12" s="1030">
        <v>-2.77</v>
      </c>
      <c r="AZ12" s="1057">
        <v>0</v>
      </c>
      <c r="BA12" s="1030">
        <v>0</v>
      </c>
      <c r="BB12" s="1057">
        <v>0</v>
      </c>
      <c r="BC12" s="1057">
        <v>0</v>
      </c>
      <c r="BD12" s="1057">
        <v>0</v>
      </c>
      <c r="BE12" s="1030">
        <v>0.1</v>
      </c>
      <c r="BF12" s="1030">
        <v>0</v>
      </c>
      <c r="BG12" s="1030">
        <v>0</v>
      </c>
      <c r="BH12" s="1025">
        <v>-5.069</v>
      </c>
      <c r="BI12" s="1057">
        <v>-0.09</v>
      </c>
      <c r="BJ12" s="1048">
        <v>0.03</v>
      </c>
    </row>
    <row r="13" spans="1:62" x14ac:dyDescent="0.35">
      <c r="A13" s="1035">
        <v>2029</v>
      </c>
      <c r="B13" s="1037">
        <f t="shared" si="1"/>
        <v>0</v>
      </c>
      <c r="C13" s="1037">
        <f t="shared" si="2"/>
        <v>0</v>
      </c>
      <c r="D13" s="1037">
        <f t="shared" si="3"/>
        <v>3.3000000000000002E-2</v>
      </c>
      <c r="E13" s="1037">
        <f t="shared" si="4"/>
        <v>1.7130000000000001</v>
      </c>
      <c r="F13" s="1037">
        <f t="shared" si="11"/>
        <v>0</v>
      </c>
      <c r="G13" s="1037">
        <f t="shared" si="5"/>
        <v>-5.218</v>
      </c>
      <c r="H13" s="1037">
        <f t="shared" si="6"/>
        <v>-1.964</v>
      </c>
      <c r="I13" s="1037">
        <f t="shared" si="7"/>
        <v>0</v>
      </c>
      <c r="J13" s="1037">
        <f t="shared" si="8"/>
        <v>-1.7000000000000001E-2</v>
      </c>
      <c r="K13" s="1037">
        <f t="shared" si="9"/>
        <v>1</v>
      </c>
      <c r="L13" s="1041"/>
      <c r="M13" s="1037">
        <f t="shared" si="0"/>
        <v>-2.75</v>
      </c>
      <c r="N13" s="1037">
        <f t="shared" si="10"/>
        <v>0</v>
      </c>
      <c r="O13" s="1065">
        <v>0.3</v>
      </c>
      <c r="P13" s="1058">
        <v>1.08</v>
      </c>
      <c r="Q13" s="1057">
        <v>0</v>
      </c>
      <c r="R13" s="1067">
        <v>0.63300000000000001</v>
      </c>
      <c r="S13" s="1024">
        <v>0</v>
      </c>
      <c r="T13" s="1059">
        <v>3.3000000000000002E-2</v>
      </c>
      <c r="U13" s="1057">
        <v>0</v>
      </c>
      <c r="V13" s="1059">
        <v>0</v>
      </c>
      <c r="W13" s="1030">
        <v>0</v>
      </c>
      <c r="X13" s="1030">
        <v>0</v>
      </c>
      <c r="Y13" s="1057">
        <v>0</v>
      </c>
      <c r="Z13" s="1057">
        <v>0</v>
      </c>
      <c r="AA13" s="1057">
        <v>0</v>
      </c>
      <c r="AB13" s="1057">
        <v>0</v>
      </c>
      <c r="AC13" s="1059">
        <v>0</v>
      </c>
      <c r="AD13" s="1059">
        <v>0</v>
      </c>
      <c r="AE13" s="1059">
        <v>0</v>
      </c>
      <c r="AF13" s="1059">
        <v>0</v>
      </c>
      <c r="AG13" s="1057">
        <v>-2.044</v>
      </c>
      <c r="AH13" s="1059">
        <v>0.08</v>
      </c>
      <c r="AI13" s="1059">
        <v>0</v>
      </c>
      <c r="AJ13" s="1028">
        <v>0</v>
      </c>
      <c r="AK13" s="1057">
        <v>0</v>
      </c>
      <c r="AL13" s="1057">
        <v>-1.7000000000000001E-2</v>
      </c>
      <c r="AM13" s="1057">
        <v>0</v>
      </c>
      <c r="AN13" s="1057">
        <v>0</v>
      </c>
      <c r="AO13" s="1030">
        <v>0</v>
      </c>
      <c r="AP13" s="1057">
        <v>0</v>
      </c>
      <c r="AQ13" s="1069">
        <v>0</v>
      </c>
      <c r="AR13" s="1057">
        <v>0</v>
      </c>
      <c r="AS13" s="1057">
        <v>0</v>
      </c>
      <c r="AT13" s="1055">
        <v>1</v>
      </c>
      <c r="AU13" s="1059">
        <v>0</v>
      </c>
      <c r="AV13" s="1057">
        <v>0</v>
      </c>
      <c r="AW13" s="1057">
        <v>0</v>
      </c>
      <c r="AX13" s="1057">
        <v>0</v>
      </c>
      <c r="AY13" s="1030">
        <v>-2.75</v>
      </c>
      <c r="AZ13" s="1057">
        <v>0</v>
      </c>
      <c r="BA13" s="1030">
        <v>0</v>
      </c>
      <c r="BB13" s="1057">
        <v>0</v>
      </c>
      <c r="BC13" s="1057">
        <v>0</v>
      </c>
      <c r="BD13" s="1057">
        <v>0</v>
      </c>
      <c r="BE13" s="1030">
        <v>0</v>
      </c>
      <c r="BF13" s="1029">
        <v>0</v>
      </c>
      <c r="BG13" s="1030">
        <v>0</v>
      </c>
      <c r="BH13" s="1025">
        <v>-5.1180000000000003</v>
      </c>
      <c r="BI13" s="1057">
        <v>-0.1</v>
      </c>
      <c r="BJ13" s="1048">
        <v>0.01</v>
      </c>
    </row>
    <row r="14" spans="1:62" x14ac:dyDescent="0.35">
      <c r="A14" s="1035">
        <v>2030</v>
      </c>
      <c r="B14" s="1037">
        <f t="shared" si="1"/>
        <v>0</v>
      </c>
      <c r="C14" s="1037">
        <f t="shared" si="2"/>
        <v>0</v>
      </c>
      <c r="D14" s="1037">
        <f t="shared" si="3"/>
        <v>3.3000000000000002E-2</v>
      </c>
      <c r="E14" s="1037">
        <f t="shared" si="4"/>
        <v>1.8130000000000002</v>
      </c>
      <c r="F14" s="1037">
        <f t="shared" si="11"/>
        <v>0</v>
      </c>
      <c r="G14" s="1037">
        <f t="shared" si="5"/>
        <v>-5.9420000000000002</v>
      </c>
      <c r="H14" s="1037">
        <f t="shared" si="6"/>
        <v>-2.0210000000000004</v>
      </c>
      <c r="I14" s="1037">
        <f t="shared" si="7"/>
        <v>0</v>
      </c>
      <c r="J14" s="1037">
        <f t="shared" si="8"/>
        <v>-1.9E-2</v>
      </c>
      <c r="K14" s="1037">
        <f t="shared" si="9"/>
        <v>0.8</v>
      </c>
      <c r="L14" s="1041"/>
      <c r="M14" s="1037">
        <f t="shared" si="0"/>
        <v>-8.1189999999999998</v>
      </c>
      <c r="N14" s="1037">
        <f t="shared" si="10"/>
        <v>0</v>
      </c>
      <c r="O14" s="1065">
        <v>0.3</v>
      </c>
      <c r="P14" s="1058">
        <v>1.1800000000000002</v>
      </c>
      <c r="Q14" s="1057">
        <v>0</v>
      </c>
      <c r="R14" s="1067">
        <v>0.63300000000000001</v>
      </c>
      <c r="S14" s="1024">
        <v>0</v>
      </c>
      <c r="T14" s="1059">
        <v>3.3000000000000002E-2</v>
      </c>
      <c r="U14" s="1057">
        <v>0</v>
      </c>
      <c r="V14" s="1059">
        <v>0</v>
      </c>
      <c r="W14" s="1030">
        <v>0</v>
      </c>
      <c r="X14" s="1030">
        <v>0</v>
      </c>
      <c r="Y14" s="1057">
        <v>0</v>
      </c>
      <c r="Z14" s="1057">
        <v>0</v>
      </c>
      <c r="AA14" s="1057">
        <v>0</v>
      </c>
      <c r="AB14" s="1057">
        <v>0</v>
      </c>
      <c r="AC14" s="1059">
        <v>0</v>
      </c>
      <c r="AD14" s="1067">
        <v>0</v>
      </c>
      <c r="AE14" s="1057">
        <v>0</v>
      </c>
      <c r="AF14" s="1059">
        <v>0</v>
      </c>
      <c r="AG14" s="1059">
        <v>-2.1110000000000002</v>
      </c>
      <c r="AH14" s="1059">
        <v>0.09</v>
      </c>
      <c r="AI14" s="1059">
        <v>0</v>
      </c>
      <c r="AJ14" s="1031">
        <v>0</v>
      </c>
      <c r="AK14" s="1057">
        <v>0</v>
      </c>
      <c r="AL14" s="1057">
        <v>-1.9E-2</v>
      </c>
      <c r="AM14" s="1057">
        <v>0</v>
      </c>
      <c r="AN14" s="1057">
        <v>0</v>
      </c>
      <c r="AO14" s="1030">
        <v>0</v>
      </c>
      <c r="AP14" s="1057">
        <v>0</v>
      </c>
      <c r="AQ14" s="1069">
        <v>0</v>
      </c>
      <c r="AR14" s="1057">
        <v>0</v>
      </c>
      <c r="AS14" s="1057">
        <v>0</v>
      </c>
      <c r="AT14" s="1030">
        <v>0.8</v>
      </c>
      <c r="AU14" s="1059">
        <v>-5.4089999999999998</v>
      </c>
      <c r="AV14" s="1057">
        <v>0</v>
      </c>
      <c r="AW14" s="1057">
        <v>0</v>
      </c>
      <c r="AX14" s="1057">
        <v>0</v>
      </c>
      <c r="AY14" s="1030">
        <v>-2.71</v>
      </c>
      <c r="AZ14" s="1057">
        <v>0</v>
      </c>
      <c r="BA14" s="1030">
        <v>0</v>
      </c>
      <c r="BB14" s="1057">
        <v>0</v>
      </c>
      <c r="BC14" s="1057">
        <v>0</v>
      </c>
      <c r="BD14" s="1057">
        <v>0</v>
      </c>
      <c r="BE14" s="1057">
        <v>0</v>
      </c>
      <c r="BF14" s="1030">
        <v>0</v>
      </c>
      <c r="BG14" s="1030">
        <v>0</v>
      </c>
      <c r="BH14" s="1059">
        <v>-5.8319999999999999</v>
      </c>
      <c r="BI14" s="1057">
        <v>-0.11</v>
      </c>
      <c r="BJ14" s="1047">
        <v>0.01</v>
      </c>
    </row>
    <row r="15" spans="1:62" ht="17.25" customHeight="1" x14ac:dyDescent="0.35">
      <c r="A15" s="1035">
        <v>2031</v>
      </c>
      <c r="B15" s="1037">
        <f t="shared" si="1"/>
        <v>0</v>
      </c>
      <c r="C15" s="1037">
        <f t="shared" si="2"/>
        <v>0</v>
      </c>
      <c r="D15" s="1037">
        <f t="shared" si="3"/>
        <v>0</v>
      </c>
      <c r="E15" s="1037">
        <f t="shared" si="4"/>
        <v>1.8230000000000002</v>
      </c>
      <c r="F15" s="1037">
        <f t="shared" si="11"/>
        <v>0</v>
      </c>
      <c r="G15" s="1037">
        <f t="shared" si="5"/>
        <v>-7.7250000000000005</v>
      </c>
      <c r="H15" s="1037">
        <f t="shared" si="6"/>
        <v>-2.4630000000000001</v>
      </c>
      <c r="I15" s="1037">
        <f t="shared" si="7"/>
        <v>0</v>
      </c>
      <c r="J15" s="1037">
        <f t="shared" si="8"/>
        <v>-1.9E-2</v>
      </c>
      <c r="K15" s="1037">
        <f t="shared" si="9"/>
        <v>0</v>
      </c>
      <c r="L15" s="1041"/>
      <c r="M15" s="1037">
        <f t="shared" si="0"/>
        <v>-3.0390000000000001</v>
      </c>
      <c r="N15" s="1037">
        <f t="shared" si="10"/>
        <v>0</v>
      </c>
      <c r="O15" s="1065">
        <v>0.3</v>
      </c>
      <c r="P15" s="1058">
        <v>1.1900000000000002</v>
      </c>
      <c r="Q15" s="1057">
        <v>0</v>
      </c>
      <c r="R15" s="1067">
        <v>0.63300000000000001</v>
      </c>
      <c r="S15" s="1024">
        <v>0</v>
      </c>
      <c r="T15" s="1030">
        <v>0</v>
      </c>
      <c r="U15" s="1057">
        <v>0</v>
      </c>
      <c r="V15" s="1057">
        <v>0</v>
      </c>
      <c r="W15" s="1030">
        <v>0</v>
      </c>
      <c r="X15" s="1030">
        <v>0</v>
      </c>
      <c r="Y15" s="1057">
        <v>0</v>
      </c>
      <c r="Z15" s="1057">
        <v>0</v>
      </c>
      <c r="AA15" s="1057">
        <v>0</v>
      </c>
      <c r="AB15" s="1057">
        <v>0</v>
      </c>
      <c r="AC15" s="1059">
        <v>0</v>
      </c>
      <c r="AD15" s="1057">
        <v>0</v>
      </c>
      <c r="AE15" s="1059">
        <v>0</v>
      </c>
      <c r="AF15" s="1059">
        <v>0</v>
      </c>
      <c r="AG15" s="1059">
        <v>-2.5529999999999999</v>
      </c>
      <c r="AH15" s="1059">
        <v>0.09</v>
      </c>
      <c r="AI15" s="1059">
        <v>0</v>
      </c>
      <c r="AJ15" s="1032">
        <v>0</v>
      </c>
      <c r="AK15" s="1057">
        <v>0</v>
      </c>
      <c r="AL15" s="1057">
        <v>-1.9E-2</v>
      </c>
      <c r="AM15" s="1057">
        <v>0</v>
      </c>
      <c r="AN15" s="1057">
        <v>0</v>
      </c>
      <c r="AO15" s="1030">
        <v>0</v>
      </c>
      <c r="AP15" s="1057">
        <v>0</v>
      </c>
      <c r="AQ15" s="1069">
        <v>0</v>
      </c>
      <c r="AR15" s="1057">
        <v>0</v>
      </c>
      <c r="AS15" s="1057">
        <v>0</v>
      </c>
      <c r="AT15" s="1030">
        <v>0</v>
      </c>
      <c r="AU15" s="1059">
        <v>-0.26900000000000002</v>
      </c>
      <c r="AV15" s="1057">
        <v>0</v>
      </c>
      <c r="AW15" s="1057">
        <v>0</v>
      </c>
      <c r="AX15" s="1057">
        <v>0</v>
      </c>
      <c r="AY15" s="1030">
        <v>-2.77</v>
      </c>
      <c r="AZ15" s="1057">
        <v>0</v>
      </c>
      <c r="BA15" s="1030">
        <v>0</v>
      </c>
      <c r="BB15" s="1057">
        <v>0</v>
      </c>
      <c r="BC15" s="1057">
        <v>0</v>
      </c>
      <c r="BD15" s="1057">
        <v>0</v>
      </c>
      <c r="BE15" s="1057">
        <v>0</v>
      </c>
      <c r="BF15" s="1030">
        <v>0</v>
      </c>
      <c r="BG15" s="1030">
        <v>0</v>
      </c>
      <c r="BH15" s="1059">
        <v>-5.4350000000000005</v>
      </c>
      <c r="BI15" s="1057">
        <v>-2.29</v>
      </c>
      <c r="BJ15" s="1047">
        <v>0</v>
      </c>
    </row>
    <row r="16" spans="1:62" x14ac:dyDescent="0.35">
      <c r="A16" s="1036" t="s">
        <v>312</v>
      </c>
      <c r="B16" s="1036">
        <f>SUM(B5:B15)</f>
        <v>412.15299999999996</v>
      </c>
      <c r="C16" s="1036">
        <f>SUM(C5:C15)</f>
        <v>205.79999999999998</v>
      </c>
      <c r="D16" s="1036">
        <f>SUM(D5:D15)</f>
        <v>22.711000000000006</v>
      </c>
      <c r="E16" s="1036">
        <f t="shared" ref="E16:H16" si="12">SUM(E5:E15)</f>
        <v>35.466000000000015</v>
      </c>
      <c r="F16" s="1036">
        <f t="shared" si="12"/>
        <v>91.563000000000002</v>
      </c>
      <c r="G16" s="1037">
        <f t="shared" si="5"/>
        <v>174.17</v>
      </c>
      <c r="H16" s="1036">
        <f t="shared" si="12"/>
        <v>21.600999999999996</v>
      </c>
      <c r="I16" s="1041">
        <f t="shared" ref="I16" si="13">SUM(I5:I15)</f>
        <v>362.04999999999995</v>
      </c>
      <c r="J16" s="1041">
        <f t="shared" ref="J16" si="14">SUM(J5:J15)</f>
        <v>169.16899999999998</v>
      </c>
      <c r="K16" s="1037">
        <f t="shared" si="9"/>
        <v>112.72</v>
      </c>
      <c r="L16" s="1041">
        <f>SUM(L5:L15)</f>
        <v>25.75</v>
      </c>
      <c r="M16" s="1037">
        <f t="shared" si="0"/>
        <v>85.197999999999993</v>
      </c>
      <c r="N16" s="1037">
        <f>AK16</f>
        <v>8.5</v>
      </c>
      <c r="O16" s="1066">
        <f t="shared" ref="O16:BI16" si="15">SUM(O5:O15)</f>
        <v>109.3</v>
      </c>
      <c r="P16" s="1057">
        <f t="shared" si="15"/>
        <v>25.819999999999997</v>
      </c>
      <c r="Q16" s="1057">
        <f t="shared" si="15"/>
        <v>412.15299999999996</v>
      </c>
      <c r="R16" s="1057">
        <f t="shared" si="15"/>
        <v>5.774</v>
      </c>
      <c r="S16" s="1057">
        <f t="shared" si="15"/>
        <v>3.8719999999999999</v>
      </c>
      <c r="T16" s="1057">
        <f t="shared" si="15"/>
        <v>22.711000000000006</v>
      </c>
      <c r="U16" s="1057">
        <f t="shared" si="15"/>
        <v>41.599999999999994</v>
      </c>
      <c r="V16" s="1057">
        <f t="shared" si="15"/>
        <v>44.947999999999993</v>
      </c>
      <c r="W16" s="1057">
        <f t="shared" si="15"/>
        <v>5</v>
      </c>
      <c r="X16" s="1057">
        <f t="shared" si="15"/>
        <v>1.4440000000000002</v>
      </c>
      <c r="Y16" s="1057">
        <f t="shared" si="15"/>
        <v>0.2</v>
      </c>
      <c r="Z16" s="1057">
        <f t="shared" si="15"/>
        <v>45.4</v>
      </c>
      <c r="AA16" s="1057">
        <f t="shared" si="15"/>
        <v>35.5</v>
      </c>
      <c r="AB16" s="1057">
        <f t="shared" si="15"/>
        <v>124.7</v>
      </c>
      <c r="AC16" s="1057">
        <f t="shared" si="15"/>
        <v>28</v>
      </c>
      <c r="AD16" s="1057">
        <f t="shared" si="15"/>
        <v>9.100000000000022E-2</v>
      </c>
      <c r="AE16" s="1057">
        <f t="shared" si="15"/>
        <v>22.810000000000002</v>
      </c>
      <c r="AF16" s="1057">
        <f t="shared" si="15"/>
        <v>1.42</v>
      </c>
      <c r="AG16" s="1057">
        <f t="shared" si="15"/>
        <v>20.662999999999997</v>
      </c>
      <c r="AH16" s="1057">
        <f t="shared" si="15"/>
        <v>0.86999999999999988</v>
      </c>
      <c r="AI16" s="1057">
        <f t="shared" si="15"/>
        <v>6.8000000000000005E-2</v>
      </c>
      <c r="AJ16" s="1057">
        <f t="shared" si="15"/>
        <v>362.04999999999995</v>
      </c>
      <c r="AK16" s="1057">
        <f t="shared" ref="AK16:AO16" si="16">SUM(AK5:AK15)</f>
        <v>8.5</v>
      </c>
      <c r="AL16" s="1057">
        <f t="shared" si="16"/>
        <v>169.16899999999998</v>
      </c>
      <c r="AM16" s="1039">
        <f t="shared" si="16"/>
        <v>0.79700000000000004</v>
      </c>
      <c r="AN16" s="1057">
        <f t="shared" si="16"/>
        <v>8.6</v>
      </c>
      <c r="AO16" s="1057">
        <f t="shared" si="16"/>
        <v>3.2000000000000006</v>
      </c>
      <c r="AP16" s="1057">
        <f t="shared" si="15"/>
        <v>2.8000000000000003</v>
      </c>
      <c r="AQ16" s="1042">
        <f>SUM(AQ5:AQ15)</f>
        <v>28</v>
      </c>
      <c r="AR16" s="1057">
        <f>SUM(AR5:AR15)</f>
        <v>14.899999999999999</v>
      </c>
      <c r="AS16" s="1057">
        <f>SUM(AS5:AS15)</f>
        <v>3.8730000000000002</v>
      </c>
      <c r="AT16" s="1057">
        <f t="shared" ref="AT16" si="17">SUM(AT5:AT15)</f>
        <v>50.54999999999999</v>
      </c>
      <c r="AU16" s="1057">
        <f t="shared" si="15"/>
        <v>-5.6779999999999999</v>
      </c>
      <c r="AV16" s="1057">
        <f t="shared" si="15"/>
        <v>8.177999999999999</v>
      </c>
      <c r="AW16" s="1057">
        <f t="shared" si="15"/>
        <v>16.667999999999999</v>
      </c>
      <c r="AX16" s="1057">
        <f t="shared" si="15"/>
        <v>9.9</v>
      </c>
      <c r="AY16" s="1057">
        <f t="shared" si="15"/>
        <v>-25.860000000000003</v>
      </c>
      <c r="AZ16" s="1057">
        <f t="shared" si="15"/>
        <v>81.99</v>
      </c>
      <c r="BA16" s="1057">
        <v>0</v>
      </c>
      <c r="BB16" s="1057">
        <f t="shared" si="15"/>
        <v>24</v>
      </c>
      <c r="BC16" s="1057">
        <f t="shared" si="15"/>
        <v>7.25</v>
      </c>
      <c r="BD16" s="1057">
        <f t="shared" si="15"/>
        <v>49.8</v>
      </c>
      <c r="BE16" s="1057">
        <f t="shared" si="15"/>
        <v>9.02</v>
      </c>
      <c r="BF16" s="1057">
        <f t="shared" si="15"/>
        <v>6.2439999999999998</v>
      </c>
      <c r="BG16" s="1057">
        <f t="shared" si="15"/>
        <v>10.218</v>
      </c>
      <c r="BH16" s="1057">
        <f t="shared" si="15"/>
        <v>50.203999999999979</v>
      </c>
      <c r="BI16" s="1057">
        <f t="shared" si="15"/>
        <v>24.684000000000005</v>
      </c>
      <c r="BJ16" s="1049">
        <f>SUM(BJ5:BJ15)</f>
        <v>9.5399999999999991</v>
      </c>
    </row>
    <row r="17" spans="2:61" x14ac:dyDescent="0.35">
      <c r="R17" s="1067"/>
      <c r="S17" s="1067"/>
      <c r="W17" s="1067"/>
      <c r="X17" s="1067"/>
      <c r="AE17" s="1067"/>
      <c r="AF17" s="1067"/>
      <c r="AV17" s="1067"/>
      <c r="AW17" s="1067"/>
      <c r="AX17" s="1067"/>
      <c r="AY17" s="1067"/>
      <c r="AZ17" s="1067"/>
      <c r="BA17" s="1067"/>
      <c r="BC17" s="1067"/>
      <c r="BE17" s="1067"/>
      <c r="BF17" s="1067"/>
      <c r="BG17" s="1067"/>
    </row>
    <row r="18" spans="2:61" x14ac:dyDescent="0.35">
      <c r="R18" s="1067"/>
      <c r="S18" s="1067"/>
      <c r="W18" s="1067"/>
      <c r="X18" s="1067"/>
      <c r="AE18" s="1067"/>
      <c r="AF18" s="1067"/>
      <c r="AV18" s="1067"/>
      <c r="AW18" s="1067"/>
      <c r="AX18" s="1067"/>
      <c r="AY18" s="1067"/>
      <c r="AZ18" s="1067"/>
      <c r="BA18" s="1067"/>
      <c r="BC18" s="1067" t="s">
        <v>729</v>
      </c>
      <c r="BD18" s="1067" t="s">
        <v>729</v>
      </c>
      <c r="BE18" s="1067"/>
      <c r="BF18" s="1067" t="s">
        <v>729</v>
      </c>
      <c r="BG18" s="1067" t="s">
        <v>729</v>
      </c>
      <c r="BI18" s="1067" t="s">
        <v>729</v>
      </c>
    </row>
    <row r="19" spans="2:61" x14ac:dyDescent="0.35">
      <c r="B19" s="884"/>
      <c r="C19" s="884"/>
      <c r="D19" s="884"/>
      <c r="E19" s="884"/>
      <c r="F19" s="884"/>
      <c r="H19" s="884"/>
      <c r="I19" s="884"/>
      <c r="J19" s="884"/>
      <c r="K19" s="884"/>
      <c r="M19" s="884"/>
      <c r="N19" s="884"/>
      <c r="R19" s="1067"/>
      <c r="S19" s="1067"/>
      <c r="W19" s="1067"/>
      <c r="X19" s="1067"/>
      <c r="AE19" s="1067"/>
      <c r="AF19" s="1067"/>
      <c r="AV19" s="1067"/>
      <c r="AW19" s="1067"/>
      <c r="AX19" s="1067"/>
      <c r="AY19" s="1067"/>
      <c r="AZ19" s="1067"/>
      <c r="BA19" s="1067"/>
      <c r="BC19" s="1067"/>
      <c r="BD19" t="s">
        <v>730</v>
      </c>
      <c r="BE19" s="1067"/>
      <c r="BF19" s="1067"/>
      <c r="BG19" s="1067"/>
    </row>
    <row r="20" spans="2:61" x14ac:dyDescent="0.35">
      <c r="R20" s="1067"/>
      <c r="S20" s="1067"/>
      <c r="W20" s="1067"/>
      <c r="X20" s="1067"/>
      <c r="AE20" s="1067"/>
      <c r="AF20" s="1067"/>
      <c r="AV20" s="1067"/>
      <c r="AW20" s="1067"/>
      <c r="AX20" s="1067"/>
      <c r="AY20" s="1067"/>
      <c r="AZ20" s="1067"/>
      <c r="BA20" s="1067"/>
      <c r="BC20" s="1067"/>
      <c r="BE20" s="1067"/>
      <c r="BF20" s="1067"/>
      <c r="BG20" s="1067"/>
    </row>
    <row r="21" spans="2:61" x14ac:dyDescent="0.35">
      <c r="R21" s="1067"/>
      <c r="S21" s="1067"/>
      <c r="W21" s="1067"/>
      <c r="X21" s="1067"/>
      <c r="AE21" s="1067"/>
      <c r="AF21" s="1067"/>
      <c r="AV21" s="1067"/>
      <c r="AW21" s="1067"/>
      <c r="AX21" s="1067"/>
      <c r="AY21" s="1067"/>
      <c r="AZ21" s="1067"/>
      <c r="BA21" s="1067"/>
      <c r="BC21" s="1067"/>
      <c r="BE21" s="1067"/>
      <c r="BF21" s="1067"/>
      <c r="BG21" s="1067"/>
    </row>
    <row r="22" spans="2:61" x14ac:dyDescent="0.35">
      <c r="B22" s="884"/>
      <c r="R22" s="1067"/>
      <c r="S22" s="1067"/>
      <c r="W22" s="1067"/>
      <c r="X22" s="1067"/>
      <c r="AE22" s="1067"/>
      <c r="AF22" s="1067"/>
      <c r="AV22" s="1067"/>
      <c r="AW22" s="1067"/>
      <c r="AX22" s="1067"/>
      <c r="AY22" s="1067"/>
      <c r="AZ22" s="1067"/>
      <c r="BA22" s="1067"/>
      <c r="BC22" s="1067"/>
      <c r="BE22" s="1067"/>
      <c r="BF22" s="1067"/>
      <c r="BG22" s="1067"/>
    </row>
    <row r="23" spans="2:61" x14ac:dyDescent="0.35">
      <c r="B23" s="884"/>
      <c r="R23" s="1067"/>
      <c r="S23" s="1067"/>
      <c r="W23" s="1067"/>
      <c r="X23" s="1067"/>
      <c r="AE23" s="1067"/>
      <c r="AF23" s="1067"/>
      <c r="AV23" s="1067"/>
      <c r="AW23" s="1067"/>
      <c r="AX23" s="1067"/>
      <c r="AY23" s="1067"/>
      <c r="AZ23" s="1067"/>
      <c r="BA23" s="1067"/>
      <c r="BC23" s="1067"/>
      <c r="BE23" s="1067"/>
      <c r="BF23" s="1067"/>
      <c r="BG23" s="1067"/>
    </row>
    <row r="24" spans="2:61" x14ac:dyDescent="0.35">
      <c r="B24" s="884"/>
      <c r="R24" s="1067"/>
      <c r="S24" s="1067"/>
      <c r="W24" s="1067"/>
      <c r="X24" s="1067"/>
      <c r="AE24" s="1067"/>
      <c r="AF24" s="1067"/>
      <c r="AV24" s="1067"/>
      <c r="AW24" s="1067"/>
      <c r="AX24" s="1067"/>
      <c r="AY24" s="1067"/>
      <c r="AZ24" s="1067"/>
      <c r="BA24" s="1067"/>
      <c r="BC24" s="1067"/>
      <c r="BE24" s="1067"/>
      <c r="BF24" s="1067"/>
      <c r="BG24" s="1067"/>
    </row>
    <row r="25" spans="2:61" x14ac:dyDescent="0.35">
      <c r="B25" s="884"/>
      <c r="R25" s="1067"/>
      <c r="S25" s="1067"/>
      <c r="W25" s="1067"/>
      <c r="X25" s="1067"/>
      <c r="AE25" s="1067"/>
      <c r="AF25" s="1067"/>
      <c r="AV25" s="1067"/>
      <c r="AW25" s="1067"/>
      <c r="AX25" s="1067"/>
      <c r="AY25" s="1067"/>
      <c r="AZ25" s="1067"/>
      <c r="BA25" s="1067"/>
      <c r="BC25" s="1067"/>
      <c r="BE25" s="1067"/>
      <c r="BF25" s="1067"/>
      <c r="BG25" s="1067"/>
    </row>
    <row r="26" spans="2:61" x14ac:dyDescent="0.35">
      <c r="B26" s="884"/>
      <c r="R26" s="1067"/>
      <c r="S26" s="1067"/>
      <c r="W26" s="1067"/>
      <c r="X26" s="1067"/>
      <c r="AE26" s="1067"/>
      <c r="AF26" s="1067"/>
      <c r="AV26" s="1067"/>
      <c r="AW26" s="1067"/>
      <c r="AX26" s="1067"/>
      <c r="AY26" s="1067"/>
      <c r="AZ26" s="1067"/>
      <c r="BA26" s="1067"/>
      <c r="BC26" s="1067"/>
      <c r="BE26" s="1067"/>
      <c r="BF26" s="1067"/>
      <c r="BG26" s="1067"/>
    </row>
    <row r="27" spans="2:61" x14ac:dyDescent="0.35">
      <c r="B27" s="884"/>
      <c r="R27" s="1067"/>
      <c r="S27" s="1067"/>
      <c r="W27" s="1067"/>
      <c r="X27" s="1067"/>
      <c r="AE27" s="1067"/>
      <c r="AF27" s="1067"/>
      <c r="AV27" s="1067"/>
      <c r="AW27" s="1067"/>
      <c r="AX27" s="1067"/>
      <c r="AY27" s="1067"/>
      <c r="AZ27" s="1067"/>
      <c r="BA27" s="1067"/>
      <c r="BC27" s="1067"/>
      <c r="BE27" s="1067"/>
      <c r="BF27" s="1067"/>
      <c r="BG27" s="1067"/>
    </row>
    <row r="28" spans="2:61" x14ac:dyDescent="0.35">
      <c r="B28" s="884"/>
      <c r="R28" s="1067"/>
      <c r="S28" s="1067"/>
      <c r="W28" s="1067"/>
      <c r="X28" s="1067"/>
      <c r="AE28" s="1067"/>
      <c r="AF28" s="1067"/>
      <c r="AV28" s="1067"/>
      <c r="AW28" s="1067"/>
      <c r="AX28" s="1067"/>
      <c r="AY28" s="1067"/>
      <c r="AZ28" s="1067"/>
      <c r="BA28" s="1067"/>
      <c r="BC28" s="1067"/>
      <c r="BE28" s="1067"/>
      <c r="BF28" s="1067"/>
      <c r="BG28" s="1067"/>
    </row>
    <row r="29" spans="2:61" x14ac:dyDescent="0.35">
      <c r="R29" s="1067"/>
      <c r="S29" s="1067"/>
      <c r="W29" s="1067"/>
      <c r="X29" s="1067"/>
      <c r="AE29" s="1067"/>
      <c r="AF29" s="1067"/>
      <c r="AV29" s="1067"/>
      <c r="AW29" s="1067"/>
      <c r="AX29" s="1067"/>
      <c r="AY29" s="1067"/>
      <c r="AZ29" s="1067"/>
      <c r="BA29" s="1067"/>
      <c r="BC29" s="1067"/>
      <c r="BE29" s="1067"/>
      <c r="BF29" s="1067"/>
      <c r="BG29" s="1067"/>
    </row>
    <row r="30" spans="2:61" x14ac:dyDescent="0.35">
      <c r="R30" s="1067"/>
      <c r="S30" s="1067"/>
      <c r="W30" s="1067"/>
      <c r="X30" s="1067"/>
      <c r="AE30" s="1067"/>
      <c r="AF30" s="1067"/>
      <c r="AV30" s="1067"/>
      <c r="AW30" s="1067"/>
      <c r="AX30" s="1067"/>
      <c r="AY30" s="1067"/>
      <c r="AZ30" s="1067"/>
      <c r="BA30" s="1067"/>
      <c r="BC30" s="1067"/>
      <c r="BE30" s="1067"/>
      <c r="BF30" s="1067"/>
      <c r="BG30" s="1067"/>
    </row>
    <row r="31" spans="2:61" x14ac:dyDescent="0.35">
      <c r="R31" s="1067"/>
      <c r="S31" s="1067"/>
      <c r="W31" s="1067"/>
      <c r="X31" s="1067"/>
      <c r="AE31" s="1067"/>
      <c r="AF31" s="1067"/>
      <c r="AV31" s="1067"/>
      <c r="AW31" s="1067"/>
      <c r="AX31" s="1067"/>
      <c r="AY31" s="1067"/>
      <c r="AZ31" s="1067"/>
      <c r="BA31" s="1067"/>
      <c r="BC31" s="1067"/>
      <c r="BE31" s="1067"/>
      <c r="BF31" s="1067"/>
      <c r="BG31" s="1067"/>
    </row>
    <row r="32" spans="2:61" x14ac:dyDescent="0.35">
      <c r="R32" s="1067"/>
      <c r="S32" s="1067"/>
      <c r="W32" s="1067"/>
      <c r="X32" s="1067"/>
      <c r="AE32" s="1067"/>
      <c r="AF32" s="1067"/>
      <c r="AV32" s="1067"/>
      <c r="AW32" s="1067"/>
      <c r="AX32" s="1067"/>
      <c r="AY32" s="1067"/>
      <c r="AZ32" s="1067"/>
      <c r="BA32" s="1067"/>
      <c r="BC32" s="1067"/>
      <c r="BE32" s="1067"/>
      <c r="BF32" s="1067"/>
      <c r="BG32" s="1067"/>
    </row>
    <row r="33" spans="18:59" x14ac:dyDescent="0.35">
      <c r="R33" s="1067"/>
      <c r="S33" s="1067"/>
      <c r="W33" s="1067"/>
      <c r="X33" s="1067"/>
      <c r="AE33" s="1067"/>
      <c r="AF33" s="1067"/>
      <c r="AV33" s="1067"/>
      <c r="AW33" s="1067"/>
      <c r="AX33" s="1067"/>
      <c r="AY33" s="1067"/>
      <c r="AZ33" s="1067"/>
      <c r="BA33" s="1067"/>
      <c r="BC33" s="1067"/>
      <c r="BE33" s="1067"/>
      <c r="BF33" s="1067"/>
      <c r="BG33" s="1067"/>
    </row>
    <row r="34" spans="18:59" x14ac:dyDescent="0.35">
      <c r="R34" s="1067"/>
      <c r="S34" s="1067"/>
      <c r="W34" s="1067"/>
      <c r="X34" s="1067"/>
      <c r="AE34" s="1067"/>
      <c r="AF34" s="1067"/>
      <c r="AV34" s="1067"/>
      <c r="AW34" s="1067"/>
      <c r="AX34" s="1067"/>
      <c r="AY34" s="1067"/>
      <c r="AZ34" s="1067"/>
      <c r="BA34" s="1067"/>
      <c r="BC34" s="1067"/>
      <c r="BE34" s="1067"/>
      <c r="BF34" s="1067"/>
      <c r="BG34" s="1067"/>
    </row>
    <row r="35" spans="18:59" x14ac:dyDescent="0.35">
      <c r="R35" s="1067"/>
      <c r="S35" s="1067"/>
      <c r="W35" s="1067"/>
      <c r="X35" s="1067"/>
      <c r="AE35" s="1067"/>
      <c r="AF35" s="1067"/>
      <c r="AV35" s="1067"/>
      <c r="AW35" s="1067"/>
      <c r="AX35" s="1067"/>
      <c r="AY35" s="1067"/>
      <c r="AZ35" s="1067"/>
      <c r="BA35" s="1067"/>
      <c r="BC35" s="1067"/>
      <c r="BE35" s="1067"/>
      <c r="BF35" s="1067"/>
      <c r="BG35" s="1067"/>
    </row>
    <row r="36" spans="18:59" x14ac:dyDescent="0.35">
      <c r="R36" s="1067"/>
      <c r="S36" s="1067"/>
      <c r="W36" s="1067"/>
      <c r="X36" s="1067"/>
      <c r="AE36" s="1067"/>
      <c r="AF36" s="1067"/>
      <c r="AV36" s="1067"/>
      <c r="AW36" s="1067"/>
      <c r="AX36" s="1067"/>
      <c r="AY36" s="1067"/>
      <c r="AZ36" s="1067"/>
      <c r="BA36" s="1067"/>
      <c r="BC36" s="1067"/>
      <c r="BE36" s="1067"/>
      <c r="BF36" s="1067"/>
      <c r="BG36" s="1067"/>
    </row>
    <row r="37" spans="18:59" x14ac:dyDescent="0.35">
      <c r="R37" s="1067"/>
      <c r="S37" s="1067"/>
      <c r="W37" s="1067"/>
      <c r="X37" s="1067"/>
      <c r="AE37" s="1067"/>
      <c r="AF37" s="1067"/>
      <c r="AV37" s="1067"/>
      <c r="AW37" s="1067"/>
      <c r="AX37" s="1067"/>
      <c r="AY37" s="1067"/>
      <c r="AZ37" s="1067"/>
      <c r="BA37" s="1067"/>
      <c r="BC37" s="1067"/>
      <c r="BE37" s="1067"/>
      <c r="BF37" s="1067"/>
      <c r="BG37" s="1067"/>
    </row>
    <row r="38" spans="18:59" x14ac:dyDescent="0.35">
      <c r="R38" s="1067"/>
      <c r="S38" s="1067"/>
      <c r="W38" s="1067"/>
      <c r="X38" s="1067"/>
      <c r="AE38" s="1067"/>
      <c r="AF38" s="1067"/>
      <c r="AV38" s="1067"/>
      <c r="AW38" s="1067"/>
      <c r="AX38" s="1067"/>
      <c r="AY38" s="1067"/>
      <c r="AZ38" s="1067"/>
      <c r="BA38" s="1067"/>
      <c r="BC38" s="1067"/>
      <c r="BE38" s="1067"/>
      <c r="BF38" s="1067"/>
      <c r="BG38" s="1067"/>
    </row>
    <row r="39" spans="18:59" x14ac:dyDescent="0.35">
      <c r="R39" s="1067"/>
      <c r="S39" s="1067"/>
      <c r="W39" s="1067"/>
      <c r="X39" s="1067"/>
      <c r="AE39" s="1067"/>
      <c r="AF39" s="1067"/>
      <c r="AV39" s="1067"/>
      <c r="AW39" s="1067"/>
      <c r="AX39" s="1067"/>
      <c r="AY39" s="1067"/>
      <c r="AZ39" s="1067"/>
      <c r="BA39" s="1067"/>
      <c r="BC39" s="1067"/>
      <c r="BE39" s="1067"/>
      <c r="BF39" s="1067"/>
      <c r="BG39" s="1067"/>
    </row>
    <row r="40" spans="18:59" x14ac:dyDescent="0.35">
      <c r="R40" s="1067"/>
      <c r="S40" s="1067"/>
      <c r="W40" s="1067"/>
      <c r="X40" s="1067"/>
      <c r="AE40" s="1067"/>
      <c r="AF40" s="1067"/>
      <c r="AV40" s="1067"/>
      <c r="AW40" s="1067"/>
      <c r="AX40" s="1067"/>
      <c r="AY40" s="1067"/>
      <c r="AZ40" s="1067"/>
      <c r="BA40" s="1067"/>
      <c r="BC40" s="1067"/>
      <c r="BE40" s="1067"/>
      <c r="BF40" s="1067"/>
      <c r="BG40" s="1067"/>
    </row>
    <row r="41" spans="18:59" x14ac:dyDescent="0.35">
      <c r="R41" s="1067"/>
      <c r="S41" s="1067"/>
      <c r="W41" s="1067"/>
      <c r="X41" s="1067"/>
      <c r="AE41" s="1067"/>
      <c r="AF41" s="1067"/>
      <c r="AV41" s="1067"/>
      <c r="AW41" s="1067"/>
      <c r="AX41" s="1067"/>
      <c r="AY41" s="1067"/>
      <c r="AZ41" s="1067"/>
      <c r="BA41" s="1067"/>
      <c r="BC41" s="1067"/>
      <c r="BE41" s="1067"/>
      <c r="BF41" s="1067"/>
      <c r="BG41" s="1067"/>
    </row>
    <row r="42" spans="18:59" x14ac:dyDescent="0.35">
      <c r="R42" s="1067"/>
      <c r="S42" s="1067"/>
      <c r="W42" s="1067"/>
      <c r="X42" s="1067"/>
      <c r="AE42" s="1067"/>
      <c r="AF42" s="1067"/>
      <c r="AV42" s="1067"/>
      <c r="AW42" s="1067"/>
      <c r="AX42" s="1067"/>
      <c r="AY42" s="1067"/>
      <c r="AZ42" s="1067"/>
      <c r="BA42" s="1067"/>
      <c r="BC42" s="1067"/>
      <c r="BE42" s="1067"/>
      <c r="BF42" s="1067"/>
      <c r="BG42" s="1067"/>
    </row>
    <row r="43" spans="18:59" x14ac:dyDescent="0.35">
      <c r="R43" s="1067"/>
      <c r="S43" s="1067"/>
      <c r="W43" s="1067"/>
      <c r="X43" s="1067"/>
      <c r="AE43" s="1067"/>
      <c r="AF43" s="1067"/>
      <c r="AV43" s="1067"/>
      <c r="AW43" s="1067"/>
      <c r="AX43" s="1067"/>
      <c r="AY43" s="1067"/>
      <c r="AZ43" s="1067"/>
      <c r="BA43" s="1067"/>
      <c r="BC43" s="1067"/>
      <c r="BE43" s="1067"/>
      <c r="BF43" s="1067"/>
      <c r="BG43" s="1067"/>
    </row>
    <row r="44" spans="18:59" x14ac:dyDescent="0.35">
      <c r="R44" s="1067"/>
      <c r="S44" s="1067"/>
      <c r="W44" s="1067"/>
      <c r="X44" s="1067"/>
      <c r="AE44" s="1067"/>
      <c r="AF44" s="1067"/>
      <c r="AV44" s="1067"/>
      <c r="AW44" s="1067"/>
      <c r="AX44" s="1067"/>
      <c r="AY44" s="1067"/>
      <c r="AZ44" s="1067"/>
      <c r="BA44" s="1067"/>
      <c r="BC44" s="1067"/>
      <c r="BE44" s="1067"/>
      <c r="BF44" s="1067"/>
      <c r="BG44" s="1067"/>
    </row>
    <row r="45" spans="18:59" x14ac:dyDescent="0.35">
      <c r="R45" s="1067"/>
      <c r="S45" s="1067"/>
      <c r="W45" s="1067"/>
      <c r="X45" s="1067"/>
      <c r="AE45" s="1067"/>
      <c r="AF45" s="1067"/>
      <c r="AV45" s="1067"/>
      <c r="AW45" s="1067"/>
      <c r="AX45" s="1067"/>
      <c r="AY45" s="1067"/>
      <c r="AZ45" s="1067"/>
      <c r="BA45" s="1067"/>
      <c r="BC45" s="1067"/>
      <c r="BE45" s="1067"/>
      <c r="BF45" s="1067"/>
      <c r="BG45" s="1067"/>
    </row>
    <row r="46" spans="18:59" x14ac:dyDescent="0.35">
      <c r="R46" s="1067"/>
      <c r="S46" s="1067"/>
      <c r="W46" s="1067"/>
      <c r="X46" s="1067"/>
      <c r="AE46" s="1067"/>
      <c r="AF46" s="1067"/>
      <c r="AV46" s="1067"/>
      <c r="AW46" s="1067"/>
      <c r="AX46" s="1067"/>
      <c r="AY46" s="1067"/>
      <c r="AZ46" s="1067"/>
      <c r="BA46" s="1067"/>
      <c r="BC46" s="1067"/>
      <c r="BE46" s="1067"/>
      <c r="BF46" s="1067"/>
      <c r="BG46" s="1067"/>
    </row>
    <row r="47" spans="18:59" x14ac:dyDescent="0.35">
      <c r="R47" s="1067"/>
      <c r="S47" s="1067"/>
      <c r="W47" s="1067"/>
      <c r="X47" s="1067"/>
      <c r="AE47" s="1067"/>
      <c r="AF47" s="1067"/>
      <c r="AV47" s="1067"/>
      <c r="AW47" s="1067"/>
      <c r="AX47" s="1067"/>
      <c r="AY47" s="1067"/>
      <c r="AZ47" s="1067"/>
      <c r="BA47" s="1067"/>
      <c r="BC47" s="1067"/>
      <c r="BE47" s="1067"/>
      <c r="BF47" s="1067"/>
      <c r="BG47" s="1067"/>
    </row>
    <row r="48" spans="18:59" x14ac:dyDescent="0.35">
      <c r="R48" s="1067"/>
      <c r="S48" s="1067"/>
      <c r="W48" s="1067"/>
      <c r="X48" s="1067"/>
      <c r="AE48" s="1067"/>
      <c r="AF48" s="1067"/>
      <c r="AV48" s="1067"/>
      <c r="AW48" s="1067"/>
      <c r="AX48" s="1067"/>
      <c r="AY48" s="1067"/>
      <c r="AZ48" s="1067"/>
      <c r="BA48" s="1067"/>
      <c r="BC48" s="1067"/>
      <c r="BE48" s="1067"/>
      <c r="BF48" s="1067"/>
      <c r="BG48" s="1067"/>
    </row>
    <row r="49" spans="18:59" x14ac:dyDescent="0.35">
      <c r="R49" s="1067"/>
      <c r="S49" s="1067"/>
      <c r="W49" s="1067"/>
      <c r="X49" s="1067"/>
      <c r="AE49" s="1067"/>
      <c r="AF49" s="1067"/>
      <c r="AV49" s="1067"/>
      <c r="AW49" s="1067"/>
      <c r="AX49" s="1067"/>
      <c r="AY49" s="1067"/>
      <c r="AZ49" s="1067"/>
      <c r="BA49" s="1067"/>
      <c r="BC49" s="1067"/>
      <c r="BE49" s="1067"/>
      <c r="BF49" s="1067"/>
      <c r="BG49" s="1067"/>
    </row>
    <row r="50" spans="18:59" x14ac:dyDescent="0.35">
      <c r="R50" s="1067"/>
      <c r="S50" s="1067"/>
      <c r="W50" s="1067"/>
      <c r="X50" s="1067"/>
      <c r="AE50" s="1067"/>
      <c r="AF50" s="1067"/>
      <c r="AV50" s="1067"/>
      <c r="AW50" s="1067"/>
      <c r="AX50" s="1067"/>
      <c r="AY50" s="1067"/>
      <c r="AZ50" s="1067"/>
      <c r="BA50" s="1067"/>
      <c r="BC50" s="1067"/>
      <c r="BE50" s="1067"/>
      <c r="BF50" s="1067"/>
      <c r="BG50" s="1067"/>
    </row>
    <row r="51" spans="18:59" x14ac:dyDescent="0.35">
      <c r="R51" s="1067"/>
      <c r="S51" s="1067"/>
      <c r="W51" s="1067"/>
      <c r="X51" s="1067"/>
      <c r="AE51" s="1067"/>
      <c r="AF51" s="1067"/>
      <c r="AV51" s="1067"/>
      <c r="AW51" s="1067"/>
      <c r="AX51" s="1067"/>
      <c r="AY51" s="1067"/>
      <c r="AZ51" s="1067"/>
      <c r="BA51" s="1067"/>
      <c r="BC51" s="1067"/>
      <c r="BE51" s="1067"/>
      <c r="BF51" s="1067"/>
      <c r="BG51" s="1067"/>
    </row>
    <row r="52" spans="18:59" x14ac:dyDescent="0.35">
      <c r="R52" s="1067"/>
      <c r="S52" s="1067"/>
      <c r="W52" s="1067"/>
      <c r="X52" s="1067"/>
      <c r="AE52" s="1067"/>
      <c r="AF52" s="1067"/>
      <c r="AV52" s="1067"/>
      <c r="AW52" s="1067"/>
      <c r="AX52" s="1067"/>
      <c r="AY52" s="1067"/>
      <c r="AZ52" s="1067"/>
      <c r="BA52" s="1067"/>
      <c r="BC52" s="1067"/>
      <c r="BE52" s="1067"/>
      <c r="BF52" s="1067"/>
      <c r="BG52" s="1067"/>
    </row>
    <row r="53" spans="18:59" x14ac:dyDescent="0.35">
      <c r="R53" s="1067"/>
      <c r="S53" s="1067"/>
      <c r="W53" s="1067"/>
      <c r="X53" s="1067"/>
      <c r="AE53" s="1067"/>
      <c r="AF53" s="1067"/>
      <c r="AV53" s="1067"/>
      <c r="AW53" s="1067"/>
      <c r="AX53" s="1067"/>
      <c r="AY53" s="1067"/>
      <c r="AZ53" s="1067"/>
      <c r="BA53" s="1067"/>
      <c r="BC53" s="1067"/>
      <c r="BE53" s="1067"/>
      <c r="BF53" s="1067"/>
      <c r="BG53" s="1067"/>
    </row>
    <row r="54" spans="18:59" x14ac:dyDescent="0.35">
      <c r="R54" s="1067"/>
      <c r="S54" s="1067"/>
      <c r="W54" s="1067"/>
      <c r="X54" s="1067"/>
      <c r="AE54" s="1067"/>
      <c r="AF54" s="1067"/>
      <c r="AV54" s="1067"/>
      <c r="AW54" s="1067"/>
      <c r="AX54" s="1067"/>
      <c r="AY54" s="1067"/>
      <c r="AZ54" s="1067"/>
      <c r="BA54" s="1067"/>
      <c r="BC54" s="1067"/>
      <c r="BE54" s="1067"/>
      <c r="BF54" s="1067"/>
      <c r="BG54" s="1067"/>
    </row>
    <row r="55" spans="18:59" x14ac:dyDescent="0.35">
      <c r="R55" s="1067"/>
      <c r="S55" s="1067"/>
      <c r="W55" s="1067"/>
      <c r="X55" s="1067"/>
      <c r="AE55" s="1067"/>
      <c r="AF55" s="1067"/>
      <c r="AV55" s="1067"/>
      <c r="AW55" s="1067"/>
      <c r="AX55" s="1067"/>
      <c r="AY55" s="1067"/>
      <c r="AZ55" s="1067"/>
      <c r="BA55" s="1067"/>
      <c r="BC55" s="1067"/>
      <c r="BE55" s="1067"/>
      <c r="BF55" s="1067"/>
      <c r="BG55" s="1067"/>
    </row>
    <row r="56" spans="18:59" x14ac:dyDescent="0.35">
      <c r="R56" s="1067"/>
      <c r="S56" s="1067"/>
      <c r="W56" s="1067"/>
      <c r="X56" s="1067"/>
      <c r="AE56" s="1067"/>
      <c r="AF56" s="1067"/>
      <c r="AV56" s="1067"/>
      <c r="AW56" s="1067"/>
      <c r="AX56" s="1067"/>
      <c r="AY56" s="1067"/>
      <c r="AZ56" s="1067"/>
      <c r="BA56" s="1067"/>
      <c r="BC56" s="1067"/>
      <c r="BE56" s="1067"/>
      <c r="BF56" s="1067"/>
      <c r="BG56" s="1067"/>
    </row>
    <row r="57" spans="18:59" x14ac:dyDescent="0.35">
      <c r="R57" s="1067"/>
      <c r="S57" s="1067"/>
      <c r="W57" s="1067"/>
      <c r="X57" s="1067"/>
      <c r="AE57" s="1067"/>
      <c r="AF57" s="1067"/>
      <c r="AV57" s="1067"/>
      <c r="AW57" s="1067"/>
      <c r="AX57" s="1067"/>
      <c r="AY57" s="1067"/>
      <c r="AZ57" s="1067"/>
      <c r="BA57" s="1067"/>
      <c r="BC57" s="1067"/>
      <c r="BE57" s="1067"/>
      <c r="BF57" s="1067"/>
      <c r="BG57" s="1067"/>
    </row>
    <row r="58" spans="18:59" x14ac:dyDescent="0.35">
      <c r="R58" s="1067"/>
      <c r="S58" s="1067"/>
      <c r="W58" s="1067"/>
      <c r="X58" s="1067"/>
      <c r="AE58" s="1067"/>
      <c r="AF58" s="1067"/>
      <c r="AV58" s="1067"/>
      <c r="AW58" s="1067"/>
      <c r="AX58" s="1067"/>
      <c r="AY58" s="1067"/>
      <c r="AZ58" s="1067"/>
      <c r="BA58" s="1067"/>
      <c r="BC58" s="1067"/>
      <c r="BE58" s="1067"/>
      <c r="BF58" s="1067"/>
      <c r="BG58" s="1067"/>
    </row>
    <row r="59" spans="18:59" x14ac:dyDescent="0.35">
      <c r="R59" s="1067"/>
      <c r="S59" s="1067"/>
      <c r="W59" s="1067"/>
      <c r="X59" s="1067"/>
      <c r="AE59" s="1067"/>
      <c r="AF59" s="1067"/>
      <c r="AV59" s="1067"/>
      <c r="AW59" s="1067"/>
      <c r="AX59" s="1067"/>
      <c r="AY59" s="1067"/>
      <c r="AZ59" s="1067"/>
      <c r="BA59" s="1067"/>
      <c r="BC59" s="1067"/>
      <c r="BE59" s="1067"/>
      <c r="BF59" s="1067"/>
      <c r="BG59" s="1067"/>
    </row>
    <row r="60" spans="18:59" x14ac:dyDescent="0.35">
      <c r="R60" s="1067"/>
      <c r="S60" s="1067"/>
      <c r="W60" s="1067"/>
      <c r="X60" s="1067"/>
      <c r="AE60" s="1067"/>
      <c r="AF60" s="1067"/>
      <c r="AV60" s="1067"/>
      <c r="AW60" s="1067"/>
      <c r="AX60" s="1067"/>
      <c r="AY60" s="1067"/>
      <c r="AZ60" s="1067"/>
      <c r="BA60" s="1067"/>
      <c r="BC60" s="1067"/>
      <c r="BE60" s="1067"/>
      <c r="BF60" s="1067"/>
      <c r="BG60" s="1067"/>
    </row>
    <row r="61" spans="18:59" x14ac:dyDescent="0.35">
      <c r="R61" s="1067"/>
      <c r="S61" s="1067"/>
      <c r="W61" s="1067"/>
      <c r="X61" s="1067"/>
      <c r="AE61" s="1067"/>
      <c r="AF61" s="1067"/>
      <c r="AV61" s="1067"/>
      <c r="AW61" s="1067"/>
      <c r="AX61" s="1067"/>
      <c r="AY61" s="1067"/>
      <c r="AZ61" s="1067"/>
      <c r="BA61" s="1067"/>
      <c r="BC61" s="1067"/>
      <c r="BE61" s="1067"/>
      <c r="BF61" s="1067"/>
      <c r="BG61" s="1067"/>
    </row>
    <row r="62" spans="18:59" x14ac:dyDescent="0.35">
      <c r="R62" s="1067"/>
      <c r="S62" s="1067"/>
      <c r="W62" s="1067"/>
      <c r="X62" s="1067"/>
      <c r="AE62" s="1067"/>
      <c r="AF62" s="1067"/>
      <c r="AV62" s="1067"/>
      <c r="AW62" s="1067"/>
      <c r="AX62" s="1067"/>
      <c r="AY62" s="1067"/>
      <c r="AZ62" s="1067"/>
      <c r="BA62" s="1067"/>
      <c r="BC62" s="1067"/>
      <c r="BE62" s="1067"/>
      <c r="BF62" s="1067"/>
      <c r="BG62" s="1067"/>
    </row>
    <row r="63" spans="18:59" x14ac:dyDescent="0.35">
      <c r="R63" s="1067"/>
      <c r="S63" s="1067"/>
      <c r="W63" s="1067"/>
      <c r="X63" s="1067"/>
      <c r="AE63" s="1067"/>
      <c r="AF63" s="1067"/>
      <c r="AV63" s="1067"/>
      <c r="AW63" s="1067"/>
      <c r="AX63" s="1067"/>
      <c r="AY63" s="1067"/>
      <c r="AZ63" s="1067"/>
      <c r="BA63" s="1067"/>
      <c r="BC63" s="1067"/>
      <c r="BE63" s="1067"/>
      <c r="BF63" s="1067"/>
      <c r="BG63" s="1067"/>
    </row>
    <row r="64" spans="18:59" x14ac:dyDescent="0.35">
      <c r="R64" s="1067"/>
      <c r="S64" s="1067"/>
      <c r="W64" s="1067"/>
      <c r="X64" s="1067"/>
      <c r="AE64" s="1067"/>
      <c r="AF64" s="1067"/>
      <c r="AV64" s="1067"/>
      <c r="AW64" s="1067"/>
      <c r="AX64" s="1067"/>
      <c r="AY64" s="1067"/>
      <c r="AZ64" s="1067"/>
      <c r="BA64" s="1067"/>
      <c r="BC64" s="1067"/>
      <c r="BE64" s="1067"/>
      <c r="BF64" s="1067"/>
      <c r="BG64" s="1067"/>
    </row>
    <row r="65" spans="18:59" x14ac:dyDescent="0.35">
      <c r="R65" s="1067"/>
      <c r="S65" s="1067"/>
      <c r="W65" s="1067"/>
      <c r="X65" s="1067"/>
      <c r="AE65" s="1067"/>
      <c r="AF65" s="1067"/>
      <c r="AV65" s="1067"/>
      <c r="AW65" s="1067"/>
      <c r="AX65" s="1067"/>
      <c r="AY65" s="1067"/>
      <c r="AZ65" s="1067"/>
      <c r="BA65" s="1067"/>
      <c r="BC65" s="1067"/>
      <c r="BE65" s="1067"/>
      <c r="BF65" s="1067"/>
      <c r="BG65" s="1067"/>
    </row>
    <row r="66" spans="18:59" x14ac:dyDescent="0.35">
      <c r="R66" s="1067"/>
      <c r="S66" s="1067"/>
      <c r="W66" s="1067"/>
      <c r="X66" s="1067"/>
      <c r="AE66" s="1067"/>
      <c r="AF66" s="1067"/>
      <c r="AV66" s="1067"/>
      <c r="AW66" s="1067"/>
      <c r="AX66" s="1067"/>
      <c r="AY66" s="1067"/>
      <c r="AZ66" s="1067"/>
      <c r="BA66" s="1067"/>
      <c r="BC66" s="1067"/>
      <c r="BE66" s="1067"/>
      <c r="BF66" s="1067"/>
      <c r="BG66" s="1067"/>
    </row>
    <row r="67" spans="18:59" x14ac:dyDescent="0.35">
      <c r="R67" s="1067"/>
      <c r="S67" s="1067"/>
      <c r="W67" s="1067"/>
      <c r="X67" s="1067"/>
      <c r="AE67" s="1067"/>
      <c r="AF67" s="1067"/>
      <c r="AV67" s="1067"/>
      <c r="AW67" s="1067"/>
      <c r="AX67" s="1067"/>
      <c r="AY67" s="1067"/>
      <c r="AZ67" s="1067"/>
      <c r="BA67" s="1067"/>
      <c r="BC67" s="1067"/>
      <c r="BE67" s="1067"/>
      <c r="BF67" s="1067"/>
      <c r="BG67" s="1067"/>
    </row>
    <row r="68" spans="18:59" x14ac:dyDescent="0.35">
      <c r="R68" s="1067"/>
      <c r="S68" s="1067"/>
      <c r="W68" s="1067"/>
      <c r="X68" s="1067"/>
      <c r="AE68" s="1067"/>
      <c r="AF68" s="1067"/>
      <c r="AV68" s="1067"/>
      <c r="AW68" s="1067"/>
      <c r="AX68" s="1067"/>
      <c r="AY68" s="1067"/>
      <c r="AZ68" s="1067"/>
      <c r="BA68" s="1067"/>
      <c r="BC68" s="1067"/>
      <c r="BE68" s="1067"/>
      <c r="BF68" s="1067"/>
      <c r="BG68" s="1067"/>
    </row>
    <row r="69" spans="18:59" x14ac:dyDescent="0.35">
      <c r="R69" s="1067"/>
      <c r="S69" s="1067"/>
      <c r="W69" s="1067"/>
      <c r="X69" s="1067"/>
      <c r="AE69" s="1067"/>
      <c r="AF69" s="1067"/>
      <c r="AV69" s="1067"/>
      <c r="AW69" s="1067"/>
      <c r="AX69" s="1067"/>
      <c r="AY69" s="1067"/>
      <c r="AZ69" s="1067"/>
      <c r="BA69" s="1067"/>
      <c r="BC69" s="1067"/>
      <c r="BE69" s="1067"/>
      <c r="BF69" s="1067"/>
      <c r="BG69" s="1067"/>
    </row>
    <row r="70" spans="18:59" x14ac:dyDescent="0.35">
      <c r="R70" s="1067"/>
      <c r="S70" s="1067"/>
      <c r="W70" s="1067"/>
      <c r="X70" s="1067"/>
      <c r="AE70" s="1067"/>
      <c r="AF70" s="1067"/>
      <c r="AV70" s="1067"/>
      <c r="AW70" s="1067"/>
      <c r="AX70" s="1067"/>
      <c r="AY70" s="1067"/>
      <c r="AZ70" s="1067"/>
      <c r="BA70" s="1067"/>
      <c r="BC70" s="1067"/>
      <c r="BE70" s="1067"/>
      <c r="BF70" s="1067"/>
      <c r="BG70" s="1067"/>
    </row>
    <row r="71" spans="18:59" x14ac:dyDescent="0.35">
      <c r="R71" s="1067"/>
      <c r="S71" s="1067"/>
      <c r="W71" s="1067"/>
      <c r="X71" s="1067"/>
      <c r="AE71" s="1067"/>
      <c r="AF71" s="1067"/>
      <c r="AV71" s="1067"/>
      <c r="AW71" s="1067"/>
      <c r="AX71" s="1067"/>
      <c r="AY71" s="1067"/>
      <c r="AZ71" s="1067"/>
      <c r="BA71" s="1067"/>
      <c r="BC71" s="1067"/>
      <c r="BE71" s="1067"/>
      <c r="BF71" s="1067"/>
      <c r="BG71" s="1067"/>
    </row>
    <row r="72" spans="18:59" x14ac:dyDescent="0.35">
      <c r="R72" s="1067"/>
      <c r="S72" s="1067"/>
      <c r="W72" s="1067"/>
      <c r="X72" s="1067"/>
      <c r="AE72" s="1067"/>
      <c r="AF72" s="1067"/>
      <c r="AV72" s="1067"/>
      <c r="AW72" s="1067"/>
      <c r="AX72" s="1067"/>
      <c r="AY72" s="1067"/>
      <c r="AZ72" s="1067"/>
      <c r="BA72" s="1067"/>
      <c r="BC72" s="1067"/>
      <c r="BE72" s="1067"/>
      <c r="BF72" s="1067"/>
      <c r="BG72" s="1067"/>
    </row>
    <row r="73" spans="18:59" x14ac:dyDescent="0.35">
      <c r="R73" s="1067"/>
      <c r="S73" s="1067"/>
      <c r="W73" s="1067"/>
      <c r="X73" s="1067"/>
      <c r="AE73" s="1067"/>
      <c r="AF73" s="1067"/>
      <c r="AV73" s="1067"/>
      <c r="AW73" s="1067"/>
      <c r="AX73" s="1067"/>
      <c r="AY73" s="1067"/>
      <c r="AZ73" s="1067"/>
      <c r="BA73" s="1067"/>
      <c r="BC73" s="1067"/>
      <c r="BE73" s="1067"/>
      <c r="BF73" s="1067"/>
      <c r="BG73" s="1067"/>
    </row>
    <row r="74" spans="18:59" x14ac:dyDescent="0.35">
      <c r="R74" s="1067"/>
      <c r="S74" s="1067"/>
      <c r="W74" s="1067"/>
      <c r="X74" s="1067"/>
      <c r="AE74" s="1067"/>
      <c r="AF74" s="1067"/>
      <c r="AV74" s="1067"/>
      <c r="AW74" s="1067"/>
      <c r="AX74" s="1067"/>
      <c r="AY74" s="1067"/>
      <c r="AZ74" s="1067"/>
      <c r="BA74" s="1067"/>
      <c r="BC74" s="1067"/>
      <c r="BE74" s="1067"/>
      <c r="BF74" s="1067"/>
      <c r="BG74" s="1067"/>
    </row>
    <row r="75" spans="18:59" x14ac:dyDescent="0.35">
      <c r="R75" s="1067"/>
      <c r="S75" s="1067"/>
      <c r="W75" s="1067"/>
      <c r="X75" s="1067"/>
      <c r="AE75" s="1067"/>
      <c r="AF75" s="1067"/>
      <c r="AV75" s="1067"/>
      <c r="AW75" s="1067"/>
      <c r="AX75" s="1067"/>
      <c r="AY75" s="1067"/>
      <c r="AZ75" s="1067"/>
      <c r="BA75" s="1067"/>
      <c r="BC75" s="1067"/>
      <c r="BE75" s="1067"/>
      <c r="BF75" s="1067"/>
      <c r="BG75" s="1067"/>
    </row>
    <row r="76" spans="18:59" x14ac:dyDescent="0.35">
      <c r="R76" s="1067"/>
      <c r="S76" s="1067"/>
      <c r="W76" s="1067"/>
      <c r="X76" s="1067"/>
      <c r="AE76" s="1067"/>
      <c r="AF76" s="1067"/>
      <c r="AV76" s="1067"/>
      <c r="AW76" s="1067"/>
      <c r="AX76" s="1067"/>
      <c r="AY76" s="1067"/>
      <c r="AZ76" s="1067"/>
      <c r="BA76" s="1067"/>
      <c r="BC76" s="1067"/>
      <c r="BE76" s="1067"/>
      <c r="BF76" s="1067"/>
      <c r="BG76" s="1067"/>
    </row>
    <row r="77" spans="18:59" x14ac:dyDescent="0.35">
      <c r="R77" s="1067"/>
      <c r="S77" s="1067"/>
      <c r="W77" s="1067"/>
      <c r="X77" s="1067"/>
      <c r="AE77" s="1067"/>
      <c r="AF77" s="1067"/>
      <c r="AV77" s="1067"/>
      <c r="AW77" s="1067"/>
      <c r="AX77" s="1067"/>
      <c r="AY77" s="1067"/>
      <c r="AZ77" s="1067"/>
      <c r="BA77" s="1067"/>
      <c r="BC77" s="1067"/>
      <c r="BE77" s="1067"/>
      <c r="BF77" s="1067"/>
      <c r="BG77" s="1067"/>
    </row>
    <row r="78" spans="18:59" x14ac:dyDescent="0.35">
      <c r="R78" s="1067"/>
      <c r="S78" s="1067"/>
      <c r="W78" s="1067"/>
      <c r="X78" s="1067"/>
      <c r="AE78" s="1067"/>
      <c r="AF78" s="1067"/>
      <c r="AV78" s="1067"/>
      <c r="AW78" s="1067"/>
      <c r="AX78" s="1067"/>
      <c r="AY78" s="1067"/>
      <c r="AZ78" s="1067"/>
      <c r="BA78" s="1067"/>
      <c r="BC78" s="1067"/>
      <c r="BE78" s="1067"/>
      <c r="BF78" s="1067"/>
      <c r="BG78" s="1067"/>
    </row>
    <row r="79" spans="18:59" x14ac:dyDescent="0.35">
      <c r="R79" s="1067"/>
      <c r="S79" s="1067"/>
      <c r="W79" s="1067"/>
      <c r="X79" s="1067"/>
      <c r="AE79" s="1067"/>
      <c r="AF79" s="1067"/>
      <c r="AV79" s="1067"/>
      <c r="AW79" s="1067"/>
      <c r="AX79" s="1067"/>
      <c r="AY79" s="1067"/>
      <c r="AZ79" s="1067"/>
      <c r="BA79" s="1067"/>
      <c r="BC79" s="1067"/>
      <c r="BE79" s="1067"/>
      <c r="BF79" s="1067"/>
      <c r="BG79" s="1067"/>
    </row>
    <row r="80" spans="18:59" x14ac:dyDescent="0.35">
      <c r="R80" s="1067"/>
      <c r="S80" s="1067"/>
      <c r="W80" s="1067"/>
      <c r="X80" s="1067"/>
      <c r="AE80" s="1067"/>
      <c r="AF80" s="1067"/>
      <c r="AV80" s="1067"/>
      <c r="AW80" s="1067"/>
      <c r="AX80" s="1067"/>
      <c r="AY80" s="1067"/>
      <c r="AZ80" s="1067"/>
      <c r="BA80" s="1067"/>
      <c r="BC80" s="1067"/>
      <c r="BE80" s="1067"/>
      <c r="BF80" s="1067"/>
      <c r="BG80" s="1067"/>
    </row>
    <row r="81" spans="18:59" x14ac:dyDescent="0.35">
      <c r="R81" s="1067"/>
      <c r="S81" s="1067"/>
      <c r="W81" s="1067"/>
      <c r="X81" s="1067"/>
      <c r="AE81" s="1067"/>
      <c r="AF81" s="1067"/>
      <c r="AV81" s="1067"/>
      <c r="AW81" s="1067"/>
      <c r="AX81" s="1067"/>
      <c r="AY81" s="1067"/>
      <c r="AZ81" s="1067"/>
      <c r="BA81" s="1067"/>
      <c r="BC81" s="1067"/>
      <c r="BE81" s="1067"/>
      <c r="BF81" s="1067"/>
      <c r="BG81" s="1067"/>
    </row>
    <row r="82" spans="18:59" x14ac:dyDescent="0.35">
      <c r="R82" s="1067"/>
      <c r="S82" s="1067"/>
      <c r="W82" s="1067"/>
      <c r="X82" s="1067"/>
      <c r="AE82" s="1067"/>
      <c r="AF82" s="1067"/>
      <c r="AV82" s="1067"/>
      <c r="AW82" s="1067"/>
      <c r="AX82" s="1067"/>
      <c r="AY82" s="1067"/>
      <c r="AZ82" s="1067"/>
      <c r="BA82" s="1067"/>
      <c r="BC82" s="1067"/>
      <c r="BE82" s="1067"/>
      <c r="BF82" s="1067"/>
      <c r="BG82" s="1067"/>
    </row>
    <row r="83" spans="18:59" x14ac:dyDescent="0.35">
      <c r="R83" s="1067"/>
      <c r="S83" s="1067"/>
      <c r="W83" s="1067"/>
      <c r="X83" s="1067"/>
      <c r="AE83" s="1067"/>
      <c r="AF83" s="1067"/>
      <c r="AV83" s="1067"/>
      <c r="AW83" s="1067"/>
      <c r="AX83" s="1067"/>
      <c r="AY83" s="1067"/>
      <c r="AZ83" s="1067"/>
      <c r="BA83" s="1067"/>
      <c r="BC83" s="1067"/>
      <c r="BE83" s="1067"/>
      <c r="BF83" s="1067"/>
      <c r="BG83" s="1067"/>
    </row>
    <row r="84" spans="18:59" x14ac:dyDescent="0.35">
      <c r="R84" s="1067"/>
      <c r="S84" s="1067"/>
      <c r="W84" s="1067"/>
      <c r="X84" s="1067"/>
      <c r="AE84" s="1067"/>
      <c r="AF84" s="1067"/>
      <c r="AV84" s="1067"/>
      <c r="AW84" s="1067"/>
      <c r="AX84" s="1067"/>
      <c r="AY84" s="1067"/>
      <c r="AZ84" s="1067"/>
      <c r="BA84" s="1067"/>
      <c r="BC84" s="1067"/>
      <c r="BE84" s="1067"/>
      <c r="BF84" s="1067"/>
      <c r="BG84" s="1067"/>
    </row>
    <row r="85" spans="18:59" x14ac:dyDescent="0.35">
      <c r="R85" s="1067"/>
      <c r="S85" s="1067"/>
      <c r="W85" s="1067"/>
      <c r="X85" s="1067"/>
      <c r="AE85" s="1067"/>
      <c r="AF85" s="1067"/>
      <c r="AV85" s="1067"/>
      <c r="AW85" s="1067"/>
      <c r="AX85" s="1067"/>
      <c r="AY85" s="1067"/>
      <c r="AZ85" s="1067"/>
      <c r="BA85" s="1067"/>
      <c r="BC85" s="1067"/>
      <c r="BE85" s="1067"/>
      <c r="BF85" s="1067"/>
      <c r="BG85" s="1067"/>
    </row>
    <row r="86" spans="18:59" x14ac:dyDescent="0.35">
      <c r="R86" s="1067"/>
      <c r="S86" s="1067"/>
      <c r="W86" s="1067"/>
      <c r="X86" s="1067"/>
      <c r="AE86" s="1067"/>
      <c r="AF86" s="1067"/>
      <c r="AV86" s="1067"/>
      <c r="AW86" s="1067"/>
      <c r="AX86" s="1067"/>
      <c r="AY86" s="1067"/>
      <c r="AZ86" s="1067"/>
      <c r="BA86" s="1067"/>
      <c r="BC86" s="1067"/>
      <c r="BE86" s="1067"/>
      <c r="BF86" s="1067"/>
      <c r="BG86" s="1067"/>
    </row>
    <row r="87" spans="18:59" x14ac:dyDescent="0.35">
      <c r="R87" s="1067"/>
      <c r="S87" s="1067"/>
      <c r="W87" s="1067"/>
      <c r="X87" s="1067"/>
      <c r="AE87" s="1067"/>
      <c r="AF87" s="1067"/>
      <c r="AV87" s="1067"/>
      <c r="AW87" s="1067"/>
      <c r="AX87" s="1067"/>
      <c r="AY87" s="1067"/>
      <c r="AZ87" s="1067"/>
      <c r="BA87" s="1067"/>
      <c r="BC87" s="1067"/>
      <c r="BE87" s="1067"/>
      <c r="BF87" s="1067"/>
      <c r="BG87" s="1067"/>
    </row>
    <row r="88" spans="18:59" x14ac:dyDescent="0.35">
      <c r="R88" s="1067"/>
      <c r="S88" s="1067"/>
      <c r="W88" s="1067"/>
      <c r="X88" s="1067"/>
      <c r="AE88" s="1067"/>
      <c r="AF88" s="1067"/>
      <c r="AV88" s="1067"/>
      <c r="AW88" s="1067"/>
      <c r="AX88" s="1067"/>
      <c r="AY88" s="1067"/>
      <c r="AZ88" s="1067"/>
      <c r="BA88" s="1067"/>
      <c r="BC88" s="1067"/>
      <c r="BE88" s="1067"/>
      <c r="BF88" s="1067"/>
      <c r="BG88" s="1067"/>
    </row>
    <row r="89" spans="18:59" x14ac:dyDescent="0.35">
      <c r="R89" s="1067"/>
      <c r="S89" s="1067"/>
      <c r="W89" s="1067"/>
      <c r="X89" s="1067"/>
      <c r="AE89" s="1067"/>
      <c r="AF89" s="1067"/>
      <c r="AV89" s="1067"/>
      <c r="AW89" s="1067"/>
      <c r="AX89" s="1067"/>
      <c r="AY89" s="1067"/>
      <c r="AZ89" s="1067"/>
      <c r="BA89" s="1067"/>
      <c r="BC89" s="1067"/>
      <c r="BE89" s="1067"/>
      <c r="BF89" s="1067"/>
      <c r="BG89" s="1067"/>
    </row>
    <row r="90" spans="18:59" x14ac:dyDescent="0.35">
      <c r="R90" s="1067"/>
      <c r="S90" s="1067"/>
      <c r="W90" s="1067"/>
      <c r="X90" s="1067"/>
      <c r="AE90" s="1067"/>
      <c r="AF90" s="1067"/>
      <c r="AV90" s="1067"/>
      <c r="AW90" s="1067"/>
      <c r="AX90" s="1067"/>
      <c r="AY90" s="1067"/>
      <c r="AZ90" s="1067"/>
      <c r="BA90" s="1067"/>
      <c r="BC90" s="1067"/>
      <c r="BE90" s="1067"/>
      <c r="BF90" s="1067"/>
      <c r="BG90" s="1067"/>
    </row>
    <row r="91" spans="18:59" x14ac:dyDescent="0.35">
      <c r="R91" s="1067"/>
      <c r="S91" s="1067"/>
      <c r="W91" s="1067"/>
      <c r="X91" s="1067"/>
      <c r="AE91" s="1067"/>
      <c r="AF91" s="1067"/>
      <c r="AV91" s="1067"/>
      <c r="AW91" s="1067"/>
      <c r="AX91" s="1067"/>
      <c r="AY91" s="1067"/>
      <c r="AZ91" s="1067"/>
      <c r="BA91" s="1067"/>
      <c r="BC91" s="1067"/>
      <c r="BE91" s="1067"/>
      <c r="BF91" s="1067"/>
      <c r="BG91" s="1067"/>
    </row>
    <row r="92" spans="18:59" x14ac:dyDescent="0.35">
      <c r="R92" s="1067"/>
      <c r="S92" s="1067"/>
      <c r="W92" s="1067"/>
      <c r="X92" s="1067"/>
      <c r="AE92" s="1067"/>
      <c r="AF92" s="1067"/>
      <c r="AV92" s="1067"/>
      <c r="AW92" s="1067"/>
      <c r="AX92" s="1067"/>
      <c r="AY92" s="1067"/>
      <c r="AZ92" s="1067"/>
      <c r="BA92" s="1067"/>
      <c r="BC92" s="1067"/>
      <c r="BE92" s="1067"/>
      <c r="BF92" s="1067"/>
      <c r="BG92" s="1067"/>
    </row>
    <row r="93" spans="18:59" x14ac:dyDescent="0.35">
      <c r="R93" s="1067"/>
      <c r="S93" s="1067"/>
      <c r="W93" s="1067"/>
      <c r="X93" s="1067"/>
      <c r="AE93" s="1067"/>
      <c r="AF93" s="1067"/>
      <c r="AV93" s="1067"/>
      <c r="AW93" s="1067"/>
      <c r="AX93" s="1067"/>
      <c r="AY93" s="1067"/>
      <c r="AZ93" s="1067"/>
      <c r="BA93" s="1067"/>
      <c r="BC93" s="1067"/>
      <c r="BE93" s="1067"/>
      <c r="BF93" s="1067"/>
      <c r="BG93" s="1067"/>
    </row>
    <row r="94" spans="18:59" x14ac:dyDescent="0.35">
      <c r="R94" s="1067"/>
      <c r="S94" s="1067"/>
      <c r="W94" s="1067"/>
      <c r="X94" s="1067"/>
      <c r="AE94" s="1067"/>
      <c r="AF94" s="1067"/>
      <c r="AV94" s="1067"/>
      <c r="AW94" s="1067"/>
      <c r="AX94" s="1067"/>
      <c r="AY94" s="1067"/>
      <c r="AZ94" s="1067"/>
      <c r="BA94" s="1067"/>
      <c r="BC94" s="1067"/>
      <c r="BE94" s="1067"/>
      <c r="BF94" s="1067"/>
      <c r="BG94" s="1067"/>
    </row>
    <row r="95" spans="18:59" x14ac:dyDescent="0.35">
      <c r="R95" s="1067"/>
      <c r="S95" s="1067"/>
      <c r="W95" s="1067"/>
      <c r="X95" s="1067"/>
      <c r="AE95" s="1067"/>
      <c r="AF95" s="1067"/>
      <c r="AV95" s="1067"/>
      <c r="AW95" s="1067"/>
      <c r="AX95" s="1067"/>
      <c r="AY95" s="1067"/>
      <c r="AZ95" s="1067"/>
      <c r="BA95" s="1067"/>
      <c r="BC95" s="1067"/>
      <c r="BE95" s="1067"/>
      <c r="BF95" s="1067"/>
      <c r="BG95" s="1067"/>
    </row>
    <row r="96" spans="18:59" x14ac:dyDescent="0.35">
      <c r="R96" s="1067"/>
      <c r="S96" s="1067"/>
      <c r="W96" s="1067"/>
      <c r="X96" s="1067"/>
      <c r="AE96" s="1067"/>
      <c r="AF96" s="1067"/>
      <c r="AV96" s="1067"/>
      <c r="AW96" s="1067"/>
      <c r="AX96" s="1067"/>
      <c r="AY96" s="1067"/>
      <c r="AZ96" s="1067"/>
      <c r="BA96" s="1067"/>
      <c r="BC96" s="1067"/>
      <c r="BE96" s="1067"/>
      <c r="BF96" s="1067"/>
      <c r="BG96" s="1067"/>
    </row>
    <row r="97" spans="18:59" x14ac:dyDescent="0.35">
      <c r="R97" s="1067"/>
      <c r="S97" s="1067"/>
      <c r="W97" s="1067"/>
      <c r="X97" s="1067"/>
      <c r="AE97" s="1067"/>
      <c r="AF97" s="1067"/>
      <c r="AV97" s="1067"/>
      <c r="AW97" s="1067"/>
      <c r="AX97" s="1067"/>
      <c r="AY97" s="1067"/>
      <c r="AZ97" s="1067"/>
      <c r="BA97" s="1067"/>
      <c r="BC97" s="1067"/>
      <c r="BE97" s="1067"/>
      <c r="BF97" s="1067"/>
      <c r="BG97" s="1067"/>
    </row>
    <row r="98" spans="18:59" x14ac:dyDescent="0.35">
      <c r="R98" s="1067"/>
      <c r="S98" s="1067"/>
      <c r="W98" s="1067"/>
      <c r="X98" s="1067"/>
      <c r="AE98" s="1067"/>
      <c r="AF98" s="1067"/>
      <c r="AV98" s="1067"/>
      <c r="AW98" s="1067"/>
      <c r="AX98" s="1067"/>
      <c r="AY98" s="1067"/>
      <c r="AZ98" s="1067"/>
      <c r="BA98" s="1067"/>
      <c r="BC98" s="1067"/>
      <c r="BE98" s="1067"/>
      <c r="BF98" s="1067"/>
      <c r="BG98" s="1067"/>
    </row>
    <row r="99" spans="18:59" x14ac:dyDescent="0.35">
      <c r="R99" s="1067"/>
      <c r="S99" s="1067"/>
      <c r="W99" s="1067"/>
      <c r="X99" s="1067"/>
      <c r="AE99" s="1067"/>
      <c r="AF99" s="1067"/>
      <c r="AV99" s="1067"/>
      <c r="AW99" s="1067"/>
      <c r="AX99" s="1067"/>
      <c r="AY99" s="1067"/>
      <c r="AZ99" s="1067"/>
      <c r="BA99" s="1067"/>
      <c r="BC99" s="1067"/>
      <c r="BE99" s="1067"/>
      <c r="BF99" s="1067"/>
      <c r="BG99" s="1067"/>
    </row>
    <row r="100" spans="18:59" x14ac:dyDescent="0.35">
      <c r="R100" s="1067"/>
      <c r="S100" s="1067"/>
      <c r="W100" s="1067"/>
      <c r="X100" s="1067"/>
      <c r="AE100" s="1067"/>
      <c r="AF100" s="1067"/>
      <c r="AV100" s="1067"/>
      <c r="AW100" s="1067"/>
      <c r="AX100" s="1067"/>
      <c r="AY100" s="1067"/>
      <c r="AZ100" s="1067"/>
      <c r="BA100" s="1067"/>
      <c r="BC100" s="1067"/>
      <c r="BE100" s="1067"/>
      <c r="BF100" s="1067"/>
      <c r="BG100" s="1067"/>
    </row>
    <row r="101" spans="18:59" x14ac:dyDescent="0.35">
      <c r="R101" s="1067"/>
      <c r="S101" s="1067"/>
      <c r="W101" s="1067"/>
      <c r="X101" s="1067"/>
      <c r="AE101" s="1067"/>
      <c r="AF101" s="1067"/>
      <c r="AV101" s="1067"/>
      <c r="AW101" s="1067"/>
      <c r="AX101" s="1067"/>
      <c r="AY101" s="1067"/>
      <c r="AZ101" s="1067"/>
      <c r="BA101" s="1067"/>
      <c r="BC101" s="1067"/>
      <c r="BE101" s="1067"/>
      <c r="BF101" s="1067"/>
      <c r="BG101" s="1067"/>
    </row>
    <row r="102" spans="18:59" x14ac:dyDescent="0.35">
      <c r="R102" s="1067"/>
      <c r="S102" s="1067"/>
      <c r="W102" s="1067"/>
      <c r="X102" s="1067"/>
      <c r="AE102" s="1067"/>
      <c r="AF102" s="1067"/>
      <c r="AV102" s="1067"/>
      <c r="AW102" s="1067"/>
      <c r="AX102" s="1067"/>
      <c r="AY102" s="1067"/>
      <c r="AZ102" s="1067"/>
      <c r="BA102" s="1067"/>
      <c r="BC102" s="1067"/>
      <c r="BE102" s="1067"/>
      <c r="BF102" s="1067"/>
      <c r="BG102" s="1067"/>
    </row>
    <row r="103" spans="18:59" x14ac:dyDescent="0.35">
      <c r="R103" s="1067"/>
      <c r="S103" s="1067"/>
      <c r="W103" s="1067"/>
      <c r="X103" s="1067"/>
      <c r="AE103" s="1067"/>
      <c r="AF103" s="1067"/>
      <c r="AV103" s="1067"/>
      <c r="AW103" s="1067"/>
      <c r="AX103" s="1067"/>
      <c r="AY103" s="1067"/>
      <c r="AZ103" s="1067"/>
      <c r="BA103" s="1067"/>
      <c r="BC103" s="1067"/>
      <c r="BE103" s="1067"/>
      <c r="BF103" s="1067"/>
      <c r="BG103" s="1067"/>
    </row>
    <row r="104" spans="18:59" x14ac:dyDescent="0.35">
      <c r="R104" s="1067"/>
      <c r="S104" s="1067"/>
      <c r="W104" s="1067"/>
      <c r="X104" s="1067"/>
      <c r="AE104" s="1067"/>
      <c r="AF104" s="1067"/>
      <c r="AV104" s="1067"/>
      <c r="AW104" s="1067"/>
      <c r="AX104" s="1067"/>
      <c r="AY104" s="1067"/>
      <c r="AZ104" s="1067"/>
      <c r="BA104" s="1067"/>
      <c r="BC104" s="1067"/>
      <c r="BE104" s="1067"/>
      <c r="BF104" s="1067"/>
      <c r="BG104" s="1067"/>
    </row>
    <row r="105" spans="18:59" x14ac:dyDescent="0.35">
      <c r="R105" s="1067"/>
      <c r="S105" s="1067"/>
      <c r="W105" s="1067"/>
      <c r="X105" s="1067"/>
      <c r="AE105" s="1067"/>
      <c r="AF105" s="1067"/>
      <c r="AV105" s="1067"/>
      <c r="AW105" s="1067"/>
      <c r="AX105" s="1067"/>
      <c r="AY105" s="1067"/>
      <c r="AZ105" s="1067"/>
      <c r="BA105" s="1067"/>
      <c r="BC105" s="1067"/>
      <c r="BE105" s="1067"/>
      <c r="BF105" s="1067"/>
      <c r="BG105" s="1067"/>
    </row>
    <row r="106" spans="18:59" x14ac:dyDescent="0.35">
      <c r="R106" s="1067"/>
      <c r="S106" s="1067"/>
      <c r="W106" s="1067"/>
      <c r="X106" s="1067"/>
      <c r="AE106" s="1067"/>
      <c r="AF106" s="1067"/>
      <c r="AV106" s="1067"/>
      <c r="AW106" s="1067"/>
      <c r="AX106" s="1067"/>
      <c r="AY106" s="1067"/>
      <c r="AZ106" s="1067"/>
      <c r="BA106" s="1067"/>
      <c r="BC106" s="1067"/>
      <c r="BE106" s="1067"/>
      <c r="BF106" s="1067"/>
      <c r="BG106" s="1067"/>
    </row>
    <row r="107" spans="18:59" x14ac:dyDescent="0.35">
      <c r="R107" s="1067"/>
      <c r="S107" s="1067"/>
      <c r="W107" s="1067"/>
      <c r="X107" s="1067"/>
      <c r="AE107" s="1067"/>
      <c r="AF107" s="1067"/>
      <c r="AV107" s="1067"/>
      <c r="AW107" s="1067"/>
      <c r="AX107" s="1067"/>
      <c r="AY107" s="1067"/>
      <c r="AZ107" s="1067"/>
      <c r="BA107" s="1067"/>
      <c r="BC107" s="1067"/>
      <c r="BE107" s="1067"/>
      <c r="BF107" s="1067"/>
      <c r="BG107" s="1067"/>
    </row>
    <row r="108" spans="18:59" x14ac:dyDescent="0.35">
      <c r="R108" s="1067"/>
      <c r="S108" s="1067"/>
      <c r="W108" s="1067"/>
      <c r="X108" s="1067"/>
      <c r="AE108" s="1067"/>
      <c r="AF108" s="1067"/>
      <c r="AV108" s="1067"/>
      <c r="AW108" s="1067"/>
      <c r="AX108" s="1067"/>
      <c r="AY108" s="1067"/>
      <c r="AZ108" s="1067"/>
      <c r="BA108" s="1067"/>
      <c r="BC108" s="1067"/>
      <c r="BE108" s="1067"/>
      <c r="BF108" s="1067"/>
      <c r="BG108" s="1067"/>
    </row>
    <row r="109" spans="18:59" x14ac:dyDescent="0.35">
      <c r="R109" s="1067"/>
      <c r="S109" s="1067"/>
      <c r="W109" s="1067"/>
      <c r="X109" s="1067"/>
      <c r="AE109" s="1067"/>
      <c r="AF109" s="1067"/>
      <c r="AV109" s="1067"/>
      <c r="AW109" s="1067"/>
      <c r="AX109" s="1067"/>
      <c r="AY109" s="1067"/>
      <c r="AZ109" s="1067"/>
      <c r="BA109" s="1067"/>
      <c r="BC109" s="1067"/>
      <c r="BE109" s="1067"/>
      <c r="BF109" s="1067"/>
      <c r="BG109" s="1067"/>
    </row>
    <row r="110" spans="18:59" x14ac:dyDescent="0.35">
      <c r="R110" s="1067"/>
      <c r="S110" s="1067"/>
      <c r="W110" s="1067"/>
      <c r="X110" s="1067"/>
      <c r="AE110" s="1067"/>
      <c r="AF110" s="1067"/>
      <c r="AV110" s="1067"/>
      <c r="AW110" s="1067"/>
      <c r="AX110" s="1067"/>
      <c r="AY110" s="1067"/>
      <c r="AZ110" s="1067"/>
      <c r="BA110" s="1067"/>
      <c r="BC110" s="1067"/>
      <c r="BE110" s="1067"/>
      <c r="BF110" s="1067"/>
      <c r="BG110" s="1067"/>
    </row>
    <row r="111" spans="18:59" x14ac:dyDescent="0.35">
      <c r="R111" s="1067"/>
      <c r="S111" s="1067"/>
      <c r="W111" s="1067"/>
      <c r="X111" s="1067"/>
      <c r="AE111" s="1067"/>
      <c r="AF111" s="1067"/>
      <c r="AV111" s="1067"/>
      <c r="AW111" s="1067"/>
      <c r="AX111" s="1067"/>
      <c r="AY111" s="1067"/>
      <c r="AZ111" s="1067"/>
      <c r="BA111" s="1067"/>
      <c r="BC111" s="1067"/>
      <c r="BE111" s="1067"/>
      <c r="BF111" s="1067"/>
      <c r="BG111" s="1067"/>
    </row>
    <row r="112" spans="18:59" x14ac:dyDescent="0.35">
      <c r="R112" s="1067"/>
      <c r="S112" s="1067"/>
      <c r="W112" s="1067"/>
      <c r="X112" s="1067"/>
      <c r="AE112" s="1067"/>
      <c r="AF112" s="1067"/>
      <c r="AV112" s="1067"/>
      <c r="AW112" s="1067"/>
      <c r="AX112" s="1067"/>
      <c r="AY112" s="1067"/>
      <c r="AZ112" s="1067"/>
      <c r="BA112" s="1067"/>
      <c r="BC112" s="1067"/>
      <c r="BE112" s="1067"/>
      <c r="BF112" s="1067"/>
      <c r="BG112" s="1067"/>
    </row>
    <row r="113" spans="18:59" x14ac:dyDescent="0.35">
      <c r="R113" s="1067"/>
      <c r="S113" s="1067"/>
      <c r="W113" s="1067"/>
      <c r="X113" s="1067"/>
      <c r="AE113" s="1067"/>
      <c r="AF113" s="1067"/>
      <c r="AV113" s="1067"/>
      <c r="AW113" s="1067"/>
      <c r="AX113" s="1067"/>
      <c r="AY113" s="1067"/>
      <c r="AZ113" s="1067"/>
      <c r="BA113" s="1067"/>
      <c r="BC113" s="1067"/>
      <c r="BE113" s="1067"/>
      <c r="BF113" s="1067"/>
      <c r="BG113" s="1067"/>
    </row>
    <row r="114" spans="18:59" x14ac:dyDescent="0.35">
      <c r="R114" s="1067"/>
      <c r="S114" s="1067"/>
      <c r="W114" s="1067"/>
      <c r="X114" s="1067"/>
      <c r="AE114" s="1067"/>
      <c r="AF114" s="1067"/>
      <c r="AV114" s="1067"/>
      <c r="AW114" s="1067"/>
      <c r="AX114" s="1067"/>
      <c r="AY114" s="1067"/>
      <c r="AZ114" s="1067"/>
      <c r="BA114" s="1067"/>
      <c r="BC114" s="1067"/>
      <c r="BE114" s="1067"/>
      <c r="BF114" s="1067"/>
      <c r="BG114" s="1067"/>
    </row>
    <row r="115" spans="18:59" x14ac:dyDescent="0.35">
      <c r="R115" s="1067"/>
      <c r="S115" s="1067"/>
      <c r="W115" s="1067"/>
      <c r="X115" s="1067"/>
      <c r="AE115" s="1067"/>
      <c r="AF115" s="1067"/>
      <c r="AV115" s="1067"/>
      <c r="AW115" s="1067"/>
      <c r="AX115" s="1067"/>
      <c r="AY115" s="1067"/>
      <c r="AZ115" s="1067"/>
      <c r="BA115" s="1067"/>
      <c r="BC115" s="1067"/>
      <c r="BE115" s="1067"/>
      <c r="BF115" s="1067"/>
      <c r="BG115" s="1067"/>
    </row>
    <row r="116" spans="18:59" x14ac:dyDescent="0.35">
      <c r="R116" s="1067"/>
      <c r="S116" s="1067"/>
      <c r="W116" s="1067"/>
      <c r="X116" s="1067"/>
      <c r="AE116" s="1067"/>
      <c r="AF116" s="1067"/>
      <c r="AV116" s="1067"/>
      <c r="AW116" s="1067"/>
      <c r="AX116" s="1067"/>
      <c r="AY116" s="1067"/>
      <c r="AZ116" s="1067"/>
      <c r="BA116" s="1067"/>
      <c r="BC116" s="1067"/>
      <c r="BE116" s="1067"/>
      <c r="BF116" s="1067"/>
      <c r="BG116" s="1067"/>
    </row>
    <row r="117" spans="18:59" x14ac:dyDescent="0.35">
      <c r="R117" s="1067"/>
      <c r="S117" s="1067"/>
      <c r="W117" s="1067"/>
      <c r="X117" s="1067"/>
      <c r="AE117" s="1067"/>
      <c r="AF117" s="1067"/>
      <c r="AV117" s="1067"/>
      <c r="AW117" s="1067"/>
      <c r="AX117" s="1067"/>
      <c r="AY117" s="1067"/>
      <c r="AZ117" s="1067"/>
      <c r="BA117" s="1067"/>
      <c r="BC117" s="1067"/>
      <c r="BE117" s="1067"/>
      <c r="BF117" s="1067"/>
      <c r="BG117" s="1067"/>
    </row>
    <row r="118" spans="18:59" x14ac:dyDescent="0.35">
      <c r="R118" s="1067"/>
      <c r="S118" s="1067"/>
      <c r="W118" s="1067"/>
      <c r="X118" s="1067"/>
      <c r="AE118" s="1067"/>
      <c r="AF118" s="1067"/>
      <c r="AV118" s="1067"/>
      <c r="AW118" s="1067"/>
      <c r="AX118" s="1067"/>
      <c r="AY118" s="1067"/>
      <c r="AZ118" s="1067"/>
      <c r="BA118" s="1067"/>
      <c r="BC118" s="1067"/>
      <c r="BE118" s="1067"/>
      <c r="BF118" s="1067"/>
      <c r="BG118" s="1067"/>
    </row>
    <row r="119" spans="18:59" x14ac:dyDescent="0.35">
      <c r="R119" s="1067"/>
      <c r="S119" s="1067"/>
      <c r="W119" s="1067"/>
      <c r="X119" s="1067"/>
      <c r="AE119" s="1067"/>
      <c r="AF119" s="1067"/>
      <c r="AV119" s="1067"/>
      <c r="AW119" s="1067"/>
      <c r="AX119" s="1067"/>
      <c r="AY119" s="1067"/>
      <c r="AZ119" s="1067"/>
      <c r="BA119" s="1067"/>
      <c r="BC119" s="1067"/>
      <c r="BE119" s="1067"/>
      <c r="BF119" s="1067"/>
      <c r="BG119" s="1067"/>
    </row>
    <row r="120" spans="18:59" x14ac:dyDescent="0.35">
      <c r="R120" s="1067"/>
      <c r="S120" s="1067"/>
      <c r="W120" s="1067"/>
      <c r="X120" s="1067"/>
      <c r="AE120" s="1067"/>
      <c r="AF120" s="1067"/>
      <c r="AV120" s="1067"/>
      <c r="AW120" s="1067"/>
      <c r="AX120" s="1067"/>
      <c r="AY120" s="1067"/>
      <c r="AZ120" s="1067"/>
      <c r="BA120" s="1067"/>
      <c r="BC120" s="1067"/>
      <c r="BE120" s="1067"/>
      <c r="BF120" s="1067"/>
      <c r="BG120" s="1067"/>
    </row>
    <row r="121" spans="18:59" x14ac:dyDescent="0.35">
      <c r="R121" s="1067"/>
      <c r="S121" s="1067"/>
      <c r="W121" s="1067"/>
      <c r="X121" s="1067"/>
      <c r="AE121" s="1067"/>
      <c r="AF121" s="1067"/>
      <c r="AV121" s="1067"/>
      <c r="AW121" s="1067"/>
      <c r="AX121" s="1067"/>
      <c r="AY121" s="1067"/>
      <c r="AZ121" s="1067"/>
      <c r="BA121" s="1067"/>
      <c r="BC121" s="1067"/>
      <c r="BE121" s="1067"/>
      <c r="BF121" s="1067"/>
      <c r="BG121" s="1067"/>
    </row>
    <row r="122" spans="18:59" x14ac:dyDescent="0.35">
      <c r="R122" s="1067"/>
      <c r="S122" s="1067"/>
      <c r="W122" s="1067"/>
      <c r="X122" s="1067"/>
      <c r="AE122" s="1067"/>
      <c r="AF122" s="1067"/>
      <c r="AV122" s="1067"/>
      <c r="AW122" s="1067"/>
      <c r="AX122" s="1067"/>
      <c r="AY122" s="1067"/>
      <c r="AZ122" s="1067"/>
      <c r="BA122" s="1067"/>
      <c r="BC122" s="1067"/>
      <c r="BE122" s="1067"/>
      <c r="BF122" s="1067"/>
      <c r="BG122" s="1067"/>
    </row>
    <row r="123" spans="18:59" x14ac:dyDescent="0.35">
      <c r="R123" s="1067"/>
      <c r="S123" s="1067"/>
      <c r="W123" s="1067"/>
      <c r="X123" s="1067"/>
      <c r="AE123" s="1067"/>
      <c r="AF123" s="1067"/>
      <c r="AV123" s="1067"/>
      <c r="AW123" s="1067"/>
      <c r="AX123" s="1067"/>
      <c r="AY123" s="1067"/>
      <c r="AZ123" s="1067"/>
      <c r="BA123" s="1067"/>
      <c r="BC123" s="1067"/>
      <c r="BE123" s="1067"/>
      <c r="BF123" s="1067"/>
      <c r="BG123" s="1067"/>
    </row>
    <row r="124" spans="18:59" x14ac:dyDescent="0.35">
      <c r="R124" s="1067"/>
      <c r="S124" s="1067"/>
      <c r="W124" s="1067"/>
      <c r="X124" s="1067"/>
      <c r="AE124" s="1067"/>
      <c r="AF124" s="1067"/>
      <c r="AV124" s="1067"/>
      <c r="AW124" s="1067"/>
      <c r="AX124" s="1067"/>
      <c r="AY124" s="1067"/>
      <c r="AZ124" s="1067"/>
      <c r="BA124" s="1067"/>
      <c r="BC124" s="1067"/>
      <c r="BE124" s="1067"/>
      <c r="BF124" s="1067"/>
      <c r="BG124" s="1067"/>
    </row>
    <row r="125" spans="18:59" x14ac:dyDescent="0.35">
      <c r="R125" s="1067"/>
      <c r="S125" s="1067"/>
      <c r="W125" s="1067"/>
      <c r="X125" s="1067"/>
      <c r="AE125" s="1067"/>
      <c r="AF125" s="1067"/>
      <c r="AV125" s="1067"/>
      <c r="AW125" s="1067"/>
      <c r="AX125" s="1067"/>
      <c r="AY125" s="1067"/>
      <c r="AZ125" s="1067"/>
      <c r="BA125" s="1067"/>
      <c r="BC125" s="1067"/>
      <c r="BE125" s="1067"/>
      <c r="BF125" s="1067"/>
      <c r="BG125" s="1067"/>
    </row>
    <row r="126" spans="18:59" x14ac:dyDescent="0.35">
      <c r="R126" s="1067"/>
      <c r="S126" s="1067"/>
      <c r="W126" s="1067"/>
      <c r="X126" s="1067"/>
      <c r="AE126" s="1067"/>
      <c r="AF126" s="1067"/>
      <c r="AV126" s="1067"/>
      <c r="AW126" s="1067"/>
      <c r="AX126" s="1067"/>
      <c r="AY126" s="1067"/>
      <c r="AZ126" s="1067"/>
      <c r="BA126" s="1067"/>
      <c r="BC126" s="1067"/>
      <c r="BE126" s="1067"/>
      <c r="BF126" s="1067"/>
      <c r="BG126" s="1067"/>
    </row>
    <row r="127" spans="18:59" x14ac:dyDescent="0.35">
      <c r="R127" s="1067"/>
      <c r="S127" s="1067"/>
      <c r="W127" s="1067"/>
      <c r="X127" s="1067"/>
      <c r="AE127" s="1067"/>
      <c r="AF127" s="1067"/>
      <c r="AV127" s="1067"/>
      <c r="AW127" s="1067"/>
      <c r="AX127" s="1067"/>
      <c r="AY127" s="1067"/>
      <c r="AZ127" s="1067"/>
      <c r="BA127" s="1067"/>
      <c r="BC127" s="1067"/>
      <c r="BE127" s="1067"/>
      <c r="BF127" s="1067"/>
      <c r="BG127" s="1067"/>
    </row>
    <row r="128" spans="18:59" x14ac:dyDescent="0.35">
      <c r="R128" s="1067"/>
      <c r="S128" s="1067"/>
      <c r="W128" s="1067"/>
      <c r="X128" s="1067"/>
      <c r="AE128" s="1067"/>
      <c r="AF128" s="1067"/>
      <c r="AV128" s="1067"/>
      <c r="AW128" s="1067"/>
      <c r="AX128" s="1067"/>
      <c r="AY128" s="1067"/>
      <c r="AZ128" s="1067"/>
      <c r="BA128" s="1067"/>
      <c r="BC128" s="1067"/>
      <c r="BE128" s="1067"/>
      <c r="BF128" s="1067"/>
      <c r="BG128" s="1067"/>
    </row>
    <row r="129" spans="18:59" x14ac:dyDescent="0.35">
      <c r="R129" s="1067"/>
      <c r="S129" s="1067"/>
      <c r="W129" s="1067"/>
      <c r="X129" s="1067"/>
      <c r="AE129" s="1067"/>
      <c r="AF129" s="1067"/>
      <c r="AV129" s="1067"/>
      <c r="AW129" s="1067"/>
      <c r="AX129" s="1067"/>
      <c r="AY129" s="1067"/>
      <c r="AZ129" s="1067"/>
      <c r="BA129" s="1067"/>
      <c r="BC129" s="1067"/>
      <c r="BE129" s="1067"/>
      <c r="BF129" s="1067"/>
      <c r="BG129" s="1067"/>
    </row>
    <row r="130" spans="18:59" x14ac:dyDescent="0.35">
      <c r="R130" s="1067"/>
      <c r="S130" s="1067"/>
      <c r="W130" s="1067"/>
      <c r="X130" s="1067"/>
      <c r="AE130" s="1067"/>
      <c r="AF130" s="1067"/>
      <c r="AV130" s="1067"/>
      <c r="AW130" s="1067"/>
      <c r="AX130" s="1067"/>
      <c r="AY130" s="1067"/>
      <c r="AZ130" s="1067"/>
      <c r="BA130" s="1067"/>
      <c r="BC130" s="1067"/>
      <c r="BE130" s="1067"/>
      <c r="BF130" s="1067"/>
      <c r="BG130" s="1067"/>
    </row>
    <row r="131" spans="18:59" x14ac:dyDescent="0.35">
      <c r="R131" s="1067"/>
      <c r="S131" s="1067"/>
      <c r="W131" s="1067"/>
      <c r="X131" s="1067"/>
      <c r="AE131" s="1067"/>
      <c r="AF131" s="1067"/>
      <c r="AV131" s="1067"/>
      <c r="AW131" s="1067"/>
      <c r="AX131" s="1067"/>
      <c r="AY131" s="1067"/>
      <c r="AZ131" s="1067"/>
      <c r="BA131" s="1067"/>
      <c r="BC131" s="1067"/>
      <c r="BE131" s="1067"/>
      <c r="BF131" s="1067"/>
      <c r="BG131" s="1067"/>
    </row>
    <row r="132" spans="18:59" x14ac:dyDescent="0.35">
      <c r="R132" s="1067"/>
      <c r="S132" s="1067"/>
      <c r="W132" s="1067"/>
      <c r="X132" s="1067"/>
      <c r="AE132" s="1067"/>
      <c r="AF132" s="1067"/>
      <c r="AV132" s="1067"/>
      <c r="AW132" s="1067"/>
      <c r="AX132" s="1067"/>
      <c r="AY132" s="1067"/>
      <c r="AZ132" s="1067"/>
      <c r="BA132" s="1067"/>
      <c r="BC132" s="1067"/>
      <c r="BE132" s="1067"/>
      <c r="BF132" s="1067"/>
      <c r="BG132" s="1067"/>
    </row>
    <row r="133" spans="18:59" x14ac:dyDescent="0.35">
      <c r="R133" s="1067"/>
      <c r="S133" s="1067"/>
      <c r="W133" s="1067"/>
      <c r="X133" s="1067"/>
      <c r="AE133" s="1067"/>
      <c r="AF133" s="1067"/>
      <c r="AV133" s="1067"/>
      <c r="AW133" s="1067"/>
      <c r="AX133" s="1067"/>
      <c r="AY133" s="1067"/>
      <c r="AZ133" s="1067"/>
      <c r="BA133" s="1067"/>
      <c r="BC133" s="1067"/>
      <c r="BE133" s="1067"/>
      <c r="BF133" s="1067"/>
      <c r="BG133" s="1067"/>
    </row>
    <row r="134" spans="18:59" x14ac:dyDescent="0.35">
      <c r="R134" s="1067"/>
      <c r="S134" s="1067"/>
      <c r="W134" s="1067"/>
      <c r="X134" s="1067"/>
      <c r="AE134" s="1067"/>
      <c r="AF134" s="1067"/>
      <c r="AV134" s="1067"/>
      <c r="AW134" s="1067"/>
      <c r="AX134" s="1067"/>
      <c r="AY134" s="1067"/>
      <c r="AZ134" s="1067"/>
      <c r="BA134" s="1067"/>
      <c r="BC134" s="1067"/>
      <c r="BE134" s="1067"/>
      <c r="BF134" s="1067"/>
      <c r="BG134" s="1067"/>
    </row>
    <row r="135" spans="18:59" x14ac:dyDescent="0.35">
      <c r="R135" s="1067"/>
      <c r="S135" s="1067"/>
      <c r="W135" s="1067"/>
      <c r="X135" s="1067"/>
      <c r="AE135" s="1067"/>
      <c r="AF135" s="1067"/>
      <c r="AV135" s="1067"/>
      <c r="AW135" s="1067"/>
      <c r="AX135" s="1067"/>
      <c r="AY135" s="1067"/>
      <c r="AZ135" s="1067"/>
      <c r="BA135" s="1067"/>
      <c r="BC135" s="1067"/>
      <c r="BE135" s="1067"/>
      <c r="BF135" s="1067"/>
      <c r="BG135" s="1067"/>
    </row>
    <row r="136" spans="18:59" x14ac:dyDescent="0.35">
      <c r="R136" s="1067"/>
      <c r="S136" s="1067"/>
      <c r="W136" s="1067"/>
      <c r="X136" s="1067"/>
      <c r="AE136" s="1067"/>
      <c r="AF136" s="1067"/>
      <c r="AV136" s="1067"/>
      <c r="AW136" s="1067"/>
      <c r="AX136" s="1067"/>
      <c r="AY136" s="1067"/>
      <c r="AZ136" s="1067"/>
      <c r="BA136" s="1067"/>
      <c r="BC136" s="1067"/>
      <c r="BE136" s="1067"/>
      <c r="BF136" s="1067"/>
      <c r="BG136" s="1067"/>
    </row>
    <row r="137" spans="18:59" x14ac:dyDescent="0.35">
      <c r="R137" s="1067"/>
      <c r="S137" s="1067"/>
      <c r="W137" s="1067"/>
      <c r="X137" s="1067"/>
      <c r="AE137" s="1067"/>
      <c r="AF137" s="1067"/>
      <c r="AV137" s="1067"/>
      <c r="AW137" s="1067"/>
      <c r="AX137" s="1067"/>
      <c r="AY137" s="1067"/>
      <c r="AZ137" s="1067"/>
      <c r="BA137" s="1067"/>
      <c r="BC137" s="1067"/>
      <c r="BE137" s="1067"/>
      <c r="BF137" s="1067"/>
      <c r="BG137" s="1067"/>
    </row>
    <row r="138" spans="18:59" x14ac:dyDescent="0.35">
      <c r="R138" s="1067"/>
      <c r="S138" s="1067"/>
      <c r="W138" s="1067"/>
      <c r="X138" s="1067"/>
      <c r="AE138" s="1067"/>
      <c r="AF138" s="1067"/>
      <c r="AV138" s="1067"/>
      <c r="AW138" s="1067"/>
      <c r="AX138" s="1067"/>
      <c r="AY138" s="1067"/>
      <c r="AZ138" s="1067"/>
      <c r="BA138" s="1067"/>
      <c r="BC138" s="1067"/>
      <c r="BE138" s="1067"/>
      <c r="BF138" s="1067"/>
      <c r="BG138" s="1067"/>
    </row>
    <row r="139" spans="18:59" x14ac:dyDescent="0.35">
      <c r="R139" s="1067"/>
      <c r="S139" s="1067"/>
      <c r="W139" s="1067"/>
      <c r="X139" s="1067"/>
      <c r="AE139" s="1067"/>
      <c r="AF139" s="1067"/>
      <c r="AV139" s="1067"/>
      <c r="AW139" s="1067"/>
      <c r="AX139" s="1067"/>
      <c r="AY139" s="1067"/>
      <c r="AZ139" s="1067"/>
      <c r="BA139" s="1067"/>
      <c r="BC139" s="1067"/>
      <c r="BE139" s="1067"/>
      <c r="BF139" s="1067"/>
      <c r="BG139" s="1067"/>
    </row>
    <row r="140" spans="18:59" x14ac:dyDescent="0.35">
      <c r="R140" s="1067"/>
      <c r="S140" s="1067"/>
      <c r="W140" s="1067"/>
      <c r="X140" s="1067"/>
      <c r="AE140" s="1067"/>
      <c r="AF140" s="1067"/>
      <c r="AV140" s="1067"/>
      <c r="AW140" s="1067"/>
      <c r="AX140" s="1067"/>
      <c r="AY140" s="1067"/>
      <c r="AZ140" s="1067"/>
      <c r="BA140" s="1067"/>
      <c r="BC140" s="1067"/>
      <c r="BE140" s="1067"/>
      <c r="BF140" s="1067"/>
      <c r="BG140" s="1067"/>
    </row>
    <row r="141" spans="18:59" x14ac:dyDescent="0.35">
      <c r="R141" s="1067"/>
      <c r="S141" s="1067"/>
      <c r="W141" s="1067"/>
      <c r="X141" s="1067"/>
      <c r="AE141" s="1067"/>
      <c r="AF141" s="1067"/>
      <c r="AV141" s="1067"/>
      <c r="AW141" s="1067"/>
      <c r="AX141" s="1067"/>
      <c r="AY141" s="1067"/>
      <c r="AZ141" s="1067"/>
      <c r="BA141" s="1067"/>
      <c r="BC141" s="1067"/>
      <c r="BE141" s="1067"/>
      <c r="BF141" s="1067"/>
      <c r="BG141" s="1067"/>
    </row>
    <row r="142" spans="18:59" x14ac:dyDescent="0.35">
      <c r="R142" s="1067"/>
      <c r="S142" s="1067"/>
      <c r="W142" s="1067"/>
      <c r="X142" s="1067"/>
      <c r="AE142" s="1067"/>
      <c r="AF142" s="1067"/>
      <c r="AV142" s="1067"/>
      <c r="AW142" s="1067"/>
      <c r="AX142" s="1067"/>
      <c r="AY142" s="1067"/>
      <c r="AZ142" s="1067"/>
      <c r="BA142" s="1067"/>
      <c r="BC142" s="1067"/>
      <c r="BE142" s="1067"/>
      <c r="BF142" s="1067"/>
      <c r="BG142" s="1067"/>
    </row>
    <row r="143" spans="18:59" x14ac:dyDescent="0.35">
      <c r="R143" s="1067"/>
      <c r="S143" s="1067"/>
      <c r="W143" s="1067"/>
      <c r="X143" s="1067"/>
      <c r="AE143" s="1067"/>
      <c r="AF143" s="1067"/>
      <c r="AV143" s="1067"/>
      <c r="AW143" s="1067"/>
      <c r="AX143" s="1067"/>
      <c r="AY143" s="1067"/>
      <c r="AZ143" s="1067"/>
      <c r="BA143" s="1067"/>
      <c r="BC143" s="1067"/>
      <c r="BE143" s="1067"/>
      <c r="BF143" s="1067"/>
      <c r="BG143" s="1067"/>
    </row>
    <row r="144" spans="18:59" x14ac:dyDescent="0.35">
      <c r="R144" s="1067"/>
      <c r="S144" s="1067"/>
      <c r="W144" s="1067"/>
      <c r="X144" s="1067"/>
      <c r="AE144" s="1067"/>
      <c r="AF144" s="1067"/>
      <c r="AV144" s="1067"/>
      <c r="AW144" s="1067"/>
      <c r="AX144" s="1067"/>
      <c r="AY144" s="1067"/>
      <c r="AZ144" s="1067"/>
      <c r="BA144" s="1067"/>
      <c r="BC144" s="1067"/>
      <c r="BE144" s="1067"/>
      <c r="BF144" s="1067"/>
      <c r="BG144" s="1067"/>
    </row>
    <row r="145" spans="18:59" x14ac:dyDescent="0.35">
      <c r="R145" s="1067"/>
      <c r="S145" s="1067"/>
      <c r="W145" s="1067"/>
      <c r="X145" s="1067"/>
      <c r="AE145" s="1067"/>
      <c r="AF145" s="1067"/>
      <c r="AV145" s="1067"/>
      <c r="AW145" s="1067"/>
      <c r="AX145" s="1067"/>
      <c r="AY145" s="1067"/>
      <c r="AZ145" s="1067"/>
      <c r="BA145" s="1067"/>
      <c r="BC145" s="1067"/>
      <c r="BE145" s="1067"/>
      <c r="BF145" s="1067"/>
      <c r="BG145" s="1067"/>
    </row>
    <row r="146" spans="18:59" x14ac:dyDescent="0.35">
      <c r="R146" s="1067"/>
      <c r="S146" s="1067"/>
      <c r="W146" s="1067"/>
      <c r="X146" s="1067"/>
      <c r="AE146" s="1067"/>
      <c r="AF146" s="1067"/>
      <c r="AV146" s="1067"/>
      <c r="AW146" s="1067"/>
      <c r="AX146" s="1067"/>
      <c r="AY146" s="1067"/>
      <c r="AZ146" s="1067"/>
      <c r="BA146" s="1067"/>
      <c r="BC146" s="1067"/>
      <c r="BE146" s="1067"/>
      <c r="BF146" s="1067"/>
      <c r="BG146" s="1067"/>
    </row>
    <row r="147" spans="18:59" x14ac:dyDescent="0.35">
      <c r="R147" s="1067"/>
      <c r="S147" s="1067"/>
      <c r="W147" s="1067"/>
      <c r="X147" s="1067"/>
      <c r="AE147" s="1067"/>
      <c r="AF147" s="1067"/>
      <c r="AV147" s="1067"/>
      <c r="AW147" s="1067"/>
      <c r="AX147" s="1067"/>
      <c r="AY147" s="1067"/>
      <c r="AZ147" s="1067"/>
      <c r="BA147" s="1067"/>
      <c r="BC147" s="1067"/>
      <c r="BE147" s="1067"/>
      <c r="BF147" s="1067"/>
      <c r="BG147" s="1067"/>
    </row>
    <row r="148" spans="18:59" x14ac:dyDescent="0.35">
      <c r="R148" s="1067"/>
      <c r="S148" s="1067"/>
      <c r="W148" s="1067"/>
      <c r="X148" s="1067"/>
      <c r="AE148" s="1067"/>
      <c r="AF148" s="1067"/>
      <c r="AV148" s="1067"/>
      <c r="AW148" s="1067"/>
      <c r="AX148" s="1067"/>
      <c r="AY148" s="1067"/>
      <c r="AZ148" s="1067"/>
      <c r="BA148" s="1067"/>
      <c r="BC148" s="1067"/>
      <c r="BE148" s="1067"/>
      <c r="BF148" s="1067"/>
      <c r="BG148" s="1067"/>
    </row>
    <row r="149" spans="18:59" x14ac:dyDescent="0.35">
      <c r="R149" s="1067"/>
      <c r="S149" s="1067"/>
      <c r="W149" s="1067"/>
      <c r="X149" s="1067"/>
      <c r="AE149" s="1067"/>
      <c r="AF149" s="1067"/>
      <c r="AV149" s="1067"/>
      <c r="AW149" s="1067"/>
      <c r="AX149" s="1067"/>
      <c r="AY149" s="1067"/>
      <c r="AZ149" s="1067"/>
      <c r="BA149" s="1067"/>
      <c r="BC149" s="1067"/>
      <c r="BE149" s="1067"/>
      <c r="BF149" s="1067"/>
      <c r="BG149" s="1067"/>
    </row>
    <row r="150" spans="18:59" x14ac:dyDescent="0.35">
      <c r="R150" s="1067"/>
      <c r="S150" s="1067"/>
      <c r="W150" s="1067"/>
      <c r="X150" s="1067"/>
      <c r="AE150" s="1067"/>
      <c r="AF150" s="1067"/>
      <c r="AV150" s="1067"/>
      <c r="AW150" s="1067"/>
      <c r="AX150" s="1067"/>
      <c r="AY150" s="1067"/>
      <c r="AZ150" s="1067"/>
      <c r="BA150" s="1067"/>
      <c r="BC150" s="1067"/>
      <c r="BE150" s="1067"/>
      <c r="BF150" s="1067"/>
      <c r="BG150" s="1067"/>
    </row>
    <row r="151" spans="18:59" x14ac:dyDescent="0.35">
      <c r="R151" s="1067"/>
      <c r="S151" s="1067"/>
      <c r="W151" s="1067"/>
      <c r="X151" s="1067"/>
      <c r="AE151" s="1067"/>
      <c r="AF151" s="1067"/>
      <c r="AV151" s="1067"/>
      <c r="AW151" s="1067"/>
      <c r="AX151" s="1067"/>
      <c r="AY151" s="1067"/>
      <c r="AZ151" s="1067"/>
      <c r="BA151" s="1067"/>
      <c r="BC151" s="1067"/>
      <c r="BE151" s="1067"/>
      <c r="BF151" s="1067"/>
      <c r="BG151" s="1067"/>
    </row>
    <row r="152" spans="18:59" x14ac:dyDescent="0.35">
      <c r="R152" s="1067"/>
      <c r="S152" s="1067"/>
      <c r="W152" s="1067"/>
      <c r="X152" s="1067"/>
      <c r="AE152" s="1067"/>
      <c r="AF152" s="1067"/>
      <c r="AV152" s="1067"/>
      <c r="AW152" s="1067"/>
      <c r="AX152" s="1067"/>
      <c r="AY152" s="1067"/>
      <c r="AZ152" s="1067"/>
      <c r="BA152" s="1067"/>
      <c r="BC152" s="1067"/>
      <c r="BE152" s="1067"/>
      <c r="BF152" s="1067"/>
      <c r="BG152" s="1067"/>
    </row>
    <row r="153" spans="18:59" x14ac:dyDescent="0.35">
      <c r="R153" s="1067"/>
      <c r="S153" s="1067"/>
      <c r="W153" s="1067"/>
      <c r="X153" s="1067"/>
      <c r="AE153" s="1067"/>
      <c r="AF153" s="1067"/>
      <c r="AV153" s="1067"/>
      <c r="AW153" s="1067"/>
      <c r="AX153" s="1067"/>
      <c r="AY153" s="1067"/>
      <c r="AZ153" s="1067"/>
      <c r="BA153" s="1067"/>
      <c r="BC153" s="1067"/>
      <c r="BE153" s="1067"/>
      <c r="BF153" s="1067"/>
      <c r="BG153" s="1067"/>
    </row>
    <row r="154" spans="18:59" x14ac:dyDescent="0.35">
      <c r="R154" s="1067"/>
      <c r="S154" s="1067"/>
      <c r="W154" s="1067"/>
      <c r="X154" s="1067"/>
      <c r="AE154" s="1067"/>
      <c r="AF154" s="1067"/>
      <c r="AV154" s="1067"/>
      <c r="AW154" s="1067"/>
      <c r="AX154" s="1067"/>
      <c r="AY154" s="1067"/>
      <c r="AZ154" s="1067"/>
      <c r="BA154" s="1067"/>
      <c r="BC154" s="1067"/>
      <c r="BE154" s="1067"/>
      <c r="BF154" s="1067"/>
      <c r="BG154" s="1067"/>
    </row>
    <row r="155" spans="18:59" x14ac:dyDescent="0.35">
      <c r="R155" s="1067"/>
      <c r="S155" s="1067"/>
      <c r="W155" s="1067"/>
      <c r="X155" s="1067"/>
      <c r="AE155" s="1067"/>
      <c r="AF155" s="1067"/>
      <c r="AV155" s="1067"/>
      <c r="AW155" s="1067"/>
      <c r="AX155" s="1067"/>
      <c r="AY155" s="1067"/>
      <c r="AZ155" s="1067"/>
      <c r="BA155" s="1067"/>
      <c r="BC155" s="1067"/>
      <c r="BE155" s="1067"/>
      <c r="BF155" s="1067"/>
      <c r="BG155" s="1067"/>
    </row>
    <row r="156" spans="18:59" x14ac:dyDescent="0.35">
      <c r="R156" s="1067"/>
      <c r="S156" s="1067"/>
      <c r="W156" s="1067"/>
      <c r="X156" s="1067"/>
      <c r="AE156" s="1067"/>
      <c r="AF156" s="1067"/>
      <c r="AV156" s="1067"/>
      <c r="AW156" s="1067"/>
      <c r="AX156" s="1067"/>
      <c r="AY156" s="1067"/>
      <c r="AZ156" s="1067"/>
      <c r="BA156" s="1067"/>
      <c r="BC156" s="1067"/>
      <c r="BE156" s="1067"/>
      <c r="BF156" s="1067"/>
      <c r="BG156" s="1067"/>
    </row>
    <row r="157" spans="18:59" x14ac:dyDescent="0.35">
      <c r="R157" s="1067"/>
      <c r="S157" s="1067"/>
      <c r="W157" s="1067"/>
      <c r="X157" s="1067"/>
      <c r="AE157" s="1067"/>
      <c r="AF157" s="1067"/>
      <c r="AV157" s="1067"/>
      <c r="AW157" s="1067"/>
      <c r="AX157" s="1067"/>
      <c r="AY157" s="1067"/>
      <c r="AZ157" s="1067"/>
      <c r="BA157" s="1067"/>
      <c r="BC157" s="1067"/>
      <c r="BE157" s="1067"/>
      <c r="BF157" s="1067"/>
      <c r="BG157" s="1067"/>
    </row>
    <row r="158" spans="18:59" x14ac:dyDescent="0.35">
      <c r="R158" s="1067"/>
      <c r="S158" s="1067"/>
      <c r="W158" s="1067"/>
      <c r="X158" s="1067"/>
      <c r="AE158" s="1067"/>
      <c r="AF158" s="1067"/>
      <c r="AV158" s="1067"/>
      <c r="AW158" s="1067"/>
      <c r="AX158" s="1067"/>
      <c r="AY158" s="1067"/>
      <c r="AZ158" s="1067"/>
      <c r="BA158" s="1067"/>
      <c r="BC158" s="1067"/>
      <c r="BE158" s="1067"/>
      <c r="BF158" s="1067"/>
      <c r="BG158" s="1067"/>
    </row>
    <row r="159" spans="18:59" x14ac:dyDescent="0.35">
      <c r="R159" s="1067"/>
      <c r="S159" s="1067"/>
      <c r="W159" s="1067"/>
      <c r="X159" s="1067"/>
      <c r="AE159" s="1067"/>
      <c r="AF159" s="1067"/>
      <c r="AV159" s="1067"/>
      <c r="AW159" s="1067"/>
      <c r="AX159" s="1067"/>
      <c r="AY159" s="1067"/>
      <c r="AZ159" s="1067"/>
      <c r="BA159" s="1067"/>
      <c r="BC159" s="1067"/>
      <c r="BE159" s="1067"/>
      <c r="BF159" s="1067"/>
      <c r="BG159" s="1067"/>
    </row>
    <row r="160" spans="18:59" x14ac:dyDescent="0.35">
      <c r="R160" s="1067"/>
      <c r="S160" s="1067"/>
      <c r="W160" s="1067"/>
      <c r="X160" s="1067"/>
      <c r="AE160" s="1067"/>
      <c r="AF160" s="1067"/>
      <c r="AV160" s="1067"/>
      <c r="AW160" s="1067"/>
      <c r="AX160" s="1067"/>
      <c r="AY160" s="1067"/>
      <c r="AZ160" s="1067"/>
      <c r="BA160" s="1067"/>
      <c r="BC160" s="1067"/>
      <c r="BE160" s="1067"/>
      <c r="BF160" s="1067"/>
      <c r="BG160" s="1067"/>
    </row>
    <row r="161" spans="18:59" x14ac:dyDescent="0.35">
      <c r="R161" s="1067"/>
      <c r="S161" s="1067"/>
      <c r="W161" s="1067"/>
      <c r="X161" s="1067"/>
      <c r="AE161" s="1067"/>
      <c r="AF161" s="1067"/>
      <c r="AV161" s="1067"/>
      <c r="AW161" s="1067"/>
      <c r="AX161" s="1067"/>
      <c r="AY161" s="1067"/>
      <c r="AZ161" s="1067"/>
      <c r="BA161" s="1067"/>
      <c r="BC161" s="1067"/>
      <c r="BE161" s="1067"/>
      <c r="BF161" s="1067"/>
      <c r="BG161" s="1067"/>
    </row>
    <row r="162" spans="18:59" x14ac:dyDescent="0.35">
      <c r="R162" s="1067"/>
      <c r="S162" s="1067"/>
      <c r="W162" s="1067"/>
      <c r="X162" s="1067"/>
      <c r="AE162" s="1067"/>
      <c r="AF162" s="1067"/>
      <c r="AV162" s="1067"/>
      <c r="AW162" s="1067"/>
      <c r="AX162" s="1067"/>
      <c r="AY162" s="1067"/>
      <c r="AZ162" s="1067"/>
      <c r="BA162" s="1067"/>
      <c r="BC162" s="1067"/>
      <c r="BE162" s="1067"/>
      <c r="BF162" s="1067"/>
      <c r="BG162" s="1067"/>
    </row>
    <row r="163" spans="18:59" x14ac:dyDescent="0.35">
      <c r="R163" s="1067"/>
      <c r="S163" s="1067"/>
      <c r="W163" s="1067"/>
      <c r="X163" s="1067"/>
      <c r="AE163" s="1067"/>
      <c r="AF163" s="1067"/>
      <c r="AV163" s="1067"/>
      <c r="AW163" s="1067"/>
      <c r="AX163" s="1067"/>
      <c r="AY163" s="1067"/>
      <c r="AZ163" s="1067"/>
      <c r="BA163" s="1067"/>
      <c r="BC163" s="1067"/>
      <c r="BE163" s="1067"/>
      <c r="BF163" s="1067"/>
      <c r="BG163" s="1067"/>
    </row>
    <row r="164" spans="18:59" x14ac:dyDescent="0.35">
      <c r="R164" s="1067"/>
      <c r="S164" s="1067"/>
      <c r="W164" s="1067"/>
      <c r="X164" s="1067"/>
      <c r="AE164" s="1067"/>
      <c r="AF164" s="1067"/>
      <c r="AV164" s="1067"/>
      <c r="AW164" s="1067"/>
      <c r="AX164" s="1067"/>
      <c r="AY164" s="1067"/>
      <c r="AZ164" s="1067"/>
      <c r="BA164" s="1067"/>
      <c r="BC164" s="1067"/>
      <c r="BE164" s="1067"/>
      <c r="BF164" s="1067"/>
      <c r="BG164" s="1067"/>
    </row>
    <row r="165" spans="18:59" x14ac:dyDescent="0.35">
      <c r="R165" s="1067"/>
      <c r="S165" s="1067"/>
      <c r="W165" s="1067"/>
      <c r="X165" s="1067"/>
      <c r="AE165" s="1067"/>
      <c r="AF165" s="1067"/>
      <c r="AV165" s="1067"/>
      <c r="AW165" s="1067"/>
      <c r="AX165" s="1067"/>
      <c r="AY165" s="1067"/>
      <c r="AZ165" s="1067"/>
      <c r="BA165" s="1067"/>
      <c r="BC165" s="1067"/>
      <c r="BE165" s="1067"/>
      <c r="BF165" s="1067"/>
      <c r="BG165" s="1067"/>
    </row>
    <row r="166" spans="18:59" x14ac:dyDescent="0.35">
      <c r="R166" s="1067"/>
      <c r="S166" s="1067"/>
      <c r="W166" s="1067"/>
      <c r="X166" s="1067"/>
      <c r="AE166" s="1067"/>
      <c r="AF166" s="1067"/>
      <c r="AV166" s="1067"/>
      <c r="AW166" s="1067"/>
      <c r="AX166" s="1067"/>
      <c r="AY166" s="1067"/>
      <c r="AZ166" s="1067"/>
      <c r="BA166" s="1067"/>
      <c r="BC166" s="1067"/>
      <c r="BE166" s="1067"/>
      <c r="BF166" s="1067"/>
      <c r="BG166" s="1067"/>
    </row>
    <row r="167" spans="18:59" x14ac:dyDescent="0.35">
      <c r="R167" s="1067"/>
      <c r="S167" s="1067"/>
      <c r="W167" s="1067"/>
      <c r="X167" s="1067"/>
      <c r="AE167" s="1067"/>
      <c r="AF167" s="1067"/>
      <c r="AV167" s="1067"/>
      <c r="AW167" s="1067"/>
      <c r="AX167" s="1067"/>
      <c r="AY167" s="1067"/>
      <c r="AZ167" s="1067"/>
      <c r="BA167" s="1067"/>
      <c r="BC167" s="1067"/>
      <c r="BE167" s="1067"/>
      <c r="BF167" s="1067"/>
      <c r="BG167" s="1067"/>
    </row>
    <row r="168" spans="18:59" x14ac:dyDescent="0.35">
      <c r="R168" s="1067"/>
      <c r="S168" s="1067"/>
      <c r="W168" s="1067"/>
      <c r="X168" s="1067"/>
      <c r="AE168" s="1067"/>
      <c r="AF168" s="1067"/>
      <c r="AV168" s="1067"/>
      <c r="AW168" s="1067"/>
      <c r="AX168" s="1067"/>
      <c r="AY168" s="1067"/>
      <c r="AZ168" s="1067"/>
      <c r="BA168" s="1067"/>
      <c r="BC168" s="1067"/>
      <c r="BE168" s="1067"/>
      <c r="BF168" s="1067"/>
      <c r="BG168" s="1067"/>
    </row>
    <row r="169" spans="18:59" x14ac:dyDescent="0.35">
      <c r="R169" s="1067"/>
      <c r="S169" s="1067"/>
      <c r="W169" s="1067"/>
      <c r="X169" s="1067"/>
      <c r="AE169" s="1067"/>
      <c r="AF169" s="1067"/>
      <c r="AV169" s="1067"/>
      <c r="AW169" s="1067"/>
      <c r="AX169" s="1067"/>
      <c r="AY169" s="1067"/>
      <c r="AZ169" s="1067"/>
      <c r="BA169" s="1067"/>
      <c r="BC169" s="1067"/>
      <c r="BE169" s="1067"/>
      <c r="BF169" s="1067"/>
      <c r="BG169" s="1067"/>
    </row>
    <row r="170" spans="18:59" x14ac:dyDescent="0.35">
      <c r="R170" s="1067"/>
      <c r="S170" s="1067"/>
      <c r="W170" s="1067"/>
      <c r="X170" s="1067"/>
      <c r="AE170" s="1067"/>
      <c r="AF170" s="1067"/>
      <c r="AV170" s="1067"/>
      <c r="AW170" s="1067"/>
      <c r="AX170" s="1067"/>
      <c r="AY170" s="1067"/>
      <c r="AZ170" s="1067"/>
      <c r="BA170" s="1067"/>
      <c r="BC170" s="1067"/>
      <c r="BE170" s="1067"/>
      <c r="BF170" s="1067"/>
      <c r="BG170" s="1067"/>
    </row>
    <row r="171" spans="18:59" x14ac:dyDescent="0.35">
      <c r="R171" s="1067"/>
      <c r="S171" s="1067"/>
      <c r="W171" s="1067"/>
      <c r="X171" s="1067"/>
      <c r="AE171" s="1067"/>
      <c r="AF171" s="1067"/>
      <c r="AV171" s="1067"/>
      <c r="AW171" s="1067"/>
      <c r="AX171" s="1067"/>
      <c r="AY171" s="1067"/>
      <c r="AZ171" s="1067"/>
      <c r="BA171" s="1067"/>
      <c r="BC171" s="1067"/>
      <c r="BE171" s="1067"/>
      <c r="BF171" s="1067"/>
      <c r="BG171" s="1067"/>
    </row>
    <row r="172" spans="18:59" x14ac:dyDescent="0.35">
      <c r="R172" s="1067"/>
      <c r="S172" s="1067"/>
      <c r="W172" s="1067"/>
      <c r="X172" s="1067"/>
      <c r="AE172" s="1067"/>
      <c r="AF172" s="1067"/>
      <c r="AV172" s="1067"/>
      <c r="AW172" s="1067"/>
      <c r="AX172" s="1067"/>
      <c r="AY172" s="1067"/>
      <c r="AZ172" s="1067"/>
      <c r="BA172" s="1067"/>
      <c r="BC172" s="1067"/>
      <c r="BE172" s="1067"/>
      <c r="BF172" s="1067"/>
      <c r="BG172" s="1067"/>
    </row>
    <row r="173" spans="18:59" x14ac:dyDescent="0.35">
      <c r="R173" s="1067"/>
      <c r="S173" s="1067"/>
      <c r="W173" s="1067"/>
      <c r="X173" s="1067"/>
      <c r="AE173" s="1067"/>
      <c r="AF173" s="1067"/>
      <c r="AV173" s="1067"/>
      <c r="AW173" s="1067"/>
      <c r="AX173" s="1067"/>
      <c r="AY173" s="1067"/>
      <c r="AZ173" s="1067"/>
      <c r="BA173" s="1067"/>
      <c r="BC173" s="1067"/>
      <c r="BE173" s="1067"/>
      <c r="BF173" s="1067"/>
      <c r="BG173" s="1067"/>
    </row>
    <row r="174" spans="18:59" x14ac:dyDescent="0.35">
      <c r="R174" s="1067"/>
      <c r="S174" s="1067"/>
      <c r="W174" s="1067"/>
      <c r="X174" s="1067"/>
      <c r="AE174" s="1067"/>
      <c r="AF174" s="1067"/>
      <c r="AV174" s="1067"/>
      <c r="AW174" s="1067"/>
      <c r="AX174" s="1067"/>
      <c r="AY174" s="1067"/>
      <c r="AZ174" s="1067"/>
      <c r="BA174" s="1067"/>
      <c r="BC174" s="1067"/>
      <c r="BE174" s="1067"/>
      <c r="BF174" s="1067"/>
      <c r="BG174" s="1067"/>
    </row>
    <row r="175" spans="18:59" x14ac:dyDescent="0.35">
      <c r="R175" s="1067"/>
      <c r="S175" s="1067"/>
      <c r="W175" s="1067"/>
      <c r="X175" s="1067"/>
      <c r="AE175" s="1067"/>
      <c r="AF175" s="1067"/>
      <c r="AV175" s="1067"/>
      <c r="AW175" s="1067"/>
      <c r="AX175" s="1067"/>
      <c r="AY175" s="1067"/>
      <c r="AZ175" s="1067"/>
      <c r="BA175" s="1067"/>
      <c r="BC175" s="1067"/>
      <c r="BE175" s="1067"/>
      <c r="BF175" s="1067"/>
      <c r="BG175" s="1067"/>
    </row>
    <row r="176" spans="18:59" x14ac:dyDescent="0.35">
      <c r="R176" s="1067"/>
      <c r="S176" s="1067"/>
      <c r="W176" s="1067"/>
      <c r="X176" s="1067"/>
      <c r="AE176" s="1067"/>
      <c r="AF176" s="1067"/>
      <c r="AV176" s="1067"/>
      <c r="AW176" s="1067"/>
      <c r="AX176" s="1067"/>
      <c r="AY176" s="1067"/>
      <c r="AZ176" s="1067"/>
      <c r="BA176" s="1067"/>
      <c r="BC176" s="1067"/>
      <c r="BE176" s="1067"/>
      <c r="BF176" s="1067"/>
      <c r="BG176" s="1067"/>
    </row>
    <row r="177" spans="18:59" x14ac:dyDescent="0.35">
      <c r="R177" s="1067"/>
      <c r="S177" s="1067"/>
      <c r="W177" s="1067"/>
      <c r="X177" s="1067"/>
      <c r="AE177" s="1067"/>
      <c r="AF177" s="1067"/>
      <c r="AV177" s="1067"/>
      <c r="AW177" s="1067"/>
      <c r="AX177" s="1067"/>
      <c r="AY177" s="1067"/>
      <c r="AZ177" s="1067"/>
      <c r="BA177" s="1067"/>
      <c r="BC177" s="1067"/>
      <c r="BE177" s="1067"/>
      <c r="BF177" s="1067"/>
      <c r="BG177" s="1067"/>
    </row>
    <row r="178" spans="18:59" x14ac:dyDescent="0.35">
      <c r="R178" s="1067"/>
      <c r="S178" s="1067"/>
      <c r="W178" s="1067"/>
      <c r="X178" s="1067"/>
      <c r="AE178" s="1067"/>
      <c r="AF178" s="1067"/>
      <c r="AV178" s="1067"/>
      <c r="AW178" s="1067"/>
      <c r="AX178" s="1067"/>
      <c r="AY178" s="1067"/>
      <c r="AZ178" s="1067"/>
      <c r="BA178" s="1067"/>
      <c r="BC178" s="1067"/>
      <c r="BE178" s="1067"/>
      <c r="BF178" s="1067"/>
      <c r="BG178" s="1067"/>
    </row>
    <row r="179" spans="18:59" x14ac:dyDescent="0.35">
      <c r="R179" s="1067"/>
      <c r="S179" s="1067"/>
      <c r="W179" s="1067"/>
      <c r="X179" s="1067"/>
      <c r="AE179" s="1067"/>
      <c r="AF179" s="1067"/>
      <c r="AV179" s="1067"/>
      <c r="AW179" s="1067"/>
      <c r="AX179" s="1067"/>
      <c r="AY179" s="1067"/>
      <c r="AZ179" s="1067"/>
      <c r="BA179" s="1067"/>
      <c r="BC179" s="1067"/>
      <c r="BE179" s="1067"/>
      <c r="BF179" s="1067"/>
      <c r="BG179" s="1067"/>
    </row>
    <row r="180" spans="18:59" x14ac:dyDescent="0.35">
      <c r="R180" s="1067"/>
      <c r="S180" s="1067"/>
      <c r="W180" s="1067"/>
      <c r="X180" s="1067"/>
      <c r="AE180" s="1067"/>
      <c r="AF180" s="1067"/>
      <c r="AV180" s="1067"/>
      <c r="AW180" s="1067"/>
      <c r="AX180" s="1067"/>
      <c r="AY180" s="1067"/>
      <c r="AZ180" s="1067"/>
      <c r="BA180" s="1067"/>
      <c r="BC180" s="1067"/>
      <c r="BE180" s="1067"/>
      <c r="BF180" s="1067"/>
      <c r="BG180" s="1067"/>
    </row>
    <row r="181" spans="18:59" x14ac:dyDescent="0.35">
      <c r="R181" s="1067"/>
      <c r="S181" s="1067"/>
      <c r="W181" s="1067"/>
      <c r="X181" s="1067"/>
      <c r="AE181" s="1067"/>
      <c r="AF181" s="1067"/>
      <c r="AV181" s="1067"/>
      <c r="AW181" s="1067"/>
      <c r="AX181" s="1067"/>
      <c r="AY181" s="1067"/>
      <c r="AZ181" s="1067"/>
      <c r="BA181" s="1067"/>
      <c r="BC181" s="1067"/>
      <c r="BE181" s="1067"/>
      <c r="BF181" s="1067"/>
      <c r="BG181" s="1067"/>
    </row>
    <row r="182" spans="18:59" x14ac:dyDescent="0.35">
      <c r="R182" s="1067"/>
      <c r="S182" s="1067"/>
      <c r="W182" s="1067"/>
      <c r="X182" s="1067"/>
      <c r="AE182" s="1067"/>
      <c r="AF182" s="1067"/>
      <c r="AV182" s="1067"/>
      <c r="AW182" s="1067"/>
      <c r="AX182" s="1067"/>
      <c r="AY182" s="1067"/>
      <c r="AZ182" s="1067"/>
      <c r="BA182" s="1067"/>
      <c r="BC182" s="1067"/>
      <c r="BE182" s="1067"/>
      <c r="BF182" s="1067"/>
      <c r="BG182" s="1067"/>
    </row>
    <row r="183" spans="18:59" x14ac:dyDescent="0.35">
      <c r="R183" s="1067"/>
      <c r="S183" s="1067"/>
      <c r="W183" s="1067"/>
      <c r="X183" s="1067"/>
      <c r="AE183" s="1067"/>
      <c r="AF183" s="1067"/>
      <c r="AV183" s="1067"/>
      <c r="AW183" s="1067"/>
      <c r="AX183" s="1067"/>
      <c r="AY183" s="1067"/>
      <c r="AZ183" s="1067"/>
      <c r="BA183" s="1067"/>
      <c r="BC183" s="1067"/>
      <c r="BE183" s="1067"/>
      <c r="BF183" s="1067"/>
      <c r="BG183" s="1067"/>
    </row>
    <row r="184" spans="18:59" x14ac:dyDescent="0.35">
      <c r="R184" s="1067"/>
      <c r="S184" s="1067"/>
      <c r="W184" s="1067"/>
      <c r="X184" s="1067"/>
      <c r="AE184" s="1067"/>
      <c r="AF184" s="1067"/>
      <c r="AV184" s="1067"/>
      <c r="AW184" s="1067"/>
      <c r="AX184" s="1067"/>
      <c r="AY184" s="1067"/>
      <c r="AZ184" s="1067"/>
      <c r="BA184" s="1067"/>
      <c r="BC184" s="1067"/>
      <c r="BE184" s="1067"/>
      <c r="BF184" s="1067"/>
      <c r="BG184" s="1067"/>
    </row>
    <row r="185" spans="18:59" x14ac:dyDescent="0.35">
      <c r="R185" s="1067"/>
      <c r="S185" s="1067"/>
      <c r="W185" s="1067"/>
      <c r="X185" s="1067"/>
      <c r="AE185" s="1067"/>
      <c r="AF185" s="1067"/>
      <c r="AV185" s="1067"/>
      <c r="AW185" s="1067"/>
      <c r="AX185" s="1067"/>
      <c r="AY185" s="1067"/>
      <c r="AZ185" s="1067"/>
      <c r="BA185" s="1067"/>
      <c r="BC185" s="1067"/>
      <c r="BE185" s="1067"/>
      <c r="BF185" s="1067"/>
      <c r="BG185" s="1067"/>
    </row>
    <row r="186" spans="18:59" x14ac:dyDescent="0.35">
      <c r="R186" s="1067"/>
      <c r="S186" s="1067"/>
      <c r="W186" s="1067"/>
      <c r="X186" s="1067"/>
      <c r="AE186" s="1067"/>
      <c r="AF186" s="1067"/>
      <c r="AV186" s="1067"/>
      <c r="AW186" s="1067"/>
      <c r="AX186" s="1067"/>
      <c r="AY186" s="1067"/>
      <c r="AZ186" s="1067"/>
      <c r="BA186" s="1067"/>
      <c r="BC186" s="1067"/>
      <c r="BE186" s="1067"/>
      <c r="BF186" s="1067"/>
      <c r="BG186" s="1067"/>
    </row>
    <row r="187" spans="18:59" x14ac:dyDescent="0.35">
      <c r="R187" s="1067"/>
      <c r="S187" s="1067"/>
      <c r="W187" s="1067"/>
      <c r="X187" s="1067"/>
      <c r="AE187" s="1067"/>
      <c r="AF187" s="1067"/>
      <c r="AV187" s="1067"/>
      <c r="AW187" s="1067"/>
      <c r="AX187" s="1067"/>
      <c r="AY187" s="1067"/>
      <c r="AZ187" s="1067"/>
      <c r="BA187" s="1067"/>
      <c r="BC187" s="1067"/>
      <c r="BE187" s="1067"/>
      <c r="BF187" s="1067"/>
      <c r="BG187" s="1067"/>
    </row>
    <row r="188" spans="18:59" x14ac:dyDescent="0.35">
      <c r="R188" s="1067"/>
      <c r="S188" s="1067"/>
      <c r="W188" s="1067"/>
      <c r="X188" s="1067"/>
      <c r="AE188" s="1067"/>
      <c r="AF188" s="1067"/>
      <c r="AV188" s="1067"/>
      <c r="AW188" s="1067"/>
      <c r="AX188" s="1067"/>
      <c r="AY188" s="1067"/>
      <c r="AZ188" s="1067"/>
      <c r="BA188" s="1067"/>
      <c r="BC188" s="1067"/>
      <c r="BE188" s="1067"/>
      <c r="BF188" s="1067"/>
      <c r="BG188" s="1067"/>
    </row>
    <row r="189" spans="18:59" x14ac:dyDescent="0.35">
      <c r="R189" s="1067"/>
      <c r="S189" s="1067"/>
      <c r="W189" s="1067"/>
      <c r="X189" s="1067"/>
      <c r="AE189" s="1067"/>
      <c r="AF189" s="1067"/>
      <c r="AV189" s="1067"/>
      <c r="AW189" s="1067"/>
      <c r="AX189" s="1067"/>
      <c r="AY189" s="1067"/>
      <c r="AZ189" s="1067"/>
      <c r="BA189" s="1067"/>
      <c r="BC189" s="1067"/>
      <c r="BE189" s="1067"/>
      <c r="BF189" s="1067"/>
      <c r="BG189" s="1067"/>
    </row>
    <row r="190" spans="18:59" x14ac:dyDescent="0.35">
      <c r="R190" s="1067"/>
      <c r="S190" s="1067"/>
      <c r="W190" s="1067"/>
      <c r="X190" s="1067"/>
      <c r="AE190" s="1067"/>
      <c r="AF190" s="1067"/>
      <c r="AV190" s="1067"/>
      <c r="AW190" s="1067"/>
      <c r="AX190" s="1067"/>
      <c r="AY190" s="1067"/>
      <c r="AZ190" s="1067"/>
      <c r="BA190" s="1067"/>
      <c r="BC190" s="1067"/>
      <c r="BE190" s="1067"/>
      <c r="BF190" s="1067"/>
      <c r="BG190" s="1067"/>
    </row>
    <row r="191" spans="18:59" x14ac:dyDescent="0.35">
      <c r="R191" s="1067"/>
      <c r="S191" s="1067"/>
      <c r="W191" s="1067"/>
      <c r="X191" s="1067"/>
      <c r="AE191" s="1067"/>
      <c r="AF191" s="1067"/>
      <c r="AV191" s="1067"/>
      <c r="AW191" s="1067"/>
      <c r="AX191" s="1067"/>
      <c r="AY191" s="1067"/>
      <c r="AZ191" s="1067"/>
      <c r="BA191" s="1067"/>
      <c r="BC191" s="1067"/>
      <c r="BE191" s="1067"/>
      <c r="BF191" s="1067"/>
      <c r="BG191" s="1067"/>
    </row>
    <row r="192" spans="18:59" x14ac:dyDescent="0.35">
      <c r="R192" s="1067"/>
      <c r="S192" s="1067"/>
      <c r="W192" s="1067"/>
      <c r="X192" s="1067"/>
      <c r="AE192" s="1067"/>
      <c r="AF192" s="1067"/>
      <c r="AV192" s="1067"/>
      <c r="AW192" s="1067"/>
      <c r="AX192" s="1067"/>
      <c r="AY192" s="1067"/>
      <c r="AZ192" s="1067"/>
      <c r="BA192" s="1067"/>
      <c r="BC192" s="1067"/>
      <c r="BE192" s="1067"/>
      <c r="BF192" s="1067"/>
      <c r="BG192" s="1067"/>
    </row>
    <row r="193" spans="18:59" x14ac:dyDescent="0.35">
      <c r="R193" s="1067"/>
      <c r="S193" s="1067"/>
      <c r="W193" s="1067"/>
      <c r="X193" s="1067"/>
      <c r="AE193" s="1067"/>
      <c r="AF193" s="1067"/>
      <c r="AV193" s="1067"/>
      <c r="AW193" s="1067"/>
      <c r="AX193" s="1067"/>
      <c r="AY193" s="1067"/>
      <c r="AZ193" s="1067"/>
      <c r="BA193" s="1067"/>
      <c r="BC193" s="1067"/>
      <c r="BE193" s="1067"/>
      <c r="BF193" s="1067"/>
      <c r="BG193" s="1067"/>
    </row>
    <row r="194" spans="18:59" x14ac:dyDescent="0.35">
      <c r="R194" s="1067"/>
      <c r="S194" s="1067"/>
      <c r="W194" s="1067"/>
      <c r="X194" s="1067"/>
      <c r="AE194" s="1067"/>
      <c r="AF194" s="1067"/>
      <c r="AV194" s="1067"/>
      <c r="AW194" s="1067"/>
      <c r="AX194" s="1067"/>
      <c r="AY194" s="1067"/>
      <c r="AZ194" s="1067"/>
      <c r="BA194" s="1067"/>
      <c r="BC194" s="1067"/>
      <c r="BE194" s="1067"/>
      <c r="BF194" s="1067"/>
      <c r="BG194" s="1067"/>
    </row>
    <row r="195" spans="18:59" x14ac:dyDescent="0.35">
      <c r="R195" s="1067"/>
      <c r="S195" s="1067"/>
      <c r="W195" s="1067"/>
      <c r="X195" s="1067"/>
      <c r="AE195" s="1067"/>
      <c r="AF195" s="1067"/>
      <c r="AV195" s="1067"/>
      <c r="AW195" s="1067"/>
      <c r="AX195" s="1067"/>
      <c r="AY195" s="1067"/>
      <c r="AZ195" s="1067"/>
      <c r="BA195" s="1067"/>
      <c r="BC195" s="1067"/>
      <c r="BE195" s="1067"/>
      <c r="BF195" s="1067"/>
      <c r="BG195" s="1067"/>
    </row>
    <row r="196" spans="18:59" x14ac:dyDescent="0.35">
      <c r="R196" s="1067"/>
      <c r="S196" s="1067"/>
      <c r="W196" s="1067"/>
      <c r="X196" s="1067"/>
      <c r="AE196" s="1067"/>
      <c r="AF196" s="1067"/>
      <c r="AV196" s="1067"/>
      <c r="AW196" s="1067"/>
      <c r="AX196" s="1067"/>
      <c r="AY196" s="1067"/>
      <c r="AZ196" s="1067"/>
      <c r="BA196" s="1067"/>
      <c r="BC196" s="1067"/>
      <c r="BE196" s="1067"/>
      <c r="BF196" s="1067"/>
      <c r="BG196" s="1067"/>
    </row>
    <row r="197" spans="18:59" x14ac:dyDescent="0.35">
      <c r="R197" s="1067"/>
      <c r="S197" s="1067"/>
      <c r="W197" s="1067"/>
      <c r="X197" s="1067"/>
      <c r="AE197" s="1067"/>
      <c r="AF197" s="1067"/>
      <c r="AV197" s="1067"/>
      <c r="AW197" s="1067"/>
      <c r="AX197" s="1067"/>
      <c r="AY197" s="1067"/>
      <c r="AZ197" s="1067"/>
      <c r="BA197" s="1067"/>
      <c r="BC197" s="1067"/>
      <c r="BE197" s="1067"/>
      <c r="BF197" s="1067"/>
      <c r="BG197" s="1067"/>
    </row>
    <row r="198" spans="18:59" x14ac:dyDescent="0.35">
      <c r="R198" s="1067"/>
      <c r="S198" s="1067"/>
      <c r="W198" s="1067"/>
      <c r="X198" s="1067"/>
      <c r="AE198" s="1067"/>
      <c r="AF198" s="1067"/>
      <c r="AV198" s="1067"/>
      <c r="AW198" s="1067"/>
      <c r="AX198" s="1067"/>
      <c r="AY198" s="1067"/>
      <c r="AZ198" s="1067"/>
      <c r="BA198" s="1067"/>
      <c r="BC198" s="1067"/>
      <c r="BE198" s="1067"/>
      <c r="BF198" s="1067"/>
      <c r="BG198" s="1067"/>
    </row>
    <row r="199" spans="18:59" x14ac:dyDescent="0.35">
      <c r="R199" s="1067"/>
      <c r="S199" s="1067"/>
      <c r="W199" s="1067"/>
      <c r="X199" s="1067"/>
      <c r="AE199" s="1067"/>
      <c r="AF199" s="1067"/>
      <c r="AV199" s="1067"/>
      <c r="AW199" s="1067"/>
      <c r="AX199" s="1067"/>
      <c r="AY199" s="1067"/>
      <c r="AZ199" s="1067"/>
      <c r="BA199" s="1067"/>
      <c r="BC199" s="1067"/>
      <c r="BE199" s="1067"/>
      <c r="BF199" s="1067"/>
      <c r="BG199" s="1067"/>
    </row>
    <row r="200" spans="18:59" x14ac:dyDescent="0.35">
      <c r="R200" s="1067"/>
      <c r="S200" s="1067"/>
      <c r="W200" s="1067"/>
      <c r="X200" s="1067"/>
      <c r="AE200" s="1067"/>
      <c r="AF200" s="1067"/>
      <c r="AV200" s="1067"/>
      <c r="AW200" s="1067"/>
      <c r="AX200" s="1067"/>
      <c r="AY200" s="1067"/>
      <c r="AZ200" s="1067"/>
      <c r="BA200" s="1067"/>
      <c r="BC200" s="1067"/>
      <c r="BE200" s="1067"/>
      <c r="BF200" s="1067"/>
      <c r="BG200" s="1067"/>
    </row>
    <row r="201" spans="18:59" x14ac:dyDescent="0.35">
      <c r="R201" s="1067"/>
      <c r="S201" s="1067"/>
      <c r="W201" s="1067"/>
      <c r="X201" s="1067"/>
      <c r="AE201" s="1067"/>
      <c r="AF201" s="1067"/>
      <c r="AV201" s="1067"/>
      <c r="AW201" s="1067"/>
      <c r="AX201" s="1067"/>
      <c r="AY201" s="1067"/>
      <c r="AZ201" s="1067"/>
      <c r="BA201" s="1067"/>
      <c r="BC201" s="1067"/>
      <c r="BE201" s="1067"/>
      <c r="BF201" s="1067"/>
      <c r="BG201" s="1067"/>
    </row>
    <row r="202" spans="18:59" x14ac:dyDescent="0.35">
      <c r="R202" s="1067"/>
      <c r="S202" s="1067"/>
      <c r="W202" s="1067"/>
      <c r="X202" s="1067"/>
      <c r="AE202" s="1067"/>
      <c r="AF202" s="1067"/>
      <c r="AV202" s="1067"/>
      <c r="AW202" s="1067"/>
      <c r="AX202" s="1067"/>
      <c r="AY202" s="1067"/>
      <c r="AZ202" s="1067"/>
      <c r="BA202" s="1067"/>
      <c r="BC202" s="1067"/>
      <c r="BE202" s="1067"/>
      <c r="BF202" s="1067"/>
      <c r="BG202" s="1067"/>
    </row>
    <row r="203" spans="18:59" x14ac:dyDescent="0.35">
      <c r="R203" s="1067"/>
      <c r="S203" s="1067"/>
      <c r="W203" s="1067"/>
      <c r="X203" s="1067"/>
      <c r="AE203" s="1067"/>
      <c r="AF203" s="1067"/>
      <c r="AV203" s="1067"/>
      <c r="AW203" s="1067"/>
      <c r="AX203" s="1067"/>
      <c r="AY203" s="1067"/>
      <c r="AZ203" s="1067"/>
      <c r="BA203" s="1067"/>
      <c r="BC203" s="1067"/>
      <c r="BE203" s="1067"/>
      <c r="BF203" s="1067"/>
      <c r="BG203" s="1067"/>
    </row>
    <row r="204" spans="18:59" x14ac:dyDescent="0.35">
      <c r="R204" s="1067"/>
      <c r="S204" s="1067"/>
      <c r="W204" s="1067"/>
      <c r="X204" s="1067"/>
      <c r="AE204" s="1067"/>
      <c r="AF204" s="1067"/>
      <c r="AV204" s="1067"/>
      <c r="AW204" s="1067"/>
      <c r="AX204" s="1067"/>
      <c r="AY204" s="1067"/>
      <c r="AZ204" s="1067"/>
      <c r="BA204" s="1067"/>
      <c r="BC204" s="1067"/>
      <c r="BE204" s="1067"/>
      <c r="BF204" s="1067"/>
      <c r="BG204" s="1067"/>
    </row>
    <row r="205" spans="18:59" x14ac:dyDescent="0.35">
      <c r="R205" s="1067"/>
      <c r="S205" s="1067"/>
      <c r="W205" s="1067"/>
      <c r="X205" s="1067"/>
      <c r="AE205" s="1067"/>
      <c r="AF205" s="1067"/>
      <c r="AV205" s="1067"/>
      <c r="AW205" s="1067"/>
      <c r="AX205" s="1067"/>
      <c r="AY205" s="1067"/>
      <c r="AZ205" s="1067"/>
      <c r="BA205" s="1067"/>
      <c r="BC205" s="1067"/>
      <c r="BE205" s="1067"/>
      <c r="BF205" s="1067"/>
      <c r="BG205" s="1067"/>
    </row>
    <row r="206" spans="18:59" x14ac:dyDescent="0.35">
      <c r="R206" s="1067"/>
      <c r="S206" s="1067"/>
      <c r="W206" s="1067"/>
      <c r="X206" s="1067"/>
      <c r="AE206" s="1067"/>
      <c r="AF206" s="1067"/>
      <c r="AV206" s="1067"/>
      <c r="AW206" s="1067"/>
      <c r="AX206" s="1067"/>
      <c r="AY206" s="1067"/>
      <c r="AZ206" s="1067"/>
      <c r="BA206" s="1067"/>
      <c r="BC206" s="1067"/>
      <c r="BE206" s="1067"/>
      <c r="BF206" s="1067"/>
      <c r="BG206" s="1067"/>
    </row>
    <row r="207" spans="18:59" x14ac:dyDescent="0.35">
      <c r="R207" s="1067"/>
      <c r="S207" s="1067"/>
      <c r="W207" s="1067"/>
      <c r="X207" s="1067"/>
      <c r="AE207" s="1067"/>
      <c r="AF207" s="1067"/>
      <c r="AV207" s="1067"/>
      <c r="AW207" s="1067"/>
      <c r="AX207" s="1067"/>
      <c r="AY207" s="1067"/>
      <c r="AZ207" s="1067"/>
      <c r="BA207" s="1067"/>
      <c r="BC207" s="1067"/>
      <c r="BE207" s="1067"/>
      <c r="BF207" s="1067"/>
      <c r="BG207" s="1067"/>
    </row>
    <row r="208" spans="18:59" x14ac:dyDescent="0.35">
      <c r="R208" s="1067"/>
      <c r="S208" s="1067"/>
      <c r="W208" s="1067"/>
      <c r="X208" s="1067"/>
      <c r="AE208" s="1067"/>
      <c r="AF208" s="1067"/>
      <c r="AV208" s="1067"/>
      <c r="AW208" s="1067"/>
      <c r="AX208" s="1067"/>
      <c r="AY208" s="1067"/>
      <c r="AZ208" s="1067"/>
      <c r="BA208" s="1067"/>
      <c r="BC208" s="1067"/>
      <c r="BE208" s="1067"/>
      <c r="BF208" s="1067"/>
      <c r="BG208" s="1067"/>
    </row>
    <row r="209" spans="18:59" x14ac:dyDescent="0.35">
      <c r="R209" s="1067"/>
      <c r="S209" s="1067"/>
      <c r="W209" s="1067"/>
      <c r="X209" s="1067"/>
      <c r="AE209" s="1067"/>
      <c r="AF209" s="1067"/>
      <c r="AV209" s="1067"/>
      <c r="AW209" s="1067"/>
      <c r="AX209" s="1067"/>
      <c r="AY209" s="1067"/>
      <c r="AZ209" s="1067"/>
      <c r="BA209" s="1067"/>
      <c r="BC209" s="1067"/>
      <c r="BE209" s="1067"/>
      <c r="BF209" s="1067"/>
      <c r="BG209" s="1067"/>
    </row>
    <row r="210" spans="18:59" x14ac:dyDescent="0.35">
      <c r="R210" s="1067"/>
      <c r="S210" s="1067"/>
      <c r="W210" s="1067"/>
      <c r="X210" s="1067"/>
      <c r="AE210" s="1067"/>
      <c r="AF210" s="1067"/>
      <c r="AV210" s="1067"/>
      <c r="AW210" s="1067"/>
      <c r="AX210" s="1067"/>
      <c r="AY210" s="1067"/>
      <c r="AZ210" s="1067"/>
      <c r="BA210" s="1067"/>
      <c r="BC210" s="1067"/>
      <c r="BE210" s="1067"/>
      <c r="BF210" s="1067"/>
      <c r="BG210" s="1067"/>
    </row>
    <row r="211" spans="18:59" x14ac:dyDescent="0.35">
      <c r="R211" s="1067"/>
      <c r="S211" s="1067"/>
      <c r="W211" s="1067"/>
      <c r="X211" s="1067"/>
      <c r="AE211" s="1067"/>
      <c r="AF211" s="1067"/>
      <c r="AV211" s="1067"/>
      <c r="AW211" s="1067"/>
      <c r="AX211" s="1067"/>
      <c r="AY211" s="1067"/>
      <c r="AZ211" s="1067"/>
      <c r="BA211" s="1067"/>
      <c r="BC211" s="1067"/>
      <c r="BE211" s="1067"/>
      <c r="BF211" s="1067"/>
      <c r="BG211" s="1067"/>
    </row>
    <row r="212" spans="18:59" x14ac:dyDescent="0.35">
      <c r="R212" s="1067"/>
      <c r="S212" s="1067"/>
      <c r="W212" s="1067"/>
      <c r="X212" s="1067"/>
      <c r="AE212" s="1067"/>
      <c r="AF212" s="1067"/>
      <c r="AV212" s="1067"/>
      <c r="AW212" s="1067"/>
      <c r="AX212" s="1067"/>
      <c r="AY212" s="1067"/>
      <c r="AZ212" s="1067"/>
      <c r="BA212" s="1067"/>
      <c r="BC212" s="1067"/>
      <c r="BE212" s="1067"/>
      <c r="BF212" s="1067"/>
      <c r="BG212" s="1067"/>
    </row>
    <row r="213" spans="18:59" x14ac:dyDescent="0.35">
      <c r="R213" s="1067"/>
      <c r="S213" s="1067"/>
      <c r="W213" s="1067"/>
      <c r="X213" s="1067"/>
      <c r="AE213" s="1067"/>
      <c r="AF213" s="1067"/>
      <c r="AV213" s="1067"/>
      <c r="AW213" s="1067"/>
      <c r="AX213" s="1067"/>
      <c r="AY213" s="1067"/>
      <c r="AZ213" s="1067"/>
      <c r="BA213" s="1067"/>
      <c r="BC213" s="1067"/>
      <c r="BE213" s="1067"/>
      <c r="BF213" s="1067"/>
      <c r="BG213" s="1067"/>
    </row>
    <row r="214" spans="18:59" x14ac:dyDescent="0.35">
      <c r="R214" s="1067"/>
      <c r="S214" s="1067"/>
      <c r="W214" s="1067"/>
      <c r="X214" s="1067"/>
      <c r="AE214" s="1067"/>
      <c r="AF214" s="1067"/>
      <c r="AV214" s="1067"/>
      <c r="AW214" s="1067"/>
      <c r="AX214" s="1067"/>
      <c r="AY214" s="1067"/>
      <c r="AZ214" s="1067"/>
      <c r="BA214" s="1067"/>
      <c r="BC214" s="1067"/>
      <c r="BE214" s="1067"/>
      <c r="BF214" s="1067"/>
      <c r="BG214" s="1067"/>
    </row>
    <row r="215" spans="18:59" x14ac:dyDescent="0.35">
      <c r="R215" s="1067"/>
      <c r="S215" s="1067"/>
      <c r="W215" s="1067"/>
      <c r="X215" s="1067"/>
      <c r="AE215" s="1067"/>
      <c r="AF215" s="1067"/>
      <c r="AV215" s="1067"/>
      <c r="AW215" s="1067"/>
      <c r="AX215" s="1067"/>
      <c r="AY215" s="1067"/>
      <c r="AZ215" s="1067"/>
      <c r="BA215" s="1067"/>
      <c r="BC215" s="1067"/>
      <c r="BE215" s="1067"/>
      <c r="BF215" s="1067"/>
      <c r="BG215" s="1067"/>
    </row>
    <row r="216" spans="18:59" x14ac:dyDescent="0.35">
      <c r="R216" s="1067"/>
      <c r="S216" s="1067"/>
      <c r="W216" s="1067"/>
      <c r="X216" s="1067"/>
      <c r="AE216" s="1067"/>
      <c r="AF216" s="1067"/>
      <c r="AV216" s="1067"/>
      <c r="AW216" s="1067"/>
      <c r="AX216" s="1067"/>
      <c r="AY216" s="1067"/>
      <c r="AZ216" s="1067"/>
      <c r="BA216" s="1067"/>
      <c r="BC216" s="1067"/>
      <c r="BE216" s="1067"/>
      <c r="BF216" s="1067"/>
      <c r="BG216" s="1067"/>
    </row>
    <row r="217" spans="18:59" x14ac:dyDescent="0.35">
      <c r="R217" s="1067"/>
      <c r="S217" s="1067"/>
      <c r="W217" s="1067"/>
      <c r="X217" s="1067"/>
      <c r="AE217" s="1067"/>
      <c r="AF217" s="1067"/>
      <c r="AV217" s="1067"/>
      <c r="AW217" s="1067"/>
      <c r="AX217" s="1067"/>
      <c r="AY217" s="1067"/>
      <c r="AZ217" s="1067"/>
      <c r="BA217" s="1067"/>
      <c r="BC217" s="1067"/>
      <c r="BE217" s="1067"/>
      <c r="BF217" s="1067"/>
      <c r="BG217" s="1067"/>
    </row>
    <row r="218" spans="18:59" x14ac:dyDescent="0.35">
      <c r="R218" s="1067"/>
      <c r="S218" s="1067"/>
      <c r="W218" s="1067"/>
      <c r="X218" s="1067"/>
      <c r="AE218" s="1067"/>
      <c r="AF218" s="1067"/>
      <c r="AV218" s="1067"/>
      <c r="AW218" s="1067"/>
      <c r="AX218" s="1067"/>
      <c r="AY218" s="1067"/>
      <c r="AZ218" s="1067"/>
      <c r="BA218" s="1067"/>
      <c r="BC218" s="1067"/>
      <c r="BE218" s="1067"/>
      <c r="BF218" s="1067"/>
      <c r="BG218" s="1067"/>
    </row>
    <row r="219" spans="18:59" x14ac:dyDescent="0.35">
      <c r="R219" s="1067"/>
      <c r="S219" s="1067"/>
      <c r="W219" s="1067"/>
      <c r="X219" s="1067"/>
      <c r="AE219" s="1067"/>
      <c r="AF219" s="1067"/>
      <c r="AV219" s="1067"/>
      <c r="AW219" s="1067"/>
      <c r="AX219" s="1067"/>
      <c r="AY219" s="1067"/>
      <c r="AZ219" s="1067"/>
      <c r="BA219" s="1067"/>
      <c r="BC219" s="1067"/>
      <c r="BE219" s="1067"/>
      <c r="BF219" s="1067"/>
      <c r="BG219" s="1067"/>
    </row>
    <row r="220" spans="18:59" x14ac:dyDescent="0.35">
      <c r="R220" s="1067"/>
      <c r="S220" s="1067"/>
      <c r="W220" s="1067"/>
      <c r="X220" s="1067"/>
      <c r="AE220" s="1067"/>
      <c r="AF220" s="1067"/>
      <c r="AV220" s="1067"/>
      <c r="AW220" s="1067"/>
      <c r="AX220" s="1067"/>
      <c r="AY220" s="1067"/>
      <c r="AZ220" s="1067"/>
      <c r="BA220" s="1067"/>
      <c r="BC220" s="1067"/>
      <c r="BE220" s="1067"/>
      <c r="BF220" s="1067"/>
      <c r="BG220" s="1067"/>
    </row>
    <row r="221" spans="18:59" x14ac:dyDescent="0.35">
      <c r="R221" s="1067"/>
      <c r="S221" s="1067"/>
      <c r="W221" s="1067"/>
      <c r="X221" s="1067"/>
      <c r="AE221" s="1067"/>
      <c r="AF221" s="1067"/>
      <c r="AV221" s="1067"/>
      <c r="AW221" s="1067"/>
      <c r="AX221" s="1067"/>
      <c r="AY221" s="1067"/>
      <c r="AZ221" s="1067"/>
      <c r="BA221" s="1067"/>
      <c r="BC221" s="1067"/>
      <c r="BE221" s="1067"/>
      <c r="BF221" s="1067"/>
      <c r="BG221" s="1067"/>
    </row>
    <row r="222" spans="18:59" x14ac:dyDescent="0.35">
      <c r="R222" s="1067"/>
      <c r="S222" s="1067"/>
      <c r="W222" s="1067"/>
      <c r="X222" s="1067"/>
      <c r="AE222" s="1067"/>
      <c r="AF222" s="1067"/>
      <c r="AV222" s="1067"/>
      <c r="AW222" s="1067"/>
      <c r="AX222" s="1067"/>
      <c r="AY222" s="1067"/>
      <c r="AZ222" s="1067"/>
      <c r="BA222" s="1067"/>
      <c r="BC222" s="1067"/>
      <c r="BE222" s="1067"/>
      <c r="BF222" s="1067"/>
      <c r="BG222" s="1067"/>
    </row>
    <row r="223" spans="18:59" x14ac:dyDescent="0.35">
      <c r="R223" s="1067"/>
      <c r="S223" s="1067"/>
      <c r="W223" s="1067"/>
      <c r="X223" s="1067"/>
      <c r="AE223" s="1067"/>
      <c r="AF223" s="1067"/>
      <c r="AV223" s="1067"/>
      <c r="AW223" s="1067"/>
      <c r="AX223" s="1067"/>
      <c r="AY223" s="1067"/>
      <c r="AZ223" s="1067"/>
      <c r="BA223" s="1067"/>
      <c r="BC223" s="1067"/>
      <c r="BE223" s="1067"/>
      <c r="BF223" s="1067"/>
      <c r="BG223" s="1067"/>
    </row>
    <row r="224" spans="18:59" x14ac:dyDescent="0.35">
      <c r="R224" s="1067"/>
      <c r="S224" s="1067"/>
      <c r="W224" s="1067"/>
      <c r="X224" s="1067"/>
      <c r="AE224" s="1067"/>
      <c r="AF224" s="1067"/>
      <c r="AV224" s="1067"/>
      <c r="AW224" s="1067"/>
      <c r="AX224" s="1067"/>
      <c r="AY224" s="1067"/>
      <c r="AZ224" s="1067"/>
      <c r="BA224" s="1067"/>
      <c r="BC224" s="1067"/>
      <c r="BE224" s="1067"/>
      <c r="BF224" s="1067"/>
      <c r="BG224" s="1067"/>
    </row>
    <row r="225" spans="18:59" x14ac:dyDescent="0.35">
      <c r="R225" s="1067"/>
      <c r="S225" s="1067"/>
      <c r="W225" s="1067"/>
      <c r="X225" s="1067"/>
      <c r="AE225" s="1067"/>
      <c r="AF225" s="1067"/>
      <c r="AV225" s="1067"/>
      <c r="AW225" s="1067"/>
      <c r="AX225" s="1067"/>
      <c r="AY225" s="1067"/>
      <c r="AZ225" s="1067"/>
      <c r="BA225" s="1067"/>
      <c r="BC225" s="1067"/>
      <c r="BE225" s="1067"/>
      <c r="BF225" s="1067"/>
      <c r="BG225" s="1067"/>
    </row>
    <row r="226" spans="18:59" x14ac:dyDescent="0.35">
      <c r="R226" s="1067"/>
      <c r="S226" s="1067"/>
      <c r="W226" s="1067"/>
      <c r="X226" s="1067"/>
      <c r="AE226" s="1067"/>
      <c r="AF226" s="1067"/>
      <c r="AV226" s="1067"/>
      <c r="AW226" s="1067"/>
      <c r="AX226" s="1067"/>
      <c r="AY226" s="1067"/>
      <c r="AZ226" s="1067"/>
      <c r="BA226" s="1067"/>
      <c r="BC226" s="1067"/>
      <c r="BE226" s="1067"/>
      <c r="BF226" s="1067"/>
      <c r="BG226" s="1067"/>
    </row>
    <row r="227" spans="18:59" x14ac:dyDescent="0.35">
      <c r="R227" s="1067"/>
      <c r="S227" s="1067"/>
      <c r="W227" s="1067"/>
      <c r="X227" s="1067"/>
      <c r="AE227" s="1067"/>
      <c r="AF227" s="1067"/>
      <c r="AV227" s="1067"/>
      <c r="AW227" s="1067"/>
      <c r="AX227" s="1067"/>
      <c r="AY227" s="1067"/>
      <c r="AZ227" s="1067"/>
      <c r="BA227" s="1067"/>
      <c r="BC227" s="1067"/>
      <c r="BE227" s="1067"/>
      <c r="BF227" s="1067"/>
      <c r="BG227" s="1067"/>
    </row>
    <row r="228" spans="18:59" x14ac:dyDescent="0.35">
      <c r="R228" s="1067"/>
      <c r="S228" s="1067"/>
      <c r="W228" s="1067"/>
      <c r="X228" s="1067"/>
      <c r="AE228" s="1067"/>
      <c r="AF228" s="1067"/>
      <c r="AV228" s="1067"/>
      <c r="AW228" s="1067"/>
      <c r="AX228" s="1067"/>
      <c r="AY228" s="1067"/>
      <c r="AZ228" s="1067"/>
      <c r="BA228" s="1067"/>
      <c r="BC228" s="1067"/>
      <c r="BE228" s="1067"/>
      <c r="BF228" s="1067"/>
      <c r="BG228" s="1067"/>
    </row>
    <row r="229" spans="18:59" x14ac:dyDescent="0.35">
      <c r="R229" s="1067"/>
      <c r="S229" s="1067"/>
      <c r="W229" s="1067"/>
      <c r="X229" s="1067"/>
      <c r="AE229" s="1067"/>
      <c r="AF229" s="1067"/>
      <c r="AV229" s="1067"/>
      <c r="AW229" s="1067"/>
      <c r="AX229" s="1067"/>
      <c r="AY229" s="1067"/>
      <c r="AZ229" s="1067"/>
      <c r="BA229" s="1067"/>
      <c r="BC229" s="1067"/>
      <c r="BE229" s="1067"/>
      <c r="BF229" s="1067"/>
      <c r="BG229" s="1067"/>
    </row>
    <row r="230" spans="18:59" x14ac:dyDescent="0.35">
      <c r="R230" s="1067"/>
      <c r="S230" s="1067"/>
      <c r="W230" s="1067"/>
      <c r="X230" s="1067"/>
      <c r="AE230" s="1067"/>
      <c r="AF230" s="1067"/>
      <c r="AV230" s="1067"/>
      <c r="AW230" s="1067"/>
      <c r="AX230" s="1067"/>
      <c r="AY230" s="1067"/>
      <c r="AZ230" s="1067"/>
      <c r="BA230" s="1067"/>
      <c r="BC230" s="1067"/>
      <c r="BE230" s="1067"/>
      <c r="BF230" s="1067"/>
      <c r="BG230" s="1067"/>
    </row>
    <row r="231" spans="18:59" x14ac:dyDescent="0.35">
      <c r="R231" s="1067"/>
      <c r="S231" s="1067"/>
      <c r="W231" s="1067"/>
      <c r="X231" s="1067"/>
      <c r="AE231" s="1067"/>
      <c r="AF231" s="1067"/>
      <c r="AV231" s="1067"/>
      <c r="AW231" s="1067"/>
      <c r="AX231" s="1067"/>
      <c r="AY231" s="1067"/>
      <c r="AZ231" s="1067"/>
      <c r="BA231" s="1067"/>
      <c r="BC231" s="1067"/>
      <c r="BE231" s="1067"/>
      <c r="BF231" s="1067"/>
      <c r="BG231" s="1067"/>
    </row>
    <row r="232" spans="18:59" x14ac:dyDescent="0.35">
      <c r="R232" s="1067"/>
      <c r="S232" s="1067"/>
      <c r="W232" s="1067"/>
      <c r="X232" s="1067"/>
      <c r="AE232" s="1067"/>
      <c r="AF232" s="1067"/>
      <c r="AV232" s="1067"/>
      <c r="AW232" s="1067"/>
      <c r="AX232" s="1067"/>
      <c r="AY232" s="1067"/>
      <c r="AZ232" s="1067"/>
      <c r="BA232" s="1067"/>
      <c r="BC232" s="1067"/>
      <c r="BE232" s="1067"/>
      <c r="BF232" s="1067"/>
      <c r="BG232" s="1067"/>
    </row>
    <row r="233" spans="18:59" x14ac:dyDescent="0.35">
      <c r="R233" s="1067"/>
      <c r="S233" s="1067"/>
      <c r="W233" s="1067"/>
      <c r="X233" s="1067"/>
      <c r="AE233" s="1067"/>
      <c r="AF233" s="1067"/>
      <c r="AV233" s="1067"/>
      <c r="AW233" s="1067"/>
      <c r="AX233" s="1067"/>
      <c r="AY233" s="1067"/>
      <c r="AZ233" s="1067"/>
      <c r="BA233" s="1067"/>
      <c r="BC233" s="1067"/>
      <c r="BE233" s="1067"/>
      <c r="BF233" s="1067"/>
      <c r="BG233" s="1067"/>
    </row>
    <row r="234" spans="18:59" x14ac:dyDescent="0.35">
      <c r="R234" s="1067"/>
      <c r="S234" s="1067"/>
      <c r="W234" s="1067"/>
      <c r="X234" s="1067"/>
      <c r="AE234" s="1067"/>
      <c r="AF234" s="1067"/>
      <c r="AV234" s="1067"/>
      <c r="AW234" s="1067"/>
      <c r="AX234" s="1067"/>
      <c r="AY234" s="1067"/>
      <c r="AZ234" s="1067"/>
      <c r="BA234" s="1067"/>
      <c r="BC234" s="1067"/>
      <c r="BE234" s="1067"/>
      <c r="BF234" s="1067"/>
      <c r="BG234" s="1067"/>
    </row>
    <row r="235" spans="18:59" x14ac:dyDescent="0.35">
      <c r="R235" s="1067"/>
      <c r="S235" s="1067"/>
      <c r="W235" s="1067"/>
      <c r="X235" s="1067"/>
      <c r="AE235" s="1067"/>
      <c r="AF235" s="1067"/>
      <c r="AV235" s="1067"/>
      <c r="AW235" s="1067"/>
      <c r="AX235" s="1067"/>
      <c r="AY235" s="1067"/>
      <c r="AZ235" s="1067"/>
      <c r="BA235" s="1067"/>
      <c r="BC235" s="1067"/>
      <c r="BE235" s="1067"/>
      <c r="BF235" s="1067"/>
      <c r="BG235" s="1067"/>
    </row>
    <row r="236" spans="18:59" x14ac:dyDescent="0.35">
      <c r="R236" s="1067"/>
      <c r="S236" s="1067"/>
      <c r="W236" s="1067"/>
      <c r="X236" s="1067"/>
      <c r="AE236" s="1067"/>
      <c r="AF236" s="1067"/>
      <c r="AV236" s="1067"/>
      <c r="AW236" s="1067"/>
      <c r="AX236" s="1067"/>
      <c r="AY236" s="1067"/>
      <c r="AZ236" s="1067"/>
      <c r="BA236" s="1067"/>
      <c r="BC236" s="1067"/>
      <c r="BE236" s="1067"/>
      <c r="BF236" s="1067"/>
      <c r="BG236" s="1067"/>
    </row>
    <row r="237" spans="18:59" x14ac:dyDescent="0.35">
      <c r="R237" s="1067"/>
      <c r="S237" s="1067"/>
      <c r="W237" s="1067"/>
      <c r="X237" s="1067"/>
      <c r="AE237" s="1067"/>
      <c r="AF237" s="1067"/>
      <c r="AV237" s="1067"/>
      <c r="AW237" s="1067"/>
      <c r="AX237" s="1067"/>
      <c r="AY237" s="1067"/>
      <c r="AZ237" s="1067"/>
      <c r="BA237" s="1067"/>
      <c r="BC237" s="1067"/>
      <c r="BE237" s="1067"/>
      <c r="BF237" s="1067"/>
      <c r="BG237" s="1067"/>
    </row>
    <row r="238" spans="18:59" x14ac:dyDescent="0.35">
      <c r="R238" s="1067"/>
      <c r="S238" s="1067"/>
      <c r="W238" s="1067"/>
      <c r="X238" s="1067"/>
      <c r="AE238" s="1067"/>
      <c r="AF238" s="1067"/>
      <c r="AV238" s="1067"/>
      <c r="AW238" s="1067"/>
      <c r="AX238" s="1067"/>
      <c r="AY238" s="1067"/>
      <c r="AZ238" s="1067"/>
      <c r="BA238" s="1067"/>
      <c r="BC238" s="1067"/>
      <c r="BE238" s="1067"/>
      <c r="BF238" s="1067"/>
      <c r="BG238" s="1067"/>
    </row>
    <row r="239" spans="18:59" x14ac:dyDescent="0.35">
      <c r="R239" s="1067"/>
      <c r="S239" s="1067"/>
      <c r="W239" s="1067"/>
      <c r="X239" s="1067"/>
      <c r="AE239" s="1067"/>
      <c r="AF239" s="1067"/>
      <c r="AV239" s="1067"/>
      <c r="AW239" s="1067"/>
      <c r="AX239" s="1067"/>
      <c r="AY239" s="1067"/>
      <c r="AZ239" s="1067"/>
      <c r="BA239" s="1067"/>
      <c r="BC239" s="1067"/>
      <c r="BE239" s="1067"/>
      <c r="BF239" s="1067"/>
      <c r="BG239" s="1067"/>
    </row>
    <row r="240" spans="18:59" x14ac:dyDescent="0.35">
      <c r="R240" s="1067"/>
      <c r="S240" s="1067"/>
      <c r="W240" s="1067"/>
      <c r="X240" s="1067"/>
      <c r="AE240" s="1067"/>
      <c r="AF240" s="1067"/>
      <c r="AV240" s="1067"/>
      <c r="AW240" s="1067"/>
      <c r="AX240" s="1067"/>
      <c r="AY240" s="1067"/>
      <c r="AZ240" s="1067"/>
      <c r="BA240" s="1067"/>
      <c r="BC240" s="1067"/>
      <c r="BE240" s="1067"/>
      <c r="BF240" s="1067"/>
      <c r="BG240" s="1067"/>
    </row>
    <row r="241" spans="18:59" x14ac:dyDescent="0.35">
      <c r="R241" s="1067"/>
      <c r="S241" s="1067"/>
      <c r="W241" s="1067"/>
      <c r="X241" s="1067"/>
      <c r="AE241" s="1067"/>
      <c r="AF241" s="1067"/>
      <c r="AV241" s="1067"/>
      <c r="AW241" s="1067"/>
      <c r="AX241" s="1067"/>
      <c r="AY241" s="1067"/>
      <c r="AZ241" s="1067"/>
      <c r="BA241" s="1067"/>
      <c r="BC241" s="1067"/>
      <c r="BE241" s="1067"/>
      <c r="BF241" s="1067"/>
      <c r="BG241" s="1067"/>
    </row>
    <row r="242" spans="18:59" x14ac:dyDescent="0.35">
      <c r="R242" s="1067"/>
      <c r="S242" s="1067"/>
      <c r="W242" s="1067"/>
      <c r="X242" s="1067"/>
      <c r="AE242" s="1067"/>
      <c r="AF242" s="1067"/>
      <c r="AV242" s="1067"/>
      <c r="AW242" s="1067"/>
      <c r="AX242" s="1067"/>
      <c r="AY242" s="1067"/>
      <c r="AZ242" s="1067"/>
      <c r="BA242" s="1067"/>
      <c r="BC242" s="1067"/>
      <c r="BE242" s="1067"/>
      <c r="BF242" s="1067"/>
      <c r="BG242" s="1067"/>
    </row>
    <row r="243" spans="18:59" x14ac:dyDescent="0.35">
      <c r="R243" s="1067"/>
      <c r="S243" s="1067"/>
      <c r="W243" s="1067"/>
      <c r="X243" s="1067"/>
      <c r="AE243" s="1067"/>
      <c r="AF243" s="1067"/>
      <c r="AV243" s="1067"/>
      <c r="AW243" s="1067"/>
      <c r="AX243" s="1067"/>
      <c r="AY243" s="1067"/>
      <c r="AZ243" s="1067"/>
      <c r="BA243" s="1067"/>
      <c r="BC243" s="1067"/>
      <c r="BE243" s="1067"/>
      <c r="BF243" s="1067"/>
      <c r="BG243" s="1067"/>
    </row>
    <row r="244" spans="18:59" x14ac:dyDescent="0.35">
      <c r="R244" s="1067"/>
      <c r="S244" s="1067"/>
      <c r="W244" s="1067"/>
      <c r="X244" s="1067"/>
      <c r="AE244" s="1067"/>
      <c r="AF244" s="1067"/>
      <c r="AV244" s="1067"/>
      <c r="AW244" s="1067"/>
      <c r="AX244" s="1067"/>
      <c r="AY244" s="1067"/>
      <c r="AZ244" s="1067"/>
      <c r="BA244" s="1067"/>
      <c r="BC244" s="1067"/>
      <c r="BE244" s="1067"/>
      <c r="BF244" s="1067"/>
      <c r="BG244" s="1067"/>
    </row>
    <row r="245" spans="18:59" x14ac:dyDescent="0.35">
      <c r="R245" s="1067"/>
      <c r="S245" s="1067"/>
      <c r="W245" s="1067"/>
      <c r="X245" s="1067"/>
      <c r="AE245" s="1067"/>
      <c r="AF245" s="1067"/>
      <c r="AV245" s="1067"/>
      <c r="AW245" s="1067"/>
      <c r="AX245" s="1067"/>
      <c r="AY245" s="1067"/>
      <c r="AZ245" s="1067"/>
      <c r="BA245" s="1067"/>
      <c r="BC245" s="1067"/>
      <c r="BE245" s="1067"/>
      <c r="BF245" s="1067"/>
      <c r="BG245" s="1067"/>
    </row>
    <row r="246" spans="18:59" x14ac:dyDescent="0.35">
      <c r="R246" s="1067"/>
      <c r="S246" s="1067"/>
      <c r="W246" s="1067"/>
      <c r="X246" s="1067"/>
      <c r="AE246" s="1067"/>
      <c r="AF246" s="1067"/>
      <c r="AV246" s="1067"/>
      <c r="AW246" s="1067"/>
      <c r="AX246" s="1067"/>
      <c r="AY246" s="1067"/>
      <c r="AZ246" s="1067"/>
      <c r="BA246" s="1067"/>
      <c r="BC246" s="1067"/>
      <c r="BE246" s="1067"/>
      <c r="BF246" s="1067"/>
      <c r="BG246" s="1067"/>
    </row>
    <row r="247" spans="18:59" x14ac:dyDescent="0.35">
      <c r="R247" s="1067"/>
      <c r="S247" s="1067"/>
      <c r="W247" s="1067"/>
      <c r="X247" s="1067"/>
      <c r="AE247" s="1067"/>
      <c r="AF247" s="1067"/>
      <c r="AV247" s="1067"/>
      <c r="AW247" s="1067"/>
      <c r="AX247" s="1067"/>
      <c r="AY247" s="1067"/>
      <c r="AZ247" s="1067"/>
      <c r="BA247" s="1067"/>
      <c r="BC247" s="1067"/>
      <c r="BE247" s="1067"/>
      <c r="BF247" s="1067"/>
      <c r="BG247" s="1067"/>
    </row>
    <row r="248" spans="18:59" x14ac:dyDescent="0.35">
      <c r="R248" s="1067"/>
      <c r="S248" s="1067"/>
      <c r="W248" s="1067"/>
      <c r="X248" s="1067"/>
      <c r="AE248" s="1067"/>
      <c r="AF248" s="1067"/>
      <c r="AV248" s="1067"/>
      <c r="AW248" s="1067"/>
      <c r="AX248" s="1067"/>
      <c r="AY248" s="1067"/>
      <c r="AZ248" s="1067"/>
      <c r="BA248" s="1067"/>
      <c r="BC248" s="1067"/>
      <c r="BE248" s="1067"/>
      <c r="BF248" s="1067"/>
      <c r="BG248" s="1067"/>
    </row>
    <row r="249" spans="18:59" x14ac:dyDescent="0.35">
      <c r="R249" s="1067"/>
      <c r="S249" s="1067"/>
      <c r="W249" s="1067"/>
      <c r="X249" s="1067"/>
      <c r="AE249" s="1067"/>
      <c r="AF249" s="1067"/>
      <c r="AV249" s="1067"/>
      <c r="AW249" s="1067"/>
      <c r="AX249" s="1067"/>
      <c r="AY249" s="1067"/>
      <c r="AZ249" s="1067"/>
      <c r="BA249" s="1067"/>
      <c r="BC249" s="1067"/>
      <c r="BE249" s="1067"/>
      <c r="BF249" s="1067"/>
      <c r="BG249" s="1067"/>
    </row>
    <row r="250" spans="18:59" x14ac:dyDescent="0.35">
      <c r="R250" s="1067"/>
      <c r="S250" s="1067"/>
      <c r="W250" s="1067"/>
      <c r="X250" s="1067"/>
      <c r="AE250" s="1067"/>
      <c r="AF250" s="1067"/>
      <c r="AV250" s="1067"/>
      <c r="AW250" s="1067"/>
      <c r="AX250" s="1067"/>
      <c r="AY250" s="1067"/>
      <c r="AZ250" s="1067"/>
      <c r="BA250" s="1067"/>
      <c r="BC250" s="1067"/>
      <c r="BE250" s="1067"/>
      <c r="BF250" s="1067"/>
      <c r="BG250" s="1067"/>
    </row>
    <row r="251" spans="18:59" x14ac:dyDescent="0.35">
      <c r="R251" s="1067"/>
      <c r="S251" s="1067"/>
      <c r="W251" s="1067"/>
      <c r="X251" s="1067"/>
      <c r="AE251" s="1067"/>
      <c r="AF251" s="1067"/>
      <c r="AV251" s="1067"/>
      <c r="AW251" s="1067"/>
      <c r="AX251" s="1067"/>
      <c r="AY251" s="1067"/>
      <c r="AZ251" s="1067"/>
      <c r="BA251" s="1067"/>
      <c r="BC251" s="1067"/>
      <c r="BE251" s="1067"/>
      <c r="BF251" s="1067"/>
      <c r="BG251" s="1067"/>
    </row>
    <row r="252" spans="18:59" x14ac:dyDescent="0.35">
      <c r="R252" s="1067"/>
      <c r="S252" s="1067"/>
      <c r="W252" s="1067"/>
      <c r="X252" s="1067"/>
      <c r="AE252" s="1067"/>
      <c r="AF252" s="1067"/>
      <c r="AV252" s="1067"/>
      <c r="AW252" s="1067"/>
      <c r="AX252" s="1067"/>
      <c r="AY252" s="1067"/>
      <c r="AZ252" s="1067"/>
      <c r="BA252" s="1067"/>
      <c r="BC252" s="1067"/>
      <c r="BE252" s="1067"/>
      <c r="BF252" s="1067"/>
      <c r="BG252" s="1067"/>
    </row>
    <row r="253" spans="18:59" x14ac:dyDescent="0.35">
      <c r="R253" s="1067"/>
      <c r="S253" s="1067"/>
      <c r="W253" s="1067"/>
      <c r="X253" s="1067"/>
      <c r="AE253" s="1067"/>
      <c r="AF253" s="1067"/>
      <c r="AV253" s="1067"/>
      <c r="AW253" s="1067"/>
      <c r="AX253" s="1067"/>
      <c r="AY253" s="1067"/>
      <c r="AZ253" s="1067"/>
      <c r="BA253" s="1067"/>
      <c r="BC253" s="1067"/>
      <c r="BE253" s="1067"/>
      <c r="BF253" s="1067"/>
      <c r="BG253" s="1067"/>
    </row>
    <row r="254" spans="18:59" x14ac:dyDescent="0.35">
      <c r="R254" s="1067"/>
      <c r="S254" s="1067"/>
      <c r="W254" s="1067"/>
      <c r="X254" s="1067"/>
      <c r="AE254" s="1067"/>
      <c r="AF254" s="1067"/>
      <c r="AV254" s="1067"/>
      <c r="AW254" s="1067"/>
      <c r="AX254" s="1067"/>
      <c r="AY254" s="1067"/>
      <c r="AZ254" s="1067"/>
      <c r="BA254" s="1067"/>
      <c r="BC254" s="1067"/>
      <c r="BE254" s="1067"/>
      <c r="BF254" s="1067"/>
      <c r="BG254" s="1067"/>
    </row>
    <row r="255" spans="18:59" x14ac:dyDescent="0.35">
      <c r="R255" s="1067"/>
      <c r="S255" s="1067"/>
      <c r="W255" s="1067"/>
      <c r="X255" s="1067"/>
      <c r="AE255" s="1067"/>
      <c r="AF255" s="1067"/>
      <c r="AV255" s="1067"/>
      <c r="AW255" s="1067"/>
      <c r="AX255" s="1067"/>
      <c r="AY255" s="1067"/>
      <c r="AZ255" s="1067"/>
      <c r="BA255" s="1067"/>
      <c r="BC255" s="1067"/>
      <c r="BE255" s="1067"/>
      <c r="BF255" s="1067"/>
      <c r="BG255" s="1067"/>
    </row>
    <row r="256" spans="18:59" x14ac:dyDescent="0.35">
      <c r="R256" s="1067"/>
      <c r="S256" s="1067"/>
      <c r="W256" s="1067"/>
      <c r="X256" s="1067"/>
      <c r="AE256" s="1067"/>
      <c r="AF256" s="1067"/>
      <c r="AV256" s="1067"/>
      <c r="AW256" s="1067"/>
      <c r="AX256" s="1067"/>
      <c r="AY256" s="1067"/>
      <c r="AZ256" s="1067"/>
      <c r="BA256" s="1067"/>
      <c r="BC256" s="1067"/>
      <c r="BE256" s="1067"/>
      <c r="BF256" s="1067"/>
      <c r="BG256" s="1067"/>
    </row>
    <row r="257" spans="18:59" x14ac:dyDescent="0.35">
      <c r="R257" s="1067"/>
      <c r="S257" s="1067"/>
      <c r="W257" s="1067"/>
      <c r="X257" s="1067"/>
      <c r="AE257" s="1067"/>
      <c r="AF257" s="1067"/>
      <c r="AV257" s="1067"/>
      <c r="AW257" s="1067"/>
      <c r="AX257" s="1067"/>
      <c r="AY257" s="1067"/>
      <c r="AZ257" s="1067"/>
      <c r="BA257" s="1067"/>
      <c r="BC257" s="1067"/>
      <c r="BE257" s="1067"/>
      <c r="BF257" s="1067"/>
      <c r="BG257" s="1067"/>
    </row>
    <row r="258" spans="18:59" x14ac:dyDescent="0.35">
      <c r="R258" s="1067"/>
      <c r="S258" s="1067"/>
      <c r="W258" s="1067"/>
      <c r="X258" s="1067"/>
      <c r="AE258" s="1067"/>
      <c r="AF258" s="1067"/>
      <c r="AV258" s="1067"/>
      <c r="AW258" s="1067"/>
      <c r="AX258" s="1067"/>
      <c r="AY258" s="1067"/>
      <c r="AZ258" s="1067"/>
      <c r="BA258" s="1067"/>
      <c r="BC258" s="1067"/>
      <c r="BE258" s="1067"/>
      <c r="BF258" s="1067"/>
      <c r="BG258" s="1067"/>
    </row>
    <row r="259" spans="18:59" x14ac:dyDescent="0.35">
      <c r="R259" s="1067"/>
      <c r="S259" s="1067"/>
      <c r="W259" s="1067"/>
      <c r="X259" s="1067"/>
      <c r="AE259" s="1067"/>
      <c r="AF259" s="1067"/>
      <c r="AV259" s="1067"/>
      <c r="AW259" s="1067"/>
      <c r="AX259" s="1067"/>
      <c r="AY259" s="1067"/>
      <c r="AZ259" s="1067"/>
      <c r="BA259" s="1067"/>
      <c r="BC259" s="1067"/>
      <c r="BE259" s="1067"/>
      <c r="BF259" s="1067"/>
      <c r="BG259" s="1067"/>
    </row>
    <row r="260" spans="18:59" x14ac:dyDescent="0.35">
      <c r="R260" s="1067"/>
      <c r="S260" s="1067"/>
      <c r="W260" s="1067"/>
      <c r="X260" s="1067"/>
      <c r="AE260" s="1067"/>
      <c r="AF260" s="1067"/>
      <c r="AV260" s="1067"/>
      <c r="AW260" s="1067"/>
      <c r="AX260" s="1067"/>
      <c r="AY260" s="1067"/>
      <c r="AZ260" s="1067"/>
      <c r="BA260" s="1067"/>
      <c r="BC260" s="1067"/>
      <c r="BE260" s="1067"/>
      <c r="BF260" s="1067"/>
      <c r="BG260" s="1067"/>
    </row>
    <row r="261" spans="18:59" x14ac:dyDescent="0.35">
      <c r="R261" s="1067"/>
      <c r="S261" s="1067"/>
      <c r="W261" s="1067"/>
      <c r="X261" s="1067"/>
      <c r="AE261" s="1067"/>
      <c r="AF261" s="1067"/>
      <c r="AV261" s="1067"/>
      <c r="AW261" s="1067"/>
      <c r="AX261" s="1067"/>
      <c r="AY261" s="1067"/>
      <c r="AZ261" s="1067"/>
      <c r="BA261" s="1067"/>
      <c r="BC261" s="1067"/>
      <c r="BE261" s="1067"/>
      <c r="BF261" s="1067"/>
      <c r="BG261" s="1067"/>
    </row>
    <row r="262" spans="18:59" x14ac:dyDescent="0.35">
      <c r="R262" s="1067"/>
      <c r="S262" s="1067"/>
      <c r="W262" s="1067"/>
      <c r="X262" s="1067"/>
      <c r="AE262" s="1067"/>
      <c r="AF262" s="1067"/>
      <c r="AV262" s="1067"/>
      <c r="AW262" s="1067"/>
      <c r="AX262" s="1067"/>
      <c r="AY262" s="1067"/>
      <c r="AZ262" s="1067"/>
      <c r="BA262" s="1067"/>
      <c r="BC262" s="1067"/>
      <c r="BE262" s="1067"/>
      <c r="BF262" s="1067"/>
      <c r="BG262" s="1067"/>
    </row>
    <row r="263" spans="18:59" x14ac:dyDescent="0.35">
      <c r="R263" s="1067"/>
      <c r="S263" s="1067"/>
      <c r="W263" s="1067"/>
      <c r="X263" s="1067"/>
      <c r="AE263" s="1067"/>
      <c r="AF263" s="1067"/>
      <c r="AV263" s="1067"/>
      <c r="AW263" s="1067"/>
      <c r="AX263" s="1067"/>
      <c r="AY263" s="1067"/>
      <c r="AZ263" s="1067"/>
      <c r="BA263" s="1067"/>
      <c r="BC263" s="1067"/>
      <c r="BE263" s="1067"/>
      <c r="BF263" s="1067"/>
      <c r="BG263" s="1067"/>
    </row>
    <row r="264" spans="18:59" x14ac:dyDescent="0.35">
      <c r="R264" s="1067"/>
      <c r="S264" s="1067"/>
      <c r="W264" s="1067"/>
      <c r="X264" s="1067"/>
      <c r="AE264" s="1067"/>
      <c r="AF264" s="1067"/>
      <c r="AV264" s="1067"/>
      <c r="AW264" s="1067"/>
      <c r="AX264" s="1067"/>
      <c r="AY264" s="1067"/>
      <c r="AZ264" s="1067"/>
      <c r="BA264" s="1067"/>
      <c r="BC264" s="1067"/>
      <c r="BE264" s="1067"/>
      <c r="BF264" s="1067"/>
      <c r="BG264" s="1067"/>
    </row>
    <row r="265" spans="18:59" x14ac:dyDescent="0.35">
      <c r="R265" s="1067"/>
      <c r="S265" s="1067"/>
      <c r="W265" s="1067"/>
      <c r="X265" s="1067"/>
      <c r="AE265" s="1067"/>
      <c r="AF265" s="1067"/>
      <c r="AV265" s="1067"/>
      <c r="AW265" s="1067"/>
      <c r="AX265" s="1067"/>
      <c r="AY265" s="1067"/>
      <c r="AZ265" s="1067"/>
      <c r="BA265" s="1067"/>
      <c r="BC265" s="1067"/>
      <c r="BE265" s="1067"/>
      <c r="BF265" s="1067"/>
      <c r="BG265" s="1067"/>
    </row>
    <row r="266" spans="18:59" x14ac:dyDescent="0.35">
      <c r="R266" s="1067"/>
      <c r="S266" s="1067"/>
      <c r="W266" s="1067"/>
      <c r="X266" s="1067"/>
      <c r="AE266" s="1067"/>
      <c r="AF266" s="1067"/>
      <c r="AV266" s="1067"/>
      <c r="AW266" s="1067"/>
      <c r="AX266" s="1067"/>
      <c r="AY266" s="1067"/>
      <c r="AZ266" s="1067"/>
      <c r="BA266" s="1067"/>
      <c r="BC266" s="1067"/>
      <c r="BE266" s="1067"/>
      <c r="BF266" s="1067"/>
      <c r="BG266" s="1067"/>
    </row>
    <row r="267" spans="18:59" x14ac:dyDescent="0.35">
      <c r="R267" s="1067"/>
      <c r="S267" s="1067"/>
      <c r="W267" s="1067"/>
      <c r="X267" s="1067"/>
      <c r="AE267" s="1067"/>
      <c r="AF267" s="1067"/>
      <c r="AV267" s="1067"/>
      <c r="AW267" s="1067"/>
      <c r="AX267" s="1067"/>
      <c r="AY267" s="1067"/>
      <c r="AZ267" s="1067"/>
      <c r="BA267" s="1067"/>
      <c r="BC267" s="1067"/>
      <c r="BE267" s="1067"/>
      <c r="BF267" s="1067"/>
      <c r="BG267" s="1067"/>
    </row>
    <row r="268" spans="18:59" x14ac:dyDescent="0.35">
      <c r="R268" s="1067"/>
      <c r="S268" s="1067"/>
      <c r="W268" s="1067"/>
      <c r="X268" s="1067"/>
      <c r="AE268" s="1067"/>
      <c r="AF268" s="1067"/>
      <c r="AV268" s="1067"/>
      <c r="AW268" s="1067"/>
      <c r="AX268" s="1067"/>
      <c r="AY268" s="1067"/>
      <c r="AZ268" s="1067"/>
      <c r="BA268" s="1067"/>
      <c r="BC268" s="1067"/>
      <c r="BE268" s="1067"/>
      <c r="BF268" s="1067"/>
      <c r="BG268" s="1067"/>
    </row>
    <row r="269" spans="18:59" x14ac:dyDescent="0.35">
      <c r="R269" s="1067"/>
      <c r="S269" s="1067"/>
      <c r="W269" s="1067"/>
      <c r="X269" s="1067"/>
      <c r="AE269" s="1067"/>
      <c r="AF269" s="1067"/>
      <c r="AV269" s="1067"/>
      <c r="AW269" s="1067"/>
      <c r="AX269" s="1067"/>
      <c r="AY269" s="1067"/>
      <c r="AZ269" s="1067"/>
      <c r="BA269" s="1067"/>
      <c r="BC269" s="1067"/>
      <c r="BE269" s="1067"/>
      <c r="BF269" s="1067"/>
      <c r="BG269" s="1067"/>
    </row>
    <row r="270" spans="18:59" x14ac:dyDescent="0.35">
      <c r="R270" s="1067"/>
      <c r="S270" s="1067"/>
      <c r="W270" s="1067"/>
      <c r="X270" s="1067"/>
      <c r="AE270" s="1067"/>
      <c r="AF270" s="1067"/>
      <c r="AV270" s="1067"/>
      <c r="AW270" s="1067"/>
      <c r="AX270" s="1067"/>
      <c r="AY270" s="1067"/>
      <c r="AZ270" s="1067"/>
      <c r="BA270" s="1067"/>
      <c r="BC270" s="1067"/>
      <c r="BE270" s="1067"/>
      <c r="BF270" s="1067"/>
      <c r="BG270" s="1067"/>
    </row>
    <row r="271" spans="18:59" x14ac:dyDescent="0.35">
      <c r="R271" s="1067"/>
      <c r="S271" s="1067"/>
      <c r="W271" s="1067"/>
      <c r="X271" s="1067"/>
      <c r="AE271" s="1067"/>
      <c r="AF271" s="1067"/>
      <c r="AV271" s="1067"/>
      <c r="AW271" s="1067"/>
      <c r="AX271" s="1067"/>
      <c r="AY271" s="1067"/>
      <c r="AZ271" s="1067"/>
      <c r="BA271" s="1067"/>
      <c r="BC271" s="1067"/>
      <c r="BE271" s="1067"/>
      <c r="BF271" s="1067"/>
      <c r="BG271" s="1067"/>
    </row>
    <row r="272" spans="18:59" x14ac:dyDescent="0.35">
      <c r="R272" s="1067"/>
      <c r="S272" s="1067"/>
      <c r="W272" s="1067"/>
      <c r="X272" s="1067"/>
      <c r="AE272" s="1067"/>
      <c r="AF272" s="1067"/>
      <c r="AV272" s="1067"/>
      <c r="AW272" s="1067"/>
      <c r="AX272" s="1067"/>
      <c r="AY272" s="1067"/>
      <c r="AZ272" s="1067"/>
      <c r="BA272" s="1067"/>
      <c r="BC272" s="1067"/>
      <c r="BE272" s="1067"/>
      <c r="BF272" s="1067"/>
      <c r="BG272" s="1067"/>
    </row>
    <row r="273" spans="18:59" x14ac:dyDescent="0.35">
      <c r="R273" s="1067"/>
      <c r="S273" s="1067"/>
      <c r="W273" s="1067"/>
      <c r="X273" s="1067"/>
      <c r="AE273" s="1067"/>
      <c r="AF273" s="1067"/>
      <c r="AV273" s="1067"/>
      <c r="AW273" s="1067"/>
      <c r="AX273" s="1067"/>
      <c r="AY273" s="1067"/>
      <c r="AZ273" s="1067"/>
      <c r="BA273" s="1067"/>
      <c r="BC273" s="1067"/>
      <c r="BE273" s="1067"/>
      <c r="BF273" s="1067"/>
      <c r="BG273" s="1067"/>
    </row>
    <row r="274" spans="18:59" x14ac:dyDescent="0.35">
      <c r="R274" s="1067"/>
      <c r="S274" s="1067"/>
      <c r="W274" s="1067"/>
      <c r="X274" s="1067"/>
      <c r="AE274" s="1067"/>
      <c r="AF274" s="1067"/>
      <c r="AV274" s="1067"/>
      <c r="AW274" s="1067"/>
      <c r="AX274" s="1067"/>
      <c r="AY274" s="1067"/>
      <c r="AZ274" s="1067"/>
      <c r="BA274" s="1067"/>
      <c r="BC274" s="1067"/>
      <c r="BE274" s="1067"/>
      <c r="BF274" s="1067"/>
      <c r="BG274" s="1067"/>
    </row>
    <row r="275" spans="18:59" x14ac:dyDescent="0.35">
      <c r="R275" s="1067"/>
      <c r="S275" s="1067"/>
      <c r="W275" s="1067"/>
      <c r="X275" s="1067"/>
      <c r="AE275" s="1067"/>
      <c r="AF275" s="1067"/>
      <c r="AV275" s="1067"/>
      <c r="AW275" s="1067"/>
      <c r="AX275" s="1067"/>
      <c r="AY275" s="1067"/>
      <c r="AZ275" s="1067"/>
      <c r="BA275" s="1067"/>
      <c r="BC275" s="1067"/>
      <c r="BE275" s="1067"/>
      <c r="BF275" s="1067"/>
      <c r="BG275" s="1067"/>
    </row>
    <row r="276" spans="18:59" x14ac:dyDescent="0.35">
      <c r="R276" s="1067"/>
      <c r="S276" s="1067"/>
      <c r="W276" s="1067"/>
      <c r="X276" s="1067"/>
      <c r="AE276" s="1067"/>
      <c r="AF276" s="1067"/>
      <c r="AV276" s="1067"/>
      <c r="AW276" s="1067"/>
      <c r="AX276" s="1067"/>
      <c r="AY276" s="1067"/>
      <c r="AZ276" s="1067"/>
      <c r="BA276" s="1067"/>
      <c r="BC276" s="1067"/>
      <c r="BE276" s="1067"/>
      <c r="BF276" s="1067"/>
      <c r="BG276" s="1067"/>
    </row>
    <row r="277" spans="18:59" x14ac:dyDescent="0.35">
      <c r="R277" s="1067"/>
      <c r="S277" s="1067"/>
      <c r="W277" s="1067"/>
      <c r="X277" s="1067"/>
      <c r="AE277" s="1067"/>
      <c r="AF277" s="1067"/>
      <c r="AV277" s="1067"/>
      <c r="AW277" s="1067"/>
      <c r="AX277" s="1067"/>
      <c r="AY277" s="1067"/>
      <c r="AZ277" s="1067"/>
      <c r="BA277" s="1067"/>
      <c r="BC277" s="1067"/>
      <c r="BE277" s="1067"/>
      <c r="BF277" s="1067"/>
      <c r="BG277" s="1067"/>
    </row>
    <row r="278" spans="18:59" x14ac:dyDescent="0.35">
      <c r="R278" s="1067"/>
      <c r="S278" s="1067"/>
      <c r="W278" s="1067"/>
      <c r="X278" s="1067"/>
      <c r="AE278" s="1067"/>
      <c r="AF278" s="1067"/>
      <c r="AV278" s="1067"/>
      <c r="AW278" s="1067"/>
      <c r="AX278" s="1067"/>
      <c r="AY278" s="1067"/>
      <c r="AZ278" s="1067"/>
      <c r="BA278" s="1067"/>
      <c r="BC278" s="1067"/>
      <c r="BE278" s="1067"/>
      <c r="BF278" s="1067"/>
      <c r="BG278" s="1067"/>
    </row>
    <row r="279" spans="18:59" x14ac:dyDescent="0.35">
      <c r="R279" s="1067"/>
      <c r="S279" s="1067"/>
      <c r="W279" s="1067"/>
      <c r="X279" s="1067"/>
      <c r="AE279" s="1067"/>
      <c r="AF279" s="1067"/>
      <c r="AV279" s="1067"/>
      <c r="AW279" s="1067"/>
      <c r="AX279" s="1067"/>
      <c r="AY279" s="1067"/>
      <c r="AZ279" s="1067"/>
      <c r="BA279" s="1067"/>
      <c r="BC279" s="1067"/>
      <c r="BE279" s="1067"/>
      <c r="BF279" s="1067"/>
      <c r="BG279" s="1067"/>
    </row>
    <row r="280" spans="18:59" x14ac:dyDescent="0.35">
      <c r="R280" s="1067"/>
      <c r="S280" s="1067"/>
      <c r="W280" s="1067"/>
      <c r="X280" s="1067"/>
      <c r="AE280" s="1067"/>
      <c r="AF280" s="1067"/>
      <c r="AV280" s="1067"/>
      <c r="AW280" s="1067"/>
      <c r="AX280" s="1067"/>
      <c r="AY280" s="1067"/>
      <c r="AZ280" s="1067"/>
      <c r="BA280" s="1067"/>
      <c r="BC280" s="1067"/>
      <c r="BE280" s="1067"/>
      <c r="BF280" s="1067"/>
      <c r="BG280" s="1067"/>
    </row>
    <row r="281" spans="18:59" x14ac:dyDescent="0.35">
      <c r="R281" s="1067"/>
      <c r="S281" s="1067"/>
      <c r="W281" s="1067"/>
      <c r="X281" s="1067"/>
      <c r="AE281" s="1067"/>
      <c r="AF281" s="1067"/>
      <c r="AV281" s="1067"/>
      <c r="AW281" s="1067"/>
      <c r="AX281" s="1067"/>
      <c r="AY281" s="1067"/>
      <c r="AZ281" s="1067"/>
      <c r="BA281" s="1067"/>
      <c r="BC281" s="1067"/>
      <c r="BE281" s="1067"/>
      <c r="BF281" s="1067"/>
      <c r="BG281" s="1067"/>
    </row>
    <row r="282" spans="18:59" x14ac:dyDescent="0.35">
      <c r="R282" s="1067"/>
      <c r="S282" s="1067"/>
      <c r="W282" s="1067"/>
      <c r="X282" s="1067"/>
      <c r="AE282" s="1067"/>
      <c r="AF282" s="1067"/>
      <c r="AV282" s="1067"/>
      <c r="AW282" s="1067"/>
      <c r="AX282" s="1067"/>
      <c r="AY282" s="1067"/>
      <c r="AZ282" s="1067"/>
      <c r="BA282" s="1067"/>
      <c r="BC282" s="1067"/>
      <c r="BE282" s="1067"/>
      <c r="BF282" s="1067"/>
      <c r="BG282" s="1067"/>
    </row>
    <row r="283" spans="18:59" x14ac:dyDescent="0.35">
      <c r="R283" s="1067"/>
      <c r="S283" s="1067"/>
      <c r="W283" s="1067"/>
      <c r="X283" s="1067"/>
      <c r="AE283" s="1067"/>
      <c r="AF283" s="1067"/>
      <c r="AV283" s="1067"/>
      <c r="AW283" s="1067"/>
      <c r="AX283" s="1067"/>
      <c r="AY283" s="1067"/>
      <c r="AZ283" s="1067"/>
      <c r="BA283" s="1067"/>
      <c r="BC283" s="1067"/>
      <c r="BE283" s="1067"/>
      <c r="BF283" s="1067"/>
      <c r="BG283" s="1067"/>
    </row>
    <row r="284" spans="18:59" x14ac:dyDescent="0.35">
      <c r="R284" s="1067"/>
      <c r="S284" s="1067"/>
      <c r="W284" s="1067"/>
      <c r="X284" s="1067"/>
      <c r="AE284" s="1067"/>
      <c r="AF284" s="1067"/>
      <c r="AV284" s="1067"/>
      <c r="AW284" s="1067"/>
      <c r="AX284" s="1067"/>
      <c r="AY284" s="1067"/>
      <c r="AZ284" s="1067"/>
      <c r="BA284" s="1067"/>
      <c r="BC284" s="1067"/>
      <c r="BE284" s="1067"/>
      <c r="BF284" s="1067"/>
      <c r="BG284" s="1067"/>
    </row>
    <row r="285" spans="18:59" x14ac:dyDescent="0.35">
      <c r="R285" s="1067"/>
      <c r="S285" s="1067"/>
      <c r="W285" s="1067"/>
      <c r="X285" s="1067"/>
      <c r="AE285" s="1067"/>
      <c r="AF285" s="1067"/>
      <c r="AV285" s="1067"/>
      <c r="AW285" s="1067"/>
      <c r="AX285" s="1067"/>
      <c r="AY285" s="1067"/>
      <c r="AZ285" s="1067"/>
      <c r="BA285" s="1067"/>
      <c r="BC285" s="1067"/>
      <c r="BE285" s="1067"/>
      <c r="BF285" s="1067"/>
      <c r="BG285" s="1067"/>
    </row>
    <row r="286" spans="18:59" x14ac:dyDescent="0.35">
      <c r="R286" s="1067"/>
      <c r="S286" s="1067"/>
      <c r="W286" s="1067"/>
      <c r="X286" s="1067"/>
      <c r="AE286" s="1067"/>
      <c r="AF286" s="1067"/>
      <c r="AV286" s="1067"/>
      <c r="AW286" s="1067"/>
      <c r="AX286" s="1067"/>
      <c r="AY286" s="1067"/>
      <c r="AZ286" s="1067"/>
      <c r="BA286" s="1067"/>
      <c r="BC286" s="1067"/>
      <c r="BE286" s="1067"/>
      <c r="BF286" s="1067"/>
      <c r="BG286" s="1067"/>
    </row>
    <row r="287" spans="18:59" x14ac:dyDescent="0.35">
      <c r="R287" s="1067"/>
      <c r="S287" s="1067"/>
      <c r="W287" s="1067"/>
      <c r="X287" s="1067"/>
      <c r="AE287" s="1067"/>
      <c r="AF287" s="1067"/>
      <c r="AV287" s="1067"/>
      <c r="AW287" s="1067"/>
      <c r="AX287" s="1067"/>
      <c r="AY287" s="1067"/>
      <c r="AZ287" s="1067"/>
      <c r="BA287" s="1067"/>
      <c r="BC287" s="1067"/>
      <c r="BE287" s="1067"/>
      <c r="BF287" s="1067"/>
      <c r="BG287" s="1067"/>
    </row>
    <row r="288" spans="18:59" x14ac:dyDescent="0.35">
      <c r="R288" s="1067"/>
      <c r="S288" s="1067"/>
      <c r="W288" s="1067"/>
      <c r="X288" s="1067"/>
      <c r="AE288" s="1067"/>
      <c r="AF288" s="1067"/>
      <c r="AV288" s="1067"/>
      <c r="AW288" s="1067"/>
      <c r="AX288" s="1067"/>
      <c r="AY288" s="1067"/>
      <c r="AZ288" s="1067"/>
      <c r="BA288" s="1067"/>
      <c r="BC288" s="1067"/>
      <c r="BE288" s="1067"/>
      <c r="BF288" s="1067"/>
      <c r="BG288" s="1067"/>
    </row>
    <row r="289" spans="18:59" x14ac:dyDescent="0.35">
      <c r="R289" s="1067"/>
      <c r="S289" s="1067"/>
      <c r="W289" s="1067"/>
      <c r="X289" s="1067"/>
      <c r="AE289" s="1067"/>
      <c r="AF289" s="1067"/>
      <c r="AV289" s="1067"/>
      <c r="AW289" s="1067"/>
      <c r="AX289" s="1067"/>
      <c r="AY289" s="1067"/>
      <c r="AZ289" s="1067"/>
      <c r="BA289" s="1067"/>
      <c r="BC289" s="1067"/>
      <c r="BE289" s="1067"/>
      <c r="BF289" s="1067"/>
      <c r="BG289" s="1067"/>
    </row>
    <row r="290" spans="18:59" x14ac:dyDescent="0.35">
      <c r="R290" s="1067"/>
      <c r="S290" s="1067"/>
      <c r="W290" s="1067"/>
      <c r="X290" s="1067"/>
      <c r="AE290" s="1067"/>
      <c r="AF290" s="1067"/>
      <c r="AV290" s="1067"/>
      <c r="AW290" s="1067"/>
      <c r="AX290" s="1067"/>
      <c r="AY290" s="1067"/>
      <c r="AZ290" s="1067"/>
      <c r="BA290" s="1067"/>
      <c r="BC290" s="1067"/>
      <c r="BE290" s="1067"/>
      <c r="BF290" s="1067"/>
      <c r="BG290" s="1067"/>
    </row>
    <row r="291" spans="18:59" x14ac:dyDescent="0.35">
      <c r="R291" s="1067"/>
      <c r="S291" s="1067"/>
      <c r="W291" s="1067"/>
      <c r="X291" s="1067"/>
      <c r="AE291" s="1067"/>
      <c r="AF291" s="1067"/>
      <c r="AV291" s="1067"/>
      <c r="AW291" s="1067"/>
      <c r="AX291" s="1067"/>
      <c r="AY291" s="1067"/>
      <c r="AZ291" s="1067"/>
      <c r="BA291" s="1067"/>
      <c r="BC291" s="1067"/>
      <c r="BE291" s="1067"/>
      <c r="BF291" s="1067"/>
      <c r="BG291" s="1067"/>
    </row>
    <row r="292" spans="18:59" x14ac:dyDescent="0.35">
      <c r="R292" s="1067"/>
      <c r="S292" s="1067"/>
      <c r="W292" s="1067"/>
      <c r="X292" s="1067"/>
      <c r="AE292" s="1067"/>
      <c r="AF292" s="1067"/>
      <c r="AV292" s="1067"/>
      <c r="AW292" s="1067"/>
      <c r="AX292" s="1067"/>
      <c r="AY292" s="1067"/>
      <c r="AZ292" s="1067"/>
      <c r="BA292" s="1067"/>
      <c r="BC292" s="1067"/>
      <c r="BE292" s="1067"/>
      <c r="BF292" s="1067"/>
      <c r="BG292" s="1067"/>
    </row>
    <row r="293" spans="18:59" x14ac:dyDescent="0.35">
      <c r="R293" s="1067"/>
      <c r="S293" s="1067"/>
      <c r="W293" s="1067"/>
      <c r="X293" s="1067"/>
      <c r="AE293" s="1067"/>
      <c r="AF293" s="1067"/>
      <c r="AV293" s="1067"/>
      <c r="AW293" s="1067"/>
      <c r="AX293" s="1067"/>
      <c r="AY293" s="1067"/>
      <c r="AZ293" s="1067"/>
      <c r="BA293" s="1067"/>
      <c r="BC293" s="1067"/>
      <c r="BE293" s="1067"/>
      <c r="BF293" s="1067"/>
      <c r="BG293" s="1067"/>
    </row>
    <row r="294" spans="18:59" x14ac:dyDescent="0.35">
      <c r="R294" s="1067"/>
      <c r="S294" s="1067"/>
      <c r="W294" s="1067"/>
      <c r="X294" s="1067"/>
      <c r="AE294" s="1067"/>
      <c r="AF294" s="1067"/>
      <c r="AV294" s="1067"/>
      <c r="AW294" s="1067"/>
      <c r="AX294" s="1067"/>
      <c r="AY294" s="1067"/>
      <c r="AZ294" s="1067"/>
      <c r="BA294" s="1067"/>
      <c r="BC294" s="1067"/>
      <c r="BE294" s="1067"/>
      <c r="BF294" s="1067"/>
      <c r="BG294" s="1067"/>
    </row>
    <row r="295" spans="18:59" x14ac:dyDescent="0.35">
      <c r="R295" s="1067"/>
      <c r="S295" s="1067"/>
      <c r="W295" s="1067"/>
      <c r="X295" s="1067"/>
      <c r="AE295" s="1067"/>
      <c r="AF295" s="1067"/>
      <c r="AV295" s="1067"/>
      <c r="AW295" s="1067"/>
      <c r="AX295" s="1067"/>
      <c r="AY295" s="1067"/>
      <c r="AZ295" s="1067"/>
      <c r="BA295" s="1067"/>
      <c r="BC295" s="1067"/>
      <c r="BE295" s="1067"/>
      <c r="BF295" s="1067"/>
      <c r="BG295" s="1067"/>
    </row>
    <row r="296" spans="18:59" x14ac:dyDescent="0.35">
      <c r="R296" s="1067"/>
      <c r="S296" s="1067"/>
      <c r="W296" s="1067"/>
      <c r="X296" s="1067"/>
      <c r="AE296" s="1067"/>
      <c r="AF296" s="1067"/>
      <c r="AV296" s="1067"/>
      <c r="AW296" s="1067"/>
      <c r="AX296" s="1067"/>
      <c r="AY296" s="1067"/>
      <c r="AZ296" s="1067"/>
      <c r="BA296" s="1067"/>
      <c r="BC296" s="1067"/>
      <c r="BE296" s="1067"/>
      <c r="BF296" s="1067"/>
      <c r="BG296" s="1067"/>
    </row>
    <row r="297" spans="18:59" x14ac:dyDescent="0.35">
      <c r="R297" s="1067"/>
      <c r="S297" s="1067"/>
      <c r="W297" s="1067"/>
      <c r="X297" s="1067"/>
      <c r="AE297" s="1067"/>
      <c r="AF297" s="1067"/>
      <c r="AV297" s="1067"/>
      <c r="AW297" s="1067"/>
      <c r="AX297" s="1067"/>
      <c r="AY297" s="1067"/>
      <c r="AZ297" s="1067"/>
      <c r="BA297" s="1067"/>
      <c r="BC297" s="1067"/>
      <c r="BE297" s="1067"/>
      <c r="BF297" s="1067"/>
      <c r="BG297" s="1067"/>
    </row>
    <row r="298" spans="18:59" x14ac:dyDescent="0.35">
      <c r="R298" s="1067"/>
      <c r="S298" s="1067"/>
      <c r="W298" s="1067"/>
      <c r="X298" s="1067"/>
      <c r="AE298" s="1067"/>
      <c r="AF298" s="1067"/>
      <c r="AV298" s="1067"/>
      <c r="AW298" s="1067"/>
      <c r="AX298" s="1067"/>
      <c r="AY298" s="1067"/>
      <c r="AZ298" s="1067"/>
      <c r="BA298" s="1067"/>
      <c r="BC298" s="1067"/>
      <c r="BE298" s="1067"/>
      <c r="BF298" s="1067"/>
      <c r="BG298" s="1067"/>
    </row>
    <row r="299" spans="18:59" x14ac:dyDescent="0.35">
      <c r="R299" s="1067"/>
      <c r="S299" s="1067"/>
      <c r="W299" s="1067"/>
      <c r="X299" s="1067"/>
      <c r="AE299" s="1067"/>
      <c r="AF299" s="1067"/>
      <c r="AV299" s="1067"/>
      <c r="AW299" s="1067"/>
      <c r="AX299" s="1067"/>
      <c r="AY299" s="1067"/>
      <c r="AZ299" s="1067"/>
      <c r="BA299" s="1067"/>
      <c r="BC299" s="1067"/>
      <c r="BE299" s="1067"/>
      <c r="BF299" s="1067"/>
      <c r="BG299" s="1067"/>
    </row>
    <row r="300" spans="18:59" x14ac:dyDescent="0.35">
      <c r="R300" s="1067"/>
      <c r="S300" s="1067"/>
      <c r="W300" s="1067"/>
      <c r="X300" s="1067"/>
      <c r="AE300" s="1067"/>
      <c r="AF300" s="1067"/>
      <c r="AV300" s="1067"/>
      <c r="AW300" s="1067"/>
      <c r="AX300" s="1067"/>
      <c r="AY300" s="1067"/>
      <c r="AZ300" s="1067"/>
      <c r="BA300" s="1067"/>
      <c r="BC300" s="1067"/>
      <c r="BE300" s="1067"/>
      <c r="BF300" s="1067"/>
      <c r="BG300" s="1067"/>
    </row>
    <row r="301" spans="18:59" x14ac:dyDescent="0.35">
      <c r="R301" s="1067"/>
      <c r="S301" s="1067"/>
      <c r="W301" s="1067"/>
      <c r="X301" s="1067"/>
      <c r="AE301" s="1067"/>
      <c r="AF301" s="1067"/>
      <c r="AV301" s="1067"/>
      <c r="AW301" s="1067"/>
      <c r="AX301" s="1067"/>
      <c r="AY301" s="1067"/>
      <c r="AZ301" s="1067"/>
      <c r="BA301" s="1067"/>
      <c r="BC301" s="1067"/>
      <c r="BE301" s="1067"/>
      <c r="BF301" s="1067"/>
      <c r="BG301" s="1067"/>
    </row>
    <row r="302" spans="18:59" x14ac:dyDescent="0.35">
      <c r="R302" s="1067"/>
      <c r="S302" s="1067"/>
      <c r="W302" s="1067"/>
      <c r="X302" s="1067"/>
      <c r="AE302" s="1067"/>
      <c r="AF302" s="1067"/>
      <c r="AV302" s="1067"/>
      <c r="AW302" s="1067"/>
      <c r="AX302" s="1067"/>
      <c r="AY302" s="1067"/>
      <c r="AZ302" s="1067"/>
      <c r="BA302" s="1067"/>
      <c r="BC302" s="1067"/>
      <c r="BE302" s="1067"/>
      <c r="BF302" s="1067"/>
      <c r="BG302" s="1067"/>
    </row>
    <row r="303" spans="18:59" x14ac:dyDescent="0.35">
      <c r="R303" s="1067"/>
      <c r="S303" s="1067"/>
      <c r="W303" s="1067"/>
      <c r="X303" s="1067"/>
      <c r="AE303" s="1067"/>
      <c r="AF303" s="1067"/>
      <c r="AV303" s="1067"/>
      <c r="AW303" s="1067"/>
      <c r="AX303" s="1067"/>
      <c r="AY303" s="1067"/>
      <c r="AZ303" s="1067"/>
      <c r="BA303" s="1067"/>
      <c r="BC303" s="1067"/>
      <c r="BE303" s="1067"/>
      <c r="BF303" s="1067"/>
      <c r="BG303" s="1067"/>
    </row>
    <row r="304" spans="18:59" x14ac:dyDescent="0.35">
      <c r="R304" s="1067"/>
      <c r="S304" s="1067"/>
      <c r="W304" s="1067"/>
      <c r="X304" s="1067"/>
      <c r="AE304" s="1067"/>
      <c r="AF304" s="1067"/>
      <c r="AV304" s="1067"/>
      <c r="AW304" s="1067"/>
      <c r="AX304" s="1067"/>
      <c r="AY304" s="1067"/>
      <c r="AZ304" s="1067"/>
      <c r="BA304" s="1067"/>
      <c r="BC304" s="1067"/>
      <c r="BE304" s="1067"/>
      <c r="BF304" s="1067"/>
      <c r="BG304" s="1067"/>
    </row>
    <row r="305" spans="18:59" x14ac:dyDescent="0.35">
      <c r="R305" s="1067"/>
      <c r="S305" s="1067"/>
      <c r="W305" s="1067"/>
      <c r="X305" s="1067"/>
      <c r="AE305" s="1067"/>
      <c r="AF305" s="1067"/>
      <c r="AV305" s="1067"/>
      <c r="AW305" s="1067"/>
      <c r="AX305" s="1067"/>
      <c r="AY305" s="1067"/>
      <c r="AZ305" s="1067"/>
      <c r="BA305" s="1067"/>
      <c r="BC305" s="1067"/>
      <c r="BE305" s="1067"/>
      <c r="BF305" s="1067"/>
      <c r="BG305" s="1067"/>
    </row>
    <row r="306" spans="18:59" x14ac:dyDescent="0.35">
      <c r="R306" s="1067"/>
      <c r="S306" s="1067"/>
      <c r="W306" s="1067"/>
      <c r="X306" s="1067"/>
      <c r="AE306" s="1067"/>
      <c r="AF306" s="1067"/>
      <c r="AV306" s="1067"/>
      <c r="AW306" s="1067"/>
      <c r="AX306" s="1067"/>
      <c r="AY306" s="1067"/>
      <c r="AZ306" s="1067"/>
      <c r="BA306" s="1067"/>
      <c r="BC306" s="1067"/>
      <c r="BE306" s="1067"/>
      <c r="BF306" s="1067"/>
      <c r="BG306" s="1067"/>
    </row>
    <row r="307" spans="18:59" x14ac:dyDescent="0.35">
      <c r="R307" s="1067"/>
      <c r="S307" s="1067"/>
      <c r="W307" s="1067"/>
      <c r="X307" s="1067"/>
      <c r="AE307" s="1067"/>
      <c r="AF307" s="1067"/>
      <c r="AV307" s="1067"/>
      <c r="AW307" s="1067"/>
      <c r="AX307" s="1067"/>
      <c r="AY307" s="1067"/>
      <c r="AZ307" s="1067"/>
      <c r="BA307" s="1067"/>
      <c r="BC307" s="1067"/>
      <c r="BE307" s="1067"/>
      <c r="BF307" s="1067"/>
      <c r="BG307" s="1067"/>
    </row>
    <row r="308" spans="18:59" x14ac:dyDescent="0.35">
      <c r="R308" s="1067"/>
      <c r="S308" s="1067"/>
      <c r="W308" s="1067"/>
      <c r="X308" s="1067"/>
      <c r="AE308" s="1067"/>
      <c r="AF308" s="1067"/>
      <c r="AV308" s="1067"/>
      <c r="AW308" s="1067"/>
      <c r="AX308" s="1067"/>
      <c r="AY308" s="1067"/>
      <c r="AZ308" s="1067"/>
      <c r="BA308" s="1067"/>
      <c r="BC308" s="1067"/>
      <c r="BE308" s="1067"/>
      <c r="BF308" s="1067"/>
      <c r="BG308" s="1067"/>
    </row>
    <row r="309" spans="18:59" x14ac:dyDescent="0.35">
      <c r="R309" s="1067"/>
      <c r="S309" s="1067"/>
      <c r="W309" s="1067"/>
      <c r="X309" s="1067"/>
      <c r="AE309" s="1067"/>
      <c r="AF309" s="1067"/>
      <c r="AV309" s="1067"/>
      <c r="AW309" s="1067"/>
      <c r="AX309" s="1067"/>
      <c r="AY309" s="1067"/>
      <c r="AZ309" s="1067"/>
      <c r="BA309" s="1067"/>
      <c r="BC309" s="1067"/>
      <c r="BE309" s="1067"/>
      <c r="BF309" s="1067"/>
      <c r="BG309" s="1067"/>
    </row>
    <row r="310" spans="18:59" x14ac:dyDescent="0.35">
      <c r="R310" s="1067"/>
      <c r="S310" s="1067"/>
      <c r="W310" s="1067"/>
      <c r="X310" s="1067"/>
      <c r="AE310" s="1067"/>
      <c r="AF310" s="1067"/>
      <c r="AV310" s="1067"/>
      <c r="AW310" s="1067"/>
      <c r="AX310" s="1067"/>
      <c r="AY310" s="1067"/>
      <c r="AZ310" s="1067"/>
      <c r="BA310" s="1067"/>
      <c r="BC310" s="1067"/>
      <c r="BE310" s="1067"/>
      <c r="BF310" s="1067"/>
      <c r="BG310" s="1067"/>
    </row>
    <row r="311" spans="18:59" x14ac:dyDescent="0.35">
      <c r="R311" s="1067"/>
      <c r="S311" s="1067"/>
      <c r="W311" s="1067"/>
      <c r="X311" s="1067"/>
      <c r="AE311" s="1067"/>
      <c r="AF311" s="1067"/>
      <c r="AV311" s="1067"/>
      <c r="AW311" s="1067"/>
      <c r="AX311" s="1067"/>
      <c r="AY311" s="1067"/>
      <c r="AZ311" s="1067"/>
      <c r="BA311" s="1067"/>
      <c r="BC311" s="1067"/>
      <c r="BE311" s="1067"/>
      <c r="BF311" s="1067"/>
      <c r="BG311" s="1067"/>
    </row>
    <row r="312" spans="18:59" x14ac:dyDescent="0.35">
      <c r="R312" s="1067"/>
      <c r="S312" s="1067"/>
      <c r="W312" s="1067"/>
      <c r="X312" s="1067"/>
      <c r="AE312" s="1067"/>
      <c r="AF312" s="1067"/>
      <c r="AV312" s="1067"/>
      <c r="AW312" s="1067"/>
      <c r="AX312" s="1067"/>
      <c r="AY312" s="1067"/>
      <c r="AZ312" s="1067"/>
      <c r="BA312" s="1067"/>
      <c r="BC312" s="1067"/>
      <c r="BE312" s="1067"/>
      <c r="BF312" s="1067"/>
      <c r="BG312" s="1067"/>
    </row>
    <row r="313" spans="18:59" x14ac:dyDescent="0.35">
      <c r="R313" s="1067"/>
      <c r="S313" s="1067"/>
      <c r="W313" s="1067"/>
      <c r="X313" s="1067"/>
      <c r="AE313" s="1067"/>
      <c r="AF313" s="1067"/>
      <c r="AV313" s="1067"/>
      <c r="AW313" s="1067"/>
      <c r="AX313" s="1067"/>
      <c r="AY313" s="1067"/>
      <c r="AZ313" s="1067"/>
      <c r="BA313" s="1067"/>
      <c r="BC313" s="1067"/>
      <c r="BE313" s="1067"/>
      <c r="BF313" s="1067"/>
      <c r="BG313" s="1067"/>
    </row>
    <row r="314" spans="18:59" x14ac:dyDescent="0.35">
      <c r="R314" s="1067"/>
      <c r="S314" s="1067"/>
      <c r="W314" s="1067"/>
      <c r="X314" s="1067"/>
      <c r="AE314" s="1067"/>
      <c r="AF314" s="1067"/>
      <c r="AV314" s="1067"/>
      <c r="AW314" s="1067"/>
      <c r="AX314" s="1067"/>
      <c r="AY314" s="1067"/>
      <c r="AZ314" s="1067"/>
      <c r="BA314" s="1067"/>
      <c r="BC314" s="1067"/>
      <c r="BE314" s="1067"/>
      <c r="BF314" s="1067"/>
      <c r="BG314" s="1067"/>
    </row>
    <row r="315" spans="18:59" x14ac:dyDescent="0.35">
      <c r="R315" s="1067"/>
      <c r="S315" s="1067"/>
      <c r="W315" s="1067"/>
      <c r="X315" s="1067"/>
      <c r="AE315" s="1067"/>
      <c r="AF315" s="1067"/>
      <c r="AV315" s="1067"/>
      <c r="AW315" s="1067"/>
      <c r="AX315" s="1067"/>
      <c r="AY315" s="1067"/>
      <c r="AZ315" s="1067"/>
      <c r="BA315" s="1067"/>
      <c r="BC315" s="1067"/>
      <c r="BE315" s="1067"/>
      <c r="BF315" s="1067"/>
      <c r="BG315" s="1067"/>
    </row>
    <row r="316" spans="18:59" x14ac:dyDescent="0.35">
      <c r="R316" s="1067"/>
      <c r="S316" s="1067"/>
      <c r="W316" s="1067"/>
      <c r="X316" s="1067"/>
      <c r="AE316" s="1067"/>
      <c r="AF316" s="1067"/>
      <c r="AV316" s="1067"/>
      <c r="AW316" s="1067"/>
      <c r="AX316" s="1067"/>
      <c r="AY316" s="1067"/>
      <c r="AZ316" s="1067"/>
      <c r="BA316" s="1067"/>
      <c r="BC316" s="1067"/>
      <c r="BE316" s="1067"/>
      <c r="BF316" s="1067"/>
      <c r="BG316" s="1067"/>
    </row>
    <row r="317" spans="18:59" x14ac:dyDescent="0.35">
      <c r="R317" s="1067"/>
      <c r="S317" s="1067"/>
      <c r="W317" s="1067"/>
      <c r="X317" s="1067"/>
      <c r="AE317" s="1067"/>
      <c r="AF317" s="1067"/>
      <c r="AV317" s="1067"/>
      <c r="AW317" s="1067"/>
      <c r="AX317" s="1067"/>
      <c r="AY317" s="1067"/>
      <c r="AZ317" s="1067"/>
      <c r="BA317" s="1067"/>
      <c r="BC317" s="1067"/>
      <c r="BE317" s="1067"/>
      <c r="BF317" s="1067"/>
      <c r="BG317" s="1067"/>
    </row>
    <row r="318" spans="18:59" x14ac:dyDescent="0.35">
      <c r="R318" s="1067"/>
      <c r="S318" s="1067"/>
      <c r="W318" s="1067"/>
      <c r="X318" s="1067"/>
      <c r="AE318" s="1067"/>
      <c r="AF318" s="1067"/>
      <c r="AV318" s="1067"/>
      <c r="AW318" s="1067"/>
      <c r="AX318" s="1067"/>
      <c r="AY318" s="1067"/>
      <c r="AZ318" s="1067"/>
      <c r="BA318" s="1067"/>
      <c r="BC318" s="1067"/>
      <c r="BE318" s="1067"/>
      <c r="BF318" s="1067"/>
      <c r="BG318" s="1067"/>
    </row>
    <row r="319" spans="18:59" x14ac:dyDescent="0.35">
      <c r="R319" s="1067"/>
      <c r="S319" s="1067"/>
      <c r="W319" s="1067"/>
      <c r="X319" s="1067"/>
      <c r="AE319" s="1067"/>
      <c r="AF319" s="1067"/>
      <c r="AV319" s="1067"/>
      <c r="AW319" s="1067"/>
      <c r="AX319" s="1067"/>
      <c r="AY319" s="1067"/>
      <c r="AZ319" s="1067"/>
      <c r="BA319" s="1067"/>
      <c r="BC319" s="1067"/>
      <c r="BE319" s="1067"/>
      <c r="BF319" s="1067"/>
      <c r="BG319" s="1067"/>
    </row>
    <row r="320" spans="18:59" x14ac:dyDescent="0.35">
      <c r="R320" s="1067"/>
      <c r="S320" s="1067"/>
      <c r="W320" s="1067"/>
      <c r="X320" s="1067"/>
      <c r="AE320" s="1067"/>
      <c r="AF320" s="1067"/>
      <c r="AV320" s="1067"/>
      <c r="AW320" s="1067"/>
      <c r="AX320" s="1067"/>
      <c r="AY320" s="1067"/>
      <c r="AZ320" s="1067"/>
      <c r="BA320" s="1067"/>
      <c r="BC320" s="1067"/>
      <c r="BE320" s="1067"/>
      <c r="BF320" s="1067"/>
      <c r="BG320" s="1067"/>
    </row>
    <row r="321" spans="18:59" x14ac:dyDescent="0.35">
      <c r="R321" s="1067"/>
      <c r="S321" s="1067"/>
      <c r="W321" s="1067"/>
      <c r="X321" s="1067"/>
      <c r="AE321" s="1067"/>
      <c r="AF321" s="1067"/>
      <c r="AV321" s="1067"/>
      <c r="AW321" s="1067"/>
      <c r="AX321" s="1067"/>
      <c r="AY321" s="1067"/>
      <c r="AZ321" s="1067"/>
      <c r="BA321" s="1067"/>
      <c r="BC321" s="1067"/>
      <c r="BE321" s="1067"/>
      <c r="BF321" s="1067"/>
      <c r="BG321" s="1067"/>
    </row>
    <row r="322" spans="18:59" x14ac:dyDescent="0.35">
      <c r="R322" s="1067"/>
      <c r="S322" s="1067"/>
      <c r="W322" s="1067"/>
      <c r="X322" s="1067"/>
      <c r="AE322" s="1067"/>
      <c r="AF322" s="1067"/>
      <c r="AV322" s="1067"/>
      <c r="AW322" s="1067"/>
      <c r="AX322" s="1067"/>
      <c r="AY322" s="1067"/>
      <c r="AZ322" s="1067"/>
      <c r="BA322" s="1067"/>
      <c r="BC322" s="1067"/>
      <c r="BE322" s="1067"/>
      <c r="BF322" s="1067"/>
      <c r="BG322" s="1067"/>
    </row>
    <row r="323" spans="18:59" x14ac:dyDescent="0.35">
      <c r="R323" s="1067"/>
      <c r="S323" s="1067"/>
      <c r="W323" s="1067"/>
      <c r="X323" s="1067"/>
      <c r="AE323" s="1067"/>
      <c r="AF323" s="1067"/>
      <c r="AV323" s="1067"/>
      <c r="AW323" s="1067"/>
      <c r="AX323" s="1067"/>
      <c r="AY323" s="1067"/>
      <c r="AZ323" s="1067"/>
      <c r="BA323" s="1067"/>
      <c r="BC323" s="1067"/>
      <c r="BE323" s="1067"/>
      <c r="BF323" s="1067"/>
      <c r="BG323" s="1067"/>
    </row>
    <row r="324" spans="18:59" x14ac:dyDescent="0.35">
      <c r="R324" s="1067"/>
      <c r="S324" s="1067"/>
      <c r="W324" s="1067"/>
      <c r="X324" s="1067"/>
      <c r="AE324" s="1067"/>
      <c r="AF324" s="1067"/>
      <c r="AV324" s="1067"/>
      <c r="AW324" s="1067"/>
      <c r="AX324" s="1067"/>
      <c r="AY324" s="1067"/>
      <c r="AZ324" s="1067"/>
      <c r="BA324" s="1067"/>
      <c r="BC324" s="1067"/>
      <c r="BE324" s="1067"/>
      <c r="BF324" s="1067"/>
      <c r="BG324" s="1067"/>
    </row>
    <row r="325" spans="18:59" x14ac:dyDescent="0.35">
      <c r="R325" s="1067"/>
      <c r="S325" s="1067"/>
      <c r="W325" s="1067"/>
      <c r="X325" s="1067"/>
      <c r="AE325" s="1067"/>
      <c r="AF325" s="1067"/>
      <c r="AV325" s="1067"/>
      <c r="AW325" s="1067"/>
      <c r="AX325" s="1067"/>
      <c r="AY325" s="1067"/>
      <c r="AZ325" s="1067"/>
      <c r="BA325" s="1067"/>
      <c r="BC325" s="1067"/>
      <c r="BE325" s="1067"/>
      <c r="BF325" s="1067"/>
      <c r="BG325" s="1067"/>
    </row>
    <row r="326" spans="18:59" x14ac:dyDescent="0.35">
      <c r="R326" s="1067"/>
      <c r="S326" s="1067"/>
      <c r="W326" s="1067"/>
      <c r="X326" s="1067"/>
      <c r="AE326" s="1067"/>
      <c r="AF326" s="1067"/>
      <c r="AV326" s="1067"/>
      <c r="AW326" s="1067"/>
      <c r="AX326" s="1067"/>
      <c r="AY326" s="1067"/>
      <c r="AZ326" s="1067"/>
      <c r="BA326" s="1067"/>
      <c r="BC326" s="1067"/>
      <c r="BE326" s="1067"/>
      <c r="BF326" s="1067"/>
      <c r="BG326" s="1067"/>
    </row>
    <row r="327" spans="18:59" x14ac:dyDescent="0.35">
      <c r="R327" s="1067"/>
      <c r="S327" s="1067"/>
      <c r="W327" s="1067"/>
      <c r="X327" s="1067"/>
      <c r="AE327" s="1067"/>
      <c r="AF327" s="1067"/>
      <c r="AV327" s="1067"/>
      <c r="AW327" s="1067"/>
      <c r="AX327" s="1067"/>
      <c r="AY327" s="1067"/>
      <c r="AZ327" s="1067"/>
      <c r="BA327" s="1067"/>
      <c r="BC327" s="1067"/>
      <c r="BE327" s="1067"/>
      <c r="BF327" s="1067"/>
      <c r="BG327" s="1067"/>
    </row>
    <row r="328" spans="18:59" x14ac:dyDescent="0.35">
      <c r="R328" s="1067"/>
      <c r="S328" s="1067"/>
      <c r="W328" s="1067"/>
      <c r="X328" s="1067"/>
      <c r="AE328" s="1067"/>
      <c r="AF328" s="1067"/>
      <c r="AV328" s="1067"/>
      <c r="AW328" s="1067"/>
      <c r="AX328" s="1067"/>
      <c r="AY328" s="1067"/>
      <c r="AZ328" s="1067"/>
      <c r="BA328" s="1067"/>
      <c r="BC328" s="1067"/>
      <c r="BE328" s="1067"/>
      <c r="BF328" s="1067"/>
      <c r="BG328" s="1067"/>
    </row>
    <row r="329" spans="18:59" x14ac:dyDescent="0.35">
      <c r="R329" s="1067"/>
      <c r="S329" s="1067"/>
      <c r="W329" s="1067"/>
      <c r="X329" s="1067"/>
      <c r="AE329" s="1067"/>
      <c r="AF329" s="1067"/>
      <c r="AV329" s="1067"/>
      <c r="AW329" s="1067"/>
      <c r="AX329" s="1067"/>
      <c r="AY329" s="1067"/>
      <c r="AZ329" s="1067"/>
      <c r="BA329" s="1067"/>
      <c r="BC329" s="1067"/>
      <c r="BE329" s="1067"/>
      <c r="BF329" s="1067"/>
      <c r="BG329" s="1067"/>
    </row>
    <row r="330" spans="18:59" x14ac:dyDescent="0.35">
      <c r="R330" s="1067"/>
      <c r="S330" s="1067"/>
      <c r="W330" s="1067"/>
      <c r="X330" s="1067"/>
      <c r="AE330" s="1067"/>
      <c r="AF330" s="1067"/>
      <c r="AV330" s="1067"/>
      <c r="AW330" s="1067"/>
      <c r="AX330" s="1067"/>
      <c r="AY330" s="1067"/>
      <c r="AZ330" s="1067"/>
      <c r="BA330" s="1067"/>
      <c r="BC330" s="1067"/>
      <c r="BE330" s="1067"/>
      <c r="BF330" s="1067"/>
      <c r="BG330" s="1067"/>
    </row>
    <row r="331" spans="18:59" x14ac:dyDescent="0.35">
      <c r="R331" s="1067"/>
      <c r="S331" s="1067"/>
      <c r="W331" s="1067"/>
      <c r="X331" s="1067"/>
      <c r="AE331" s="1067"/>
      <c r="AF331" s="1067"/>
      <c r="AV331" s="1067"/>
      <c r="AW331" s="1067"/>
      <c r="AX331" s="1067"/>
      <c r="AY331" s="1067"/>
      <c r="AZ331" s="1067"/>
      <c r="BA331" s="1067"/>
      <c r="BC331" s="1067"/>
      <c r="BE331" s="1067"/>
      <c r="BF331" s="1067"/>
      <c r="BG331" s="1067"/>
    </row>
    <row r="332" spans="18:59" x14ac:dyDescent="0.35">
      <c r="R332" s="1067"/>
      <c r="S332" s="1067"/>
      <c r="W332" s="1067"/>
      <c r="X332" s="1067"/>
      <c r="AE332" s="1067"/>
      <c r="AF332" s="1067"/>
      <c r="AV332" s="1067"/>
      <c r="AW332" s="1067"/>
      <c r="AX332" s="1067"/>
      <c r="AY332" s="1067"/>
      <c r="AZ332" s="1067"/>
      <c r="BA332" s="1067"/>
      <c r="BC332" s="1067"/>
      <c r="BE332" s="1067"/>
      <c r="BF332" s="1067"/>
      <c r="BG332" s="1067"/>
    </row>
    <row r="333" spans="18:59" x14ac:dyDescent="0.35">
      <c r="R333" s="1067"/>
      <c r="S333" s="1067"/>
      <c r="W333" s="1067"/>
      <c r="X333" s="1067"/>
      <c r="AE333" s="1067"/>
      <c r="AF333" s="1067"/>
      <c r="AV333" s="1067"/>
      <c r="AW333" s="1067"/>
      <c r="AX333" s="1067"/>
      <c r="AY333" s="1067"/>
      <c r="AZ333" s="1067"/>
      <c r="BA333" s="1067"/>
      <c r="BC333" s="1067"/>
      <c r="BE333" s="1067"/>
      <c r="BF333" s="1067"/>
      <c r="BG333" s="1067"/>
    </row>
    <row r="334" spans="18:59" x14ac:dyDescent="0.35">
      <c r="R334" s="1067"/>
      <c r="S334" s="1067"/>
      <c r="W334" s="1067"/>
      <c r="X334" s="1067"/>
      <c r="AE334" s="1067"/>
      <c r="AF334" s="1067"/>
      <c r="AV334" s="1067"/>
      <c r="AW334" s="1067"/>
      <c r="AX334" s="1067"/>
      <c r="AY334" s="1067"/>
      <c r="AZ334" s="1067"/>
      <c r="BA334" s="1067"/>
      <c r="BC334" s="1067"/>
      <c r="BE334" s="1067"/>
      <c r="BF334" s="1067"/>
      <c r="BG334" s="1067"/>
    </row>
    <row r="335" spans="18:59" x14ac:dyDescent="0.35">
      <c r="R335" s="1067"/>
      <c r="S335" s="1067"/>
      <c r="W335" s="1067"/>
      <c r="X335" s="1067"/>
      <c r="AE335" s="1067"/>
      <c r="AF335" s="1067"/>
      <c r="AV335" s="1067"/>
      <c r="AW335" s="1067"/>
      <c r="AX335" s="1067"/>
      <c r="AY335" s="1067"/>
      <c r="AZ335" s="1067"/>
      <c r="BA335" s="1067"/>
      <c r="BC335" s="1067"/>
      <c r="BE335" s="1067"/>
      <c r="BF335" s="1067"/>
      <c r="BG335" s="1067"/>
    </row>
    <row r="336" spans="18:59" x14ac:dyDescent="0.35">
      <c r="R336" s="1067"/>
      <c r="S336" s="1067"/>
      <c r="W336" s="1067"/>
      <c r="X336" s="1067"/>
      <c r="AE336" s="1067"/>
      <c r="AF336" s="1067"/>
      <c r="AV336" s="1067"/>
      <c r="AW336" s="1067"/>
      <c r="AX336" s="1067"/>
      <c r="AY336" s="1067"/>
      <c r="AZ336" s="1067"/>
      <c r="BA336" s="1067"/>
      <c r="BC336" s="1067"/>
      <c r="BE336" s="1067"/>
      <c r="BF336" s="1067"/>
      <c r="BG336" s="1067"/>
    </row>
    <row r="337" spans="18:59" x14ac:dyDescent="0.35">
      <c r="R337" s="1067"/>
      <c r="S337" s="1067"/>
      <c r="W337" s="1067"/>
      <c r="X337" s="1067"/>
      <c r="AE337" s="1067"/>
      <c r="AF337" s="1067"/>
      <c r="AV337" s="1067"/>
      <c r="AW337" s="1067"/>
      <c r="AX337" s="1067"/>
      <c r="AY337" s="1067"/>
      <c r="AZ337" s="1067"/>
      <c r="BA337" s="1067"/>
      <c r="BC337" s="1067"/>
      <c r="BE337" s="1067"/>
      <c r="BF337" s="1067"/>
      <c r="BG337" s="1067"/>
    </row>
    <row r="338" spans="18:59" x14ac:dyDescent="0.35">
      <c r="R338" s="1067"/>
      <c r="S338" s="1067"/>
      <c r="W338" s="1067"/>
      <c r="X338" s="1067"/>
      <c r="AE338" s="1067"/>
      <c r="AF338" s="1067"/>
      <c r="AV338" s="1067"/>
      <c r="AW338" s="1067"/>
      <c r="AX338" s="1067"/>
      <c r="AY338" s="1067"/>
      <c r="AZ338" s="1067"/>
      <c r="BA338" s="1067"/>
      <c r="BC338" s="1067"/>
      <c r="BE338" s="1067"/>
      <c r="BF338" s="1067"/>
      <c r="BG338" s="1067"/>
    </row>
    <row r="339" spans="18:59" x14ac:dyDescent="0.35">
      <c r="R339" s="1067"/>
      <c r="S339" s="1067"/>
      <c r="W339" s="1067"/>
      <c r="X339" s="1067"/>
      <c r="AE339" s="1067"/>
      <c r="AF339" s="1067"/>
      <c r="AV339" s="1067"/>
      <c r="AW339" s="1067"/>
      <c r="AX339" s="1067"/>
      <c r="AY339" s="1067"/>
      <c r="AZ339" s="1067"/>
      <c r="BA339" s="1067"/>
      <c r="BC339" s="1067"/>
      <c r="BE339" s="1067"/>
      <c r="BF339" s="1067"/>
      <c r="BG339" s="1067"/>
    </row>
    <row r="340" spans="18:59" x14ac:dyDescent="0.35">
      <c r="R340" s="1067"/>
      <c r="S340" s="1067"/>
      <c r="W340" s="1067"/>
      <c r="X340" s="1067"/>
      <c r="AE340" s="1067"/>
      <c r="AF340" s="1067"/>
      <c r="AV340" s="1067"/>
      <c r="AW340" s="1067"/>
      <c r="AX340" s="1067"/>
      <c r="AY340" s="1067"/>
      <c r="AZ340" s="1067"/>
      <c r="BA340" s="1067"/>
      <c r="BC340" s="1067"/>
      <c r="BE340" s="1067"/>
      <c r="BF340" s="1067"/>
      <c r="BG340" s="1067"/>
    </row>
    <row r="341" spans="18:59" x14ac:dyDescent="0.35">
      <c r="R341" s="1067"/>
      <c r="S341" s="1067"/>
      <c r="W341" s="1067"/>
      <c r="X341" s="1067"/>
      <c r="AE341" s="1067"/>
      <c r="AF341" s="1067"/>
      <c r="AV341" s="1067"/>
      <c r="AW341" s="1067"/>
      <c r="AX341" s="1067"/>
      <c r="AY341" s="1067"/>
      <c r="AZ341" s="1067"/>
      <c r="BA341" s="1067"/>
      <c r="BC341" s="1067"/>
      <c r="BE341" s="1067"/>
      <c r="BF341" s="1067"/>
      <c r="BG341" s="1067"/>
    </row>
    <row r="342" spans="18:59" x14ac:dyDescent="0.35">
      <c r="R342" s="1067"/>
      <c r="S342" s="1067"/>
      <c r="W342" s="1067"/>
      <c r="X342" s="1067"/>
      <c r="AE342" s="1067"/>
      <c r="AF342" s="1067"/>
      <c r="AV342" s="1067"/>
      <c r="AW342" s="1067"/>
      <c r="AX342" s="1067"/>
      <c r="AY342" s="1067"/>
      <c r="AZ342" s="1067"/>
      <c r="BA342" s="1067"/>
      <c r="BC342" s="1067"/>
      <c r="BE342" s="1067"/>
      <c r="BF342" s="1067"/>
      <c r="BG342" s="1067"/>
    </row>
    <row r="343" spans="18:59" x14ac:dyDescent="0.35">
      <c r="R343" s="1067"/>
      <c r="S343" s="1067"/>
      <c r="W343" s="1067"/>
      <c r="X343" s="1067"/>
      <c r="AE343" s="1067"/>
      <c r="AF343" s="1067"/>
      <c r="AV343" s="1067"/>
      <c r="AW343" s="1067"/>
      <c r="AX343" s="1067"/>
      <c r="AY343" s="1067"/>
      <c r="AZ343" s="1067"/>
      <c r="BA343" s="1067"/>
      <c r="BC343" s="1067"/>
      <c r="BE343" s="1067"/>
      <c r="BF343" s="1067"/>
      <c r="BG343" s="1067"/>
    </row>
    <row r="344" spans="18:59" x14ac:dyDescent="0.35">
      <c r="R344" s="1067"/>
      <c r="S344" s="1067"/>
      <c r="W344" s="1067"/>
      <c r="X344" s="1067"/>
      <c r="AE344" s="1067"/>
      <c r="AF344" s="1067"/>
      <c r="AV344" s="1067"/>
      <c r="AW344" s="1067"/>
      <c r="AX344" s="1067"/>
      <c r="AY344" s="1067"/>
      <c r="AZ344" s="1067"/>
      <c r="BA344" s="1067"/>
      <c r="BC344" s="1067"/>
      <c r="BE344" s="1067"/>
      <c r="BF344" s="1067"/>
      <c r="BG344" s="1067"/>
    </row>
    <row r="345" spans="18:59" x14ac:dyDescent="0.35">
      <c r="R345" s="1067"/>
      <c r="S345" s="1067"/>
      <c r="W345" s="1067"/>
      <c r="X345" s="1067"/>
      <c r="AE345" s="1067"/>
      <c r="AF345" s="1067"/>
      <c r="AV345" s="1067"/>
      <c r="AW345" s="1067"/>
      <c r="AX345" s="1067"/>
      <c r="AY345" s="1067"/>
      <c r="AZ345" s="1067"/>
      <c r="BA345" s="1067"/>
      <c r="BC345" s="1067"/>
      <c r="BE345" s="1067"/>
      <c r="BF345" s="1067"/>
      <c r="BG345" s="1067"/>
    </row>
    <row r="346" spans="18:59" x14ac:dyDescent="0.35">
      <c r="R346" s="1067"/>
      <c r="S346" s="1067"/>
      <c r="W346" s="1067"/>
      <c r="X346" s="1067"/>
      <c r="AE346" s="1067"/>
      <c r="AF346" s="1067"/>
      <c r="AV346" s="1067"/>
      <c r="AW346" s="1067"/>
      <c r="AX346" s="1067"/>
      <c r="AY346" s="1067"/>
      <c r="AZ346" s="1067"/>
      <c r="BA346" s="1067"/>
      <c r="BC346" s="1067"/>
      <c r="BE346" s="1067"/>
      <c r="BF346" s="1067"/>
      <c r="BG346" s="1067"/>
    </row>
    <row r="347" spans="18:59" x14ac:dyDescent="0.35">
      <c r="R347" s="1067"/>
      <c r="S347" s="1067"/>
      <c r="W347" s="1067"/>
      <c r="X347" s="1067"/>
      <c r="AE347" s="1067"/>
      <c r="AF347" s="1067"/>
      <c r="AV347" s="1067"/>
      <c r="AW347" s="1067"/>
      <c r="AX347" s="1067"/>
      <c r="AY347" s="1067"/>
      <c r="AZ347" s="1067"/>
      <c r="BA347" s="1067"/>
      <c r="BC347" s="1067"/>
      <c r="BE347" s="1067"/>
      <c r="BF347" s="1067"/>
      <c r="BG347" s="1067"/>
    </row>
    <row r="348" spans="18:59" x14ac:dyDescent="0.35">
      <c r="R348" s="1067"/>
      <c r="S348" s="1067"/>
      <c r="W348" s="1067"/>
      <c r="X348" s="1067"/>
      <c r="AE348" s="1067"/>
      <c r="AF348" s="1067"/>
      <c r="AV348" s="1067"/>
      <c r="AW348" s="1067"/>
      <c r="AX348" s="1067"/>
      <c r="AY348" s="1067"/>
      <c r="AZ348" s="1067"/>
      <c r="BA348" s="1067"/>
      <c r="BC348" s="1067"/>
      <c r="BE348" s="1067"/>
      <c r="BF348" s="1067"/>
      <c r="BG348" s="1067"/>
    </row>
    <row r="349" spans="18:59" x14ac:dyDescent="0.35">
      <c r="R349" s="1067"/>
      <c r="S349" s="1067"/>
      <c r="W349" s="1067"/>
      <c r="X349" s="1067"/>
      <c r="AE349" s="1067"/>
      <c r="AF349" s="1067"/>
      <c r="AV349" s="1067"/>
      <c r="AW349" s="1067"/>
      <c r="AX349" s="1067"/>
      <c r="AY349" s="1067"/>
      <c r="AZ349" s="1067"/>
      <c r="BA349" s="1067"/>
      <c r="BC349" s="1067"/>
      <c r="BE349" s="1067"/>
      <c r="BF349" s="1067"/>
      <c r="BG349" s="1067"/>
    </row>
    <row r="350" spans="18:59" x14ac:dyDescent="0.35">
      <c r="R350" s="1067"/>
      <c r="S350" s="1067"/>
      <c r="W350" s="1067"/>
      <c r="X350" s="1067"/>
      <c r="AE350" s="1067"/>
      <c r="AF350" s="1067"/>
      <c r="AV350" s="1067"/>
      <c r="AW350" s="1067"/>
      <c r="AX350" s="1067"/>
      <c r="AY350" s="1067"/>
      <c r="AZ350" s="1067"/>
      <c r="BA350" s="1067"/>
      <c r="BC350" s="1067"/>
      <c r="BE350" s="1067"/>
      <c r="BF350" s="1067"/>
      <c r="BG350" s="1067"/>
    </row>
    <row r="351" spans="18:59" x14ac:dyDescent="0.35">
      <c r="R351" s="1067"/>
      <c r="S351" s="1067"/>
      <c r="W351" s="1067"/>
      <c r="X351" s="1067"/>
      <c r="AE351" s="1067"/>
      <c r="AF351" s="1067"/>
      <c r="AV351" s="1067"/>
      <c r="AW351" s="1067"/>
      <c r="AX351" s="1067"/>
      <c r="AY351" s="1067"/>
      <c r="AZ351" s="1067"/>
      <c r="BA351" s="1067"/>
      <c r="BC351" s="1067"/>
      <c r="BE351" s="1067"/>
      <c r="BF351" s="1067"/>
      <c r="BG351" s="1067"/>
    </row>
    <row r="352" spans="18:59" x14ac:dyDescent="0.35">
      <c r="R352" s="1067"/>
      <c r="S352" s="1067"/>
      <c r="W352" s="1067"/>
      <c r="X352" s="1067"/>
      <c r="AE352" s="1067"/>
      <c r="AF352" s="1067"/>
      <c r="AV352" s="1067"/>
      <c r="AW352" s="1067"/>
      <c r="AX352" s="1067"/>
      <c r="AY352" s="1067"/>
      <c r="AZ352" s="1067"/>
      <c r="BA352" s="1067"/>
      <c r="BC352" s="1067"/>
      <c r="BE352" s="1067"/>
      <c r="BF352" s="1067"/>
      <c r="BG352" s="1067"/>
    </row>
    <row r="353" spans="18:59" x14ac:dyDescent="0.35">
      <c r="R353" s="1067"/>
      <c r="S353" s="1067"/>
      <c r="W353" s="1067"/>
      <c r="X353" s="1067"/>
      <c r="AE353" s="1067"/>
      <c r="AF353" s="1067"/>
      <c r="AV353" s="1067"/>
      <c r="AW353" s="1067"/>
      <c r="AX353" s="1067"/>
      <c r="AY353" s="1067"/>
      <c r="AZ353" s="1067"/>
      <c r="BA353" s="1067"/>
      <c r="BC353" s="1067"/>
      <c r="BE353" s="1067"/>
      <c r="BF353" s="1067"/>
      <c r="BG353" s="1067"/>
    </row>
    <row r="354" spans="18:59" x14ac:dyDescent="0.35">
      <c r="R354" s="1067"/>
      <c r="S354" s="1067"/>
      <c r="W354" s="1067"/>
      <c r="X354" s="1067"/>
      <c r="AE354" s="1067"/>
      <c r="AF354" s="1067"/>
      <c r="AV354" s="1067"/>
      <c r="AW354" s="1067"/>
      <c r="AX354" s="1067"/>
      <c r="AY354" s="1067"/>
      <c r="AZ354" s="1067"/>
      <c r="BA354" s="1067"/>
      <c r="BC354" s="1067"/>
      <c r="BE354" s="1067"/>
      <c r="BF354" s="1067"/>
      <c r="BG354" s="1067"/>
    </row>
    <row r="355" spans="18:59" x14ac:dyDescent="0.35">
      <c r="R355" s="1067"/>
      <c r="S355" s="1067"/>
      <c r="W355" s="1067"/>
      <c r="X355" s="1067"/>
      <c r="AE355" s="1067"/>
      <c r="AF355" s="1067"/>
      <c r="AV355" s="1067"/>
      <c r="AW355" s="1067"/>
      <c r="AX355" s="1067"/>
      <c r="AY355" s="1067"/>
      <c r="AZ355" s="1067"/>
      <c r="BA355" s="1067"/>
      <c r="BC355" s="1067"/>
      <c r="BE355" s="1067"/>
      <c r="BF355" s="1067"/>
      <c r="BG355" s="1067"/>
    </row>
    <row r="356" spans="18:59" x14ac:dyDescent="0.35">
      <c r="R356" s="1067"/>
      <c r="S356" s="1067"/>
      <c r="W356" s="1067"/>
      <c r="X356" s="1067"/>
      <c r="AE356" s="1067"/>
      <c r="AF356" s="1067"/>
      <c r="AV356" s="1067"/>
      <c r="AW356" s="1067"/>
      <c r="AX356" s="1067"/>
      <c r="AY356" s="1067"/>
      <c r="AZ356" s="1067"/>
      <c r="BA356" s="1067"/>
      <c r="BC356" s="1067"/>
      <c r="BE356" s="1067"/>
      <c r="BF356" s="1067"/>
      <c r="BG356" s="1067"/>
    </row>
    <row r="357" spans="18:59" x14ac:dyDescent="0.35">
      <c r="R357" s="1067"/>
      <c r="S357" s="1067"/>
      <c r="W357" s="1067"/>
      <c r="X357" s="1067"/>
      <c r="AE357" s="1067"/>
      <c r="AF357" s="1067"/>
      <c r="AV357" s="1067"/>
      <c r="AW357" s="1067"/>
      <c r="AX357" s="1067"/>
      <c r="AY357" s="1067"/>
      <c r="AZ357" s="1067"/>
      <c r="BA357" s="1067"/>
      <c r="BC357" s="1067"/>
      <c r="BE357" s="1067"/>
      <c r="BF357" s="1067"/>
      <c r="BG357" s="1067"/>
    </row>
    <row r="358" spans="18:59" x14ac:dyDescent="0.35">
      <c r="R358" s="1067"/>
      <c r="S358" s="1067"/>
      <c r="W358" s="1067"/>
      <c r="X358" s="1067"/>
      <c r="AE358" s="1067"/>
      <c r="AF358" s="1067"/>
      <c r="AV358" s="1067"/>
      <c r="AW358" s="1067"/>
      <c r="AX358" s="1067"/>
      <c r="AY358" s="1067"/>
      <c r="AZ358" s="1067"/>
      <c r="BA358" s="1067"/>
      <c r="BC358" s="1067"/>
      <c r="BE358" s="1067"/>
      <c r="BF358" s="1067"/>
      <c r="BG358" s="1067"/>
    </row>
    <row r="359" spans="18:59" x14ac:dyDescent="0.35">
      <c r="R359" s="1067"/>
      <c r="S359" s="1067"/>
      <c r="W359" s="1067"/>
      <c r="X359" s="1067"/>
      <c r="AE359" s="1067"/>
      <c r="AF359" s="1067"/>
      <c r="AV359" s="1067"/>
      <c r="AW359" s="1067"/>
      <c r="AX359" s="1067"/>
      <c r="AY359" s="1067"/>
      <c r="AZ359" s="1067"/>
      <c r="BA359" s="1067"/>
      <c r="BC359" s="1067"/>
      <c r="BE359" s="1067"/>
      <c r="BF359" s="1067"/>
      <c r="BG359" s="1067"/>
    </row>
    <row r="360" spans="18:59" x14ac:dyDescent="0.35">
      <c r="R360" s="1067"/>
      <c r="S360" s="1067"/>
      <c r="W360" s="1067"/>
      <c r="X360" s="1067"/>
      <c r="AE360" s="1067"/>
      <c r="AF360" s="1067"/>
      <c r="AV360" s="1067"/>
      <c r="AW360" s="1067"/>
      <c r="AX360" s="1067"/>
      <c r="AY360" s="1067"/>
      <c r="AZ360" s="1067"/>
      <c r="BA360" s="1067"/>
      <c r="BC360" s="1067"/>
      <c r="BE360" s="1067"/>
      <c r="BF360" s="1067"/>
      <c r="BG360" s="1067"/>
    </row>
    <row r="361" spans="18:59" x14ac:dyDescent="0.35">
      <c r="R361" s="1067"/>
      <c r="S361" s="1067"/>
      <c r="W361" s="1067"/>
      <c r="X361" s="1067"/>
      <c r="AE361" s="1067"/>
      <c r="AF361" s="1067"/>
      <c r="AV361" s="1067"/>
      <c r="AW361" s="1067"/>
      <c r="AX361" s="1067"/>
      <c r="AY361" s="1067"/>
      <c r="AZ361" s="1067"/>
      <c r="BA361" s="1067"/>
      <c r="BC361" s="1067"/>
      <c r="BE361" s="1067"/>
      <c r="BF361" s="1067"/>
      <c r="BG361" s="1067"/>
    </row>
    <row r="362" spans="18:59" x14ac:dyDescent="0.35">
      <c r="R362" s="1067"/>
      <c r="S362" s="1067"/>
      <c r="W362" s="1067"/>
      <c r="X362" s="1067"/>
      <c r="AE362" s="1067"/>
      <c r="AF362" s="1067"/>
      <c r="AV362" s="1067"/>
      <c r="AW362" s="1067"/>
      <c r="AX362" s="1067"/>
      <c r="AY362" s="1067"/>
      <c r="AZ362" s="1067"/>
      <c r="BA362" s="1067"/>
      <c r="BC362" s="1067"/>
      <c r="BE362" s="1067"/>
      <c r="BF362" s="1067"/>
      <c r="BG362" s="1067"/>
    </row>
    <row r="363" spans="18:59" x14ac:dyDescent="0.35">
      <c r="R363" s="1067"/>
      <c r="S363" s="1067"/>
      <c r="W363" s="1067"/>
      <c r="X363" s="1067"/>
      <c r="AE363" s="1067"/>
      <c r="AF363" s="1067"/>
      <c r="AV363" s="1067"/>
      <c r="AW363" s="1067"/>
      <c r="AX363" s="1067"/>
      <c r="AY363" s="1067"/>
      <c r="AZ363" s="1067"/>
      <c r="BA363" s="1067"/>
      <c r="BC363" s="1067"/>
      <c r="BE363" s="1067"/>
      <c r="BF363" s="1067"/>
      <c r="BG363" s="1067"/>
    </row>
    <row r="364" spans="18:59" x14ac:dyDescent="0.35">
      <c r="R364" s="1067"/>
      <c r="S364" s="1067"/>
      <c r="W364" s="1067"/>
      <c r="X364" s="1067"/>
      <c r="AE364" s="1067"/>
      <c r="AF364" s="1067"/>
      <c r="AV364" s="1067"/>
      <c r="AW364" s="1067"/>
      <c r="AX364" s="1067"/>
      <c r="AY364" s="1067"/>
      <c r="AZ364" s="1067"/>
      <c r="BA364" s="1067"/>
      <c r="BC364" s="1067"/>
      <c r="BE364" s="1067"/>
      <c r="BF364" s="1067"/>
      <c r="BG364" s="1067"/>
    </row>
    <row r="365" spans="18:59" x14ac:dyDescent="0.35">
      <c r="R365" s="1067"/>
      <c r="S365" s="1067"/>
      <c r="W365" s="1067"/>
      <c r="X365" s="1067"/>
      <c r="AE365" s="1067"/>
      <c r="AF365" s="1067"/>
      <c r="AV365" s="1067"/>
      <c r="AW365" s="1067"/>
      <c r="AX365" s="1067"/>
      <c r="AY365" s="1067"/>
      <c r="AZ365" s="1067"/>
      <c r="BA365" s="1067"/>
      <c r="BC365" s="1067"/>
      <c r="BE365" s="1067"/>
      <c r="BF365" s="1067"/>
      <c r="BG365" s="1067"/>
    </row>
    <row r="366" spans="18:59" x14ac:dyDescent="0.35">
      <c r="R366" s="1067"/>
      <c r="S366" s="1067"/>
      <c r="W366" s="1067"/>
      <c r="X366" s="1067"/>
      <c r="AE366" s="1067"/>
      <c r="AF366" s="1067"/>
      <c r="AV366" s="1067"/>
      <c r="AW366" s="1067"/>
      <c r="AX366" s="1067"/>
      <c r="AY366" s="1067"/>
      <c r="AZ366" s="1067"/>
      <c r="BA366" s="1067"/>
      <c r="BC366" s="1067"/>
      <c r="BE366" s="1067"/>
      <c r="BF366" s="1067"/>
      <c r="BG366" s="1067"/>
    </row>
    <row r="367" spans="18:59" x14ac:dyDescent="0.35">
      <c r="R367" s="1067"/>
      <c r="S367" s="1067"/>
      <c r="W367" s="1067"/>
      <c r="X367" s="1067"/>
      <c r="AE367" s="1067"/>
      <c r="AF367" s="1067"/>
      <c r="AV367" s="1067"/>
      <c r="AW367" s="1067"/>
      <c r="AX367" s="1067"/>
      <c r="AY367" s="1067"/>
      <c r="AZ367" s="1067"/>
      <c r="BA367" s="1067"/>
      <c r="BC367" s="1067"/>
      <c r="BE367" s="1067"/>
      <c r="BF367" s="1067"/>
      <c r="BG367" s="1067"/>
    </row>
    <row r="368" spans="18:59" x14ac:dyDescent="0.35">
      <c r="R368" s="1067"/>
      <c r="S368" s="1067"/>
      <c r="W368" s="1067"/>
      <c r="X368" s="1067"/>
      <c r="AE368" s="1067"/>
      <c r="AF368" s="1067"/>
      <c r="AV368" s="1067"/>
      <c r="AW368" s="1067"/>
      <c r="AX368" s="1067"/>
      <c r="AY368" s="1067"/>
      <c r="AZ368" s="1067"/>
      <c r="BA368" s="1067"/>
      <c r="BC368" s="1067"/>
      <c r="BE368" s="1067"/>
      <c r="BF368" s="1067"/>
      <c r="BG368" s="1067"/>
    </row>
    <row r="369" spans="18:59" x14ac:dyDescent="0.35">
      <c r="R369" s="1067"/>
      <c r="S369" s="1067"/>
      <c r="W369" s="1067"/>
      <c r="X369" s="1067"/>
      <c r="AE369" s="1067"/>
      <c r="AF369" s="1067"/>
      <c r="AV369" s="1067"/>
      <c r="AW369" s="1067"/>
      <c r="AX369" s="1067"/>
      <c r="AY369" s="1067"/>
      <c r="AZ369" s="1067"/>
      <c r="BA369" s="1067"/>
      <c r="BC369" s="1067"/>
      <c r="BE369" s="1067"/>
      <c r="BF369" s="1067"/>
      <c r="BG369" s="1067"/>
    </row>
    <row r="370" spans="18:59" x14ac:dyDescent="0.35">
      <c r="R370" s="1067"/>
      <c r="S370" s="1067"/>
      <c r="W370" s="1067"/>
      <c r="X370" s="1067"/>
      <c r="AE370" s="1067"/>
      <c r="AF370" s="1067"/>
      <c r="AV370" s="1067"/>
      <c r="AW370" s="1067"/>
      <c r="AX370" s="1067"/>
      <c r="AY370" s="1067"/>
      <c r="AZ370" s="1067"/>
      <c r="BA370" s="1067"/>
      <c r="BC370" s="1067"/>
      <c r="BE370" s="1067"/>
      <c r="BF370" s="1067"/>
      <c r="BG370" s="1067"/>
    </row>
    <row r="371" spans="18:59" x14ac:dyDescent="0.35">
      <c r="R371" s="1067"/>
      <c r="S371" s="1067"/>
      <c r="W371" s="1067"/>
      <c r="X371" s="1067"/>
      <c r="AE371" s="1067"/>
      <c r="AF371" s="1067"/>
      <c r="AV371" s="1067"/>
      <c r="AW371" s="1067"/>
      <c r="AX371" s="1067"/>
      <c r="AY371" s="1067"/>
      <c r="AZ371" s="1067"/>
      <c r="BA371" s="1067"/>
      <c r="BC371" s="1067"/>
      <c r="BE371" s="1067"/>
      <c r="BF371" s="1067"/>
      <c r="BG371" s="1067"/>
    </row>
    <row r="372" spans="18:59" x14ac:dyDescent="0.35">
      <c r="R372" s="1067"/>
      <c r="S372" s="1067"/>
      <c r="W372" s="1067"/>
      <c r="X372" s="1067"/>
      <c r="AE372" s="1067"/>
      <c r="AF372" s="1067"/>
      <c r="AV372" s="1067"/>
      <c r="AW372" s="1067"/>
      <c r="AX372" s="1067"/>
      <c r="AY372" s="1067"/>
      <c r="AZ372" s="1067"/>
      <c r="BA372" s="1067"/>
      <c r="BC372" s="1067"/>
      <c r="BE372" s="1067"/>
      <c r="BF372" s="1067"/>
      <c r="BG372" s="1067"/>
    </row>
    <row r="373" spans="18:59" x14ac:dyDescent="0.35">
      <c r="R373" s="1067"/>
      <c r="S373" s="1067"/>
      <c r="W373" s="1067"/>
      <c r="X373" s="1067"/>
      <c r="AE373" s="1067"/>
      <c r="AF373" s="1067"/>
      <c r="AV373" s="1067"/>
      <c r="AW373" s="1067"/>
      <c r="AX373" s="1067"/>
      <c r="AY373" s="1067"/>
      <c r="AZ373" s="1067"/>
      <c r="BA373" s="1067"/>
      <c r="BC373" s="1067"/>
      <c r="BE373" s="1067"/>
      <c r="BF373" s="1067"/>
      <c r="BG373" s="1067"/>
    </row>
    <row r="374" spans="18:59" x14ac:dyDescent="0.35">
      <c r="R374" s="1067"/>
      <c r="S374" s="1067"/>
      <c r="W374" s="1067"/>
      <c r="X374" s="1067"/>
      <c r="AE374" s="1067"/>
      <c r="AF374" s="1067"/>
      <c r="AV374" s="1067"/>
      <c r="AW374" s="1067"/>
      <c r="AX374" s="1067"/>
      <c r="AY374" s="1067"/>
      <c r="AZ374" s="1067"/>
      <c r="BA374" s="1067"/>
      <c r="BC374" s="1067"/>
      <c r="BE374" s="1067"/>
      <c r="BF374" s="1067"/>
      <c r="BG374" s="1067"/>
    </row>
    <row r="375" spans="18:59" x14ac:dyDescent="0.35">
      <c r="R375" s="1067"/>
      <c r="S375" s="1067"/>
      <c r="W375" s="1067"/>
      <c r="X375" s="1067"/>
      <c r="AE375" s="1067"/>
      <c r="AF375" s="1067"/>
      <c r="AV375" s="1067"/>
      <c r="AW375" s="1067"/>
      <c r="AX375" s="1067"/>
      <c r="AY375" s="1067"/>
      <c r="AZ375" s="1067"/>
      <c r="BA375" s="1067"/>
      <c r="BC375" s="1067"/>
      <c r="BE375" s="1067"/>
      <c r="BF375" s="1067"/>
      <c r="BG375" s="1067"/>
    </row>
    <row r="376" spans="18:59" x14ac:dyDescent="0.35">
      <c r="R376" s="1067"/>
      <c r="S376" s="1067"/>
      <c r="W376" s="1067"/>
      <c r="X376" s="1067"/>
      <c r="AE376" s="1067"/>
      <c r="AF376" s="1067"/>
      <c r="AV376" s="1067"/>
      <c r="AW376" s="1067"/>
      <c r="AX376" s="1067"/>
      <c r="AY376" s="1067"/>
      <c r="AZ376" s="1067"/>
      <c r="BA376" s="1067"/>
      <c r="BC376" s="1067"/>
      <c r="BE376" s="1067"/>
      <c r="BF376" s="1067"/>
      <c r="BG376" s="1067"/>
    </row>
    <row r="377" spans="18:59" x14ac:dyDescent="0.35">
      <c r="R377" s="1067"/>
      <c r="S377" s="1067"/>
      <c r="W377" s="1067"/>
      <c r="X377" s="1067"/>
      <c r="AE377" s="1067"/>
      <c r="AF377" s="1067"/>
      <c r="AV377" s="1067"/>
      <c r="AW377" s="1067"/>
      <c r="AX377" s="1067"/>
      <c r="AY377" s="1067"/>
      <c r="AZ377" s="1067"/>
      <c r="BA377" s="1067"/>
      <c r="BC377" s="1067"/>
      <c r="BE377" s="1067"/>
      <c r="BF377" s="1067"/>
      <c r="BG377" s="1067"/>
    </row>
    <row r="378" spans="18:59" x14ac:dyDescent="0.35">
      <c r="R378" s="1067"/>
      <c r="S378" s="1067"/>
      <c r="W378" s="1067"/>
      <c r="X378" s="1067"/>
      <c r="AE378" s="1067"/>
      <c r="AF378" s="1067"/>
      <c r="AV378" s="1067"/>
      <c r="AW378" s="1067"/>
      <c r="AX378" s="1067"/>
      <c r="AY378" s="1067"/>
      <c r="AZ378" s="1067"/>
      <c r="BA378" s="1067"/>
      <c r="BC378" s="1067"/>
      <c r="BE378" s="1067"/>
      <c r="BF378" s="1067"/>
      <c r="BG378" s="1067"/>
    </row>
    <row r="379" spans="18:59" x14ac:dyDescent="0.35">
      <c r="R379" s="1067"/>
      <c r="S379" s="1067"/>
      <c r="W379" s="1067"/>
      <c r="X379" s="1067"/>
      <c r="AE379" s="1067"/>
      <c r="AF379" s="1067"/>
      <c r="AV379" s="1067"/>
      <c r="AW379" s="1067"/>
      <c r="AX379" s="1067"/>
      <c r="AY379" s="1067"/>
      <c r="AZ379" s="1067"/>
      <c r="BA379" s="1067"/>
      <c r="BC379" s="1067"/>
      <c r="BE379" s="1067"/>
      <c r="BF379" s="1067"/>
      <c r="BG379" s="1067"/>
    </row>
    <row r="380" spans="18:59" x14ac:dyDescent="0.35">
      <c r="R380" s="1067"/>
      <c r="S380" s="1067"/>
      <c r="W380" s="1067"/>
      <c r="X380" s="1067"/>
      <c r="AE380" s="1067"/>
      <c r="AF380" s="1067"/>
      <c r="AV380" s="1067"/>
      <c r="AW380" s="1067"/>
      <c r="AX380" s="1067"/>
      <c r="AY380" s="1067"/>
      <c r="AZ380" s="1067"/>
      <c r="BA380" s="1067"/>
      <c r="BC380" s="1067"/>
      <c r="BE380" s="1067"/>
      <c r="BF380" s="1067"/>
      <c r="BG380" s="1067"/>
    </row>
    <row r="381" spans="18:59" x14ac:dyDescent="0.35">
      <c r="R381" s="1067"/>
      <c r="S381" s="1067"/>
      <c r="W381" s="1067"/>
      <c r="X381" s="1067"/>
      <c r="AE381" s="1067"/>
      <c r="AF381" s="1067"/>
      <c r="AV381" s="1067"/>
      <c r="AW381" s="1067"/>
      <c r="AX381" s="1067"/>
      <c r="AY381" s="1067"/>
      <c r="AZ381" s="1067"/>
      <c r="BA381" s="1067"/>
      <c r="BC381" s="1067"/>
      <c r="BE381" s="1067"/>
      <c r="BF381" s="1067"/>
      <c r="BG381" s="1067"/>
    </row>
    <row r="382" spans="18:59" x14ac:dyDescent="0.35">
      <c r="R382" s="1067"/>
      <c r="S382" s="1067"/>
      <c r="W382" s="1067"/>
      <c r="X382" s="1067"/>
      <c r="AE382" s="1067"/>
      <c r="AF382" s="1067"/>
      <c r="AV382" s="1067"/>
      <c r="AW382" s="1067"/>
      <c r="AX382" s="1067"/>
      <c r="AY382" s="1067"/>
      <c r="AZ382" s="1067"/>
      <c r="BA382" s="1067"/>
      <c r="BC382" s="1067"/>
      <c r="BE382" s="1067"/>
      <c r="BF382" s="1067"/>
      <c r="BG382" s="1067"/>
    </row>
    <row r="383" spans="18:59" x14ac:dyDescent="0.35">
      <c r="R383" s="1067"/>
      <c r="S383" s="1067"/>
      <c r="W383" s="1067"/>
      <c r="X383" s="1067"/>
      <c r="AE383" s="1067"/>
      <c r="AF383" s="1067"/>
      <c r="AV383" s="1067"/>
      <c r="AW383" s="1067"/>
      <c r="AX383" s="1067"/>
      <c r="AY383" s="1067"/>
      <c r="AZ383" s="1067"/>
      <c r="BA383" s="1067"/>
      <c r="BC383" s="1067"/>
      <c r="BE383" s="1067"/>
      <c r="BF383" s="1067"/>
      <c r="BG383" s="1067"/>
    </row>
    <row r="384" spans="18:59" x14ac:dyDescent="0.35">
      <c r="R384" s="1067"/>
      <c r="S384" s="1067"/>
      <c r="W384" s="1067"/>
      <c r="X384" s="1067"/>
      <c r="AE384" s="1067"/>
      <c r="AF384" s="1067"/>
      <c r="AV384" s="1067"/>
      <c r="AW384" s="1067"/>
      <c r="AX384" s="1067"/>
      <c r="AY384" s="1067"/>
      <c r="AZ384" s="1067"/>
      <c r="BA384" s="1067"/>
      <c r="BC384" s="1067"/>
      <c r="BE384" s="1067"/>
      <c r="BF384" s="1067"/>
      <c r="BG384" s="1067"/>
    </row>
    <row r="385" spans="18:59" x14ac:dyDescent="0.35">
      <c r="R385" s="1067"/>
      <c r="S385" s="1067"/>
      <c r="W385" s="1067"/>
      <c r="X385" s="1067"/>
      <c r="AE385" s="1067"/>
      <c r="AF385" s="1067"/>
      <c r="AV385" s="1067"/>
      <c r="AW385" s="1067"/>
      <c r="AX385" s="1067"/>
      <c r="AY385" s="1067"/>
      <c r="AZ385" s="1067"/>
      <c r="BA385" s="1067"/>
      <c r="BC385" s="1067"/>
      <c r="BE385" s="1067"/>
      <c r="BF385" s="1067"/>
      <c r="BG385" s="1067"/>
    </row>
    <row r="386" spans="18:59" x14ac:dyDescent="0.35">
      <c r="R386" s="1067"/>
      <c r="S386" s="1067"/>
      <c r="W386" s="1067"/>
      <c r="X386" s="1067"/>
      <c r="AE386" s="1067"/>
      <c r="AF386" s="1067"/>
      <c r="AV386" s="1067"/>
      <c r="AW386" s="1067"/>
      <c r="AX386" s="1067"/>
      <c r="AY386" s="1067"/>
      <c r="AZ386" s="1067"/>
      <c r="BA386" s="1067"/>
      <c r="BC386" s="1067"/>
      <c r="BE386" s="1067"/>
      <c r="BF386" s="1067"/>
      <c r="BG386" s="1067"/>
    </row>
    <row r="387" spans="18:59" x14ac:dyDescent="0.35">
      <c r="R387" s="1067"/>
      <c r="S387" s="1067"/>
      <c r="W387" s="1067"/>
      <c r="X387" s="1067"/>
      <c r="AE387" s="1067"/>
      <c r="AF387" s="1067"/>
      <c r="AV387" s="1067"/>
      <c r="AW387" s="1067"/>
      <c r="AX387" s="1067"/>
      <c r="AY387" s="1067"/>
      <c r="AZ387" s="1067"/>
      <c r="BA387" s="1067"/>
      <c r="BC387" s="1067"/>
      <c r="BE387" s="1067"/>
      <c r="BF387" s="1067"/>
      <c r="BG387" s="1067"/>
    </row>
    <row r="388" spans="18:59" x14ac:dyDescent="0.35">
      <c r="R388" s="1067"/>
      <c r="S388" s="1067"/>
      <c r="W388" s="1067"/>
      <c r="X388" s="1067"/>
      <c r="AE388" s="1067"/>
      <c r="AF388" s="1067"/>
      <c r="AV388" s="1067"/>
      <c r="AW388" s="1067"/>
      <c r="AX388" s="1067"/>
      <c r="AY388" s="1067"/>
      <c r="AZ388" s="1067"/>
      <c r="BA388" s="1067"/>
      <c r="BC388" s="1067"/>
      <c r="BE388" s="1067"/>
      <c r="BF388" s="1067"/>
      <c r="BG388" s="1067"/>
    </row>
    <row r="389" spans="18:59" x14ac:dyDescent="0.35">
      <c r="R389" s="1067"/>
      <c r="S389" s="1067"/>
      <c r="W389" s="1067"/>
      <c r="X389" s="1067"/>
      <c r="AE389" s="1067"/>
      <c r="AF389" s="1067"/>
      <c r="AV389" s="1067"/>
      <c r="AW389" s="1067"/>
      <c r="AX389" s="1067"/>
      <c r="AY389" s="1067"/>
      <c r="AZ389" s="1067"/>
      <c r="BA389" s="1067"/>
      <c r="BC389" s="1067"/>
      <c r="BE389" s="1067"/>
      <c r="BF389" s="1067"/>
      <c r="BG389" s="1067"/>
    </row>
    <row r="390" spans="18:59" x14ac:dyDescent="0.35">
      <c r="R390" s="1067"/>
      <c r="S390" s="1067"/>
      <c r="W390" s="1067"/>
      <c r="X390" s="1067"/>
      <c r="AE390" s="1067"/>
      <c r="AF390" s="1067"/>
      <c r="AV390" s="1067"/>
      <c r="AW390" s="1067"/>
      <c r="AX390" s="1067"/>
      <c r="AY390" s="1067"/>
      <c r="AZ390" s="1067"/>
      <c r="BA390" s="1067"/>
      <c r="BC390" s="1067"/>
      <c r="BE390" s="1067"/>
      <c r="BF390" s="1067"/>
      <c r="BG390" s="1067"/>
    </row>
    <row r="391" spans="18:59" x14ac:dyDescent="0.35">
      <c r="R391" s="1067"/>
      <c r="S391" s="1067"/>
      <c r="W391" s="1067"/>
      <c r="X391" s="1067"/>
      <c r="AE391" s="1067"/>
      <c r="AF391" s="1067"/>
      <c r="AV391" s="1067"/>
      <c r="AW391" s="1067"/>
      <c r="AX391" s="1067"/>
      <c r="AY391" s="1067"/>
      <c r="AZ391" s="1067"/>
      <c r="BA391" s="1067"/>
      <c r="BC391" s="1067"/>
      <c r="BE391" s="1067"/>
      <c r="BF391" s="1067"/>
      <c r="BG391" s="1067"/>
    </row>
    <row r="392" spans="18:59" x14ac:dyDescent="0.35">
      <c r="R392" s="1067"/>
      <c r="S392" s="1067"/>
      <c r="W392" s="1067"/>
      <c r="X392" s="1067"/>
      <c r="AE392" s="1067"/>
      <c r="AF392" s="1067"/>
      <c r="AV392" s="1067"/>
      <c r="AW392" s="1067"/>
      <c r="AX392" s="1067"/>
      <c r="AY392" s="1067"/>
      <c r="AZ392" s="1067"/>
      <c r="BA392" s="1067"/>
      <c r="BC392" s="1067"/>
      <c r="BE392" s="1067"/>
      <c r="BF392" s="1067"/>
      <c r="BG392" s="1067"/>
    </row>
    <row r="393" spans="18:59" x14ac:dyDescent="0.35">
      <c r="R393" s="1067"/>
      <c r="S393" s="1067"/>
      <c r="W393" s="1067"/>
      <c r="X393" s="1067"/>
      <c r="AE393" s="1067"/>
      <c r="AF393" s="1067"/>
      <c r="AV393" s="1067"/>
      <c r="AW393" s="1067"/>
      <c r="AX393" s="1067"/>
      <c r="AY393" s="1067"/>
      <c r="AZ393" s="1067"/>
      <c r="BA393" s="1067"/>
      <c r="BC393" s="1067"/>
      <c r="BE393" s="1067"/>
      <c r="BF393" s="1067"/>
      <c r="BG393" s="1067"/>
    </row>
    <row r="394" spans="18:59" x14ac:dyDescent="0.35">
      <c r="R394" s="1067"/>
      <c r="S394" s="1067"/>
      <c r="W394" s="1067"/>
      <c r="X394" s="1067"/>
      <c r="AE394" s="1067"/>
      <c r="AF394" s="1067"/>
      <c r="AV394" s="1067"/>
      <c r="AW394" s="1067"/>
      <c r="AX394" s="1067"/>
      <c r="AY394" s="1067"/>
      <c r="AZ394" s="1067"/>
      <c r="BA394" s="1067"/>
      <c r="BC394" s="1067"/>
      <c r="BE394" s="1067"/>
      <c r="BF394" s="1067"/>
      <c r="BG394" s="1067"/>
    </row>
    <row r="395" spans="18:59" x14ac:dyDescent="0.35">
      <c r="R395" s="1067"/>
      <c r="S395" s="1067"/>
      <c r="W395" s="1067"/>
      <c r="X395" s="1067"/>
      <c r="AE395" s="1067"/>
      <c r="AF395" s="1067"/>
      <c r="AV395" s="1067"/>
      <c r="AW395" s="1067"/>
      <c r="AX395" s="1067"/>
      <c r="AY395" s="1067"/>
      <c r="AZ395" s="1067"/>
      <c r="BA395" s="1067"/>
      <c r="BC395" s="1067"/>
      <c r="BE395" s="1067"/>
      <c r="BF395" s="1067"/>
      <c r="BG395" s="1067"/>
    </row>
    <row r="396" spans="18:59" x14ac:dyDescent="0.35">
      <c r="R396" s="1067"/>
      <c r="S396" s="1067"/>
      <c r="W396" s="1067"/>
      <c r="X396" s="1067"/>
      <c r="AE396" s="1067"/>
      <c r="AF396" s="1067"/>
      <c r="AV396" s="1067"/>
      <c r="AW396" s="1067"/>
      <c r="AX396" s="1067"/>
      <c r="AY396" s="1067"/>
      <c r="AZ396" s="1067"/>
      <c r="BA396" s="1067"/>
      <c r="BC396" s="1067"/>
      <c r="BE396" s="1067"/>
      <c r="BF396" s="1067"/>
      <c r="BG396" s="1067"/>
    </row>
    <row r="397" spans="18:59" x14ac:dyDescent="0.35">
      <c r="R397" s="1067"/>
      <c r="S397" s="1067"/>
      <c r="W397" s="1067"/>
      <c r="X397" s="1067"/>
      <c r="AE397" s="1067"/>
      <c r="AF397" s="1067"/>
      <c r="AV397" s="1067"/>
      <c r="AW397" s="1067"/>
      <c r="AX397" s="1067"/>
      <c r="AY397" s="1067"/>
      <c r="AZ397" s="1067"/>
      <c r="BA397" s="1067"/>
      <c r="BC397" s="1067"/>
      <c r="BE397" s="1067"/>
      <c r="BF397" s="1067"/>
      <c r="BG397" s="1067"/>
    </row>
    <row r="398" spans="18:59" x14ac:dyDescent="0.35">
      <c r="R398" s="1067"/>
      <c r="S398" s="1067"/>
      <c r="W398" s="1067"/>
      <c r="X398" s="1067"/>
      <c r="AE398" s="1067"/>
      <c r="AF398" s="1067"/>
      <c r="AV398" s="1067"/>
      <c r="AW398" s="1067"/>
      <c r="AX398" s="1067"/>
      <c r="AY398" s="1067"/>
      <c r="AZ398" s="1067"/>
      <c r="BA398" s="1067"/>
      <c r="BC398" s="1067"/>
      <c r="BE398" s="1067"/>
      <c r="BF398" s="1067"/>
      <c r="BG398" s="1067"/>
    </row>
    <row r="399" spans="18:59" x14ac:dyDescent="0.35">
      <c r="R399" s="1067"/>
      <c r="S399" s="1067"/>
      <c r="W399" s="1067"/>
      <c r="X399" s="1067"/>
      <c r="AE399" s="1067"/>
      <c r="AF399" s="1067"/>
      <c r="AV399" s="1067"/>
      <c r="AW399" s="1067"/>
      <c r="AX399" s="1067"/>
      <c r="AY399" s="1067"/>
      <c r="AZ399" s="1067"/>
      <c r="BA399" s="1067"/>
      <c r="BC399" s="1067"/>
      <c r="BE399" s="1067"/>
      <c r="BF399" s="1067"/>
      <c r="BG399" s="1067"/>
    </row>
    <row r="400" spans="18:59" x14ac:dyDescent="0.35">
      <c r="R400" s="1067"/>
      <c r="S400" s="1067"/>
      <c r="W400" s="1067"/>
      <c r="X400" s="1067"/>
      <c r="AE400" s="1067"/>
      <c r="AF400" s="1067"/>
      <c r="AV400" s="1067"/>
      <c r="AW400" s="1067"/>
      <c r="AX400" s="1067"/>
      <c r="AY400" s="1067"/>
      <c r="AZ400" s="1067"/>
      <c r="BA400" s="1067"/>
      <c r="BC400" s="1067"/>
      <c r="BE400" s="1067"/>
      <c r="BF400" s="1067"/>
      <c r="BG400" s="1067"/>
    </row>
    <row r="401" spans="18:59" x14ac:dyDescent="0.35">
      <c r="R401" s="1067"/>
      <c r="S401" s="1067"/>
      <c r="W401" s="1067"/>
      <c r="X401" s="1067"/>
      <c r="AE401" s="1067"/>
      <c r="AF401" s="1067"/>
      <c r="AV401" s="1067"/>
      <c r="AW401" s="1067"/>
      <c r="AX401" s="1067"/>
      <c r="AY401" s="1067"/>
      <c r="AZ401" s="1067"/>
      <c r="BA401" s="1067"/>
      <c r="BC401" s="1067"/>
      <c r="BE401" s="1067"/>
      <c r="BF401" s="1067"/>
      <c r="BG401" s="1067"/>
    </row>
    <row r="402" spans="18:59" x14ac:dyDescent="0.35">
      <c r="R402" s="1067"/>
      <c r="S402" s="1067"/>
      <c r="W402" s="1067"/>
      <c r="X402" s="1067"/>
      <c r="AE402" s="1067"/>
      <c r="AF402" s="1067"/>
      <c r="AV402" s="1067"/>
      <c r="AW402" s="1067"/>
      <c r="AX402" s="1067"/>
      <c r="AY402" s="1067"/>
      <c r="AZ402" s="1067"/>
      <c r="BA402" s="1067"/>
      <c r="BC402" s="1067"/>
      <c r="BE402" s="1067"/>
      <c r="BF402" s="1067"/>
      <c r="BG402" s="1067"/>
    </row>
    <row r="403" spans="18:59" x14ac:dyDescent="0.35">
      <c r="R403" s="1067"/>
      <c r="S403" s="1067"/>
      <c r="W403" s="1067"/>
      <c r="X403" s="1067"/>
      <c r="AE403" s="1067"/>
      <c r="AF403" s="1067"/>
      <c r="AV403" s="1067"/>
      <c r="AW403" s="1067"/>
      <c r="AX403" s="1067"/>
      <c r="AY403" s="1067"/>
      <c r="AZ403" s="1067"/>
      <c r="BA403" s="1067"/>
      <c r="BC403" s="1067"/>
      <c r="BE403" s="1067"/>
      <c r="BF403" s="1067"/>
      <c r="BG403" s="1067"/>
    </row>
    <row r="404" spans="18:59" x14ac:dyDescent="0.35">
      <c r="R404" s="1067"/>
      <c r="S404" s="1067"/>
      <c r="W404" s="1067"/>
      <c r="X404" s="1067"/>
      <c r="AE404" s="1067"/>
      <c r="AF404" s="1067"/>
      <c r="AV404" s="1067"/>
      <c r="AW404" s="1067"/>
      <c r="AX404" s="1067"/>
      <c r="AY404" s="1067"/>
      <c r="AZ404" s="1067"/>
      <c r="BA404" s="1067"/>
      <c r="BC404" s="1067"/>
      <c r="BE404" s="1067"/>
      <c r="BF404" s="1067"/>
      <c r="BG404" s="1067"/>
    </row>
    <row r="405" spans="18:59" x14ac:dyDescent="0.35">
      <c r="R405" s="1067"/>
      <c r="S405" s="1067"/>
      <c r="W405" s="1067"/>
      <c r="X405" s="1067"/>
      <c r="AE405" s="1067"/>
      <c r="AF405" s="1067"/>
      <c r="AV405" s="1067"/>
      <c r="AW405" s="1067"/>
      <c r="AX405" s="1067"/>
      <c r="AY405" s="1067"/>
      <c r="AZ405" s="1067"/>
      <c r="BA405" s="1067"/>
      <c r="BC405" s="1067"/>
      <c r="BE405" s="1067"/>
      <c r="BF405" s="1067"/>
      <c r="BG405" s="1067"/>
    </row>
    <row r="406" spans="18:59" x14ac:dyDescent="0.35">
      <c r="R406" s="1067"/>
      <c r="S406" s="1067"/>
      <c r="W406" s="1067"/>
      <c r="X406" s="1067"/>
      <c r="AE406" s="1067"/>
      <c r="AF406" s="1067"/>
      <c r="AV406" s="1067"/>
      <c r="AW406" s="1067"/>
      <c r="AX406" s="1067"/>
      <c r="AY406" s="1067"/>
      <c r="AZ406" s="1067"/>
      <c r="BA406" s="1067"/>
      <c r="BC406" s="1067"/>
      <c r="BE406" s="1067"/>
      <c r="BF406" s="1067"/>
      <c r="BG406" s="1067"/>
    </row>
    <row r="407" spans="18:59" x14ac:dyDescent="0.35">
      <c r="R407" s="1067"/>
      <c r="S407" s="1067"/>
      <c r="W407" s="1067"/>
      <c r="X407" s="1067"/>
      <c r="AE407" s="1067"/>
      <c r="AF407" s="1067"/>
      <c r="AV407" s="1067"/>
      <c r="AW407" s="1067"/>
      <c r="AX407" s="1067"/>
      <c r="AY407" s="1067"/>
      <c r="AZ407" s="1067"/>
      <c r="BA407" s="1067"/>
      <c r="BC407" s="1067"/>
      <c r="BE407" s="1067"/>
      <c r="BF407" s="1067"/>
      <c r="BG407" s="1067"/>
    </row>
    <row r="408" spans="18:59" x14ac:dyDescent="0.35">
      <c r="R408" s="1067"/>
      <c r="S408" s="1067"/>
      <c r="W408" s="1067"/>
      <c r="X408" s="1067"/>
      <c r="AE408" s="1067"/>
      <c r="AF408" s="1067"/>
      <c r="AV408" s="1067"/>
      <c r="AW408" s="1067"/>
      <c r="AX408" s="1067"/>
      <c r="AY408" s="1067"/>
      <c r="AZ408" s="1067"/>
      <c r="BA408" s="1067"/>
      <c r="BC408" s="1067"/>
      <c r="BE408" s="1067"/>
      <c r="BF408" s="1067"/>
      <c r="BG408" s="1067"/>
    </row>
    <row r="409" spans="18:59" x14ac:dyDescent="0.35">
      <c r="R409" s="1067"/>
      <c r="S409" s="1067"/>
      <c r="W409" s="1067"/>
      <c r="X409" s="1067"/>
      <c r="AE409" s="1067"/>
      <c r="AF409" s="1067"/>
      <c r="AV409" s="1067"/>
      <c r="AW409" s="1067"/>
      <c r="AX409" s="1067"/>
      <c r="AY409" s="1067"/>
      <c r="AZ409" s="1067"/>
      <c r="BA409" s="1067"/>
      <c r="BC409" s="1067"/>
      <c r="BE409" s="1067"/>
      <c r="BF409" s="1067"/>
      <c r="BG409" s="1067"/>
    </row>
    <row r="410" spans="18:59" x14ac:dyDescent="0.35">
      <c r="R410" s="1067"/>
      <c r="S410" s="1067"/>
      <c r="W410" s="1067"/>
      <c r="X410" s="1067"/>
      <c r="AE410" s="1067"/>
      <c r="AF410" s="1067"/>
      <c r="AV410" s="1067"/>
      <c r="AW410" s="1067"/>
      <c r="AX410" s="1067"/>
      <c r="AY410" s="1067"/>
      <c r="AZ410" s="1067"/>
      <c r="BA410" s="1067"/>
      <c r="BC410" s="1067"/>
      <c r="BE410" s="1067"/>
      <c r="BF410" s="1067"/>
      <c r="BG410" s="1067"/>
    </row>
    <row r="411" spans="18:59" x14ac:dyDescent="0.35">
      <c r="R411" s="1067"/>
      <c r="S411" s="1067"/>
      <c r="W411" s="1067"/>
      <c r="X411" s="1067"/>
      <c r="AE411" s="1067"/>
      <c r="AF411" s="1067"/>
      <c r="AV411" s="1067"/>
      <c r="AW411" s="1067"/>
      <c r="AX411" s="1067"/>
      <c r="AY411" s="1067"/>
      <c r="AZ411" s="1067"/>
      <c r="BA411" s="1067"/>
      <c r="BC411" s="1067"/>
      <c r="BE411" s="1067"/>
      <c r="BF411" s="1067"/>
      <c r="BG411" s="1067"/>
    </row>
    <row r="412" spans="18:59" x14ac:dyDescent="0.35">
      <c r="R412" s="1067"/>
      <c r="S412" s="1067"/>
      <c r="W412" s="1067"/>
      <c r="X412" s="1067"/>
      <c r="AE412" s="1067"/>
      <c r="AF412" s="1067"/>
      <c r="AV412" s="1067"/>
      <c r="AW412" s="1067"/>
      <c r="AX412" s="1067"/>
      <c r="AY412" s="1067"/>
      <c r="AZ412" s="1067"/>
      <c r="BA412" s="1067"/>
      <c r="BC412" s="1067"/>
      <c r="BE412" s="1067"/>
      <c r="BF412" s="1067"/>
      <c r="BG412" s="1067"/>
    </row>
    <row r="413" spans="18:59" x14ac:dyDescent="0.35">
      <c r="R413" s="1067"/>
      <c r="S413" s="1067"/>
      <c r="W413" s="1067"/>
      <c r="X413" s="1067"/>
      <c r="AE413" s="1067"/>
      <c r="AF413" s="1067"/>
      <c r="AV413" s="1067"/>
      <c r="AW413" s="1067"/>
      <c r="AX413" s="1067"/>
      <c r="AY413" s="1067"/>
      <c r="AZ413" s="1067"/>
      <c r="BA413" s="1067"/>
      <c r="BC413" s="1067"/>
      <c r="BE413" s="1067"/>
      <c r="BF413" s="1067"/>
      <c r="BG413" s="1067"/>
    </row>
    <row r="414" spans="18:59" x14ac:dyDescent="0.35">
      <c r="R414" s="1067"/>
      <c r="S414" s="1067"/>
      <c r="W414" s="1067"/>
      <c r="X414" s="1067"/>
      <c r="AE414" s="1067"/>
      <c r="AF414" s="1067"/>
      <c r="AV414" s="1067"/>
      <c r="AW414" s="1067"/>
      <c r="AX414" s="1067"/>
      <c r="AY414" s="1067"/>
      <c r="AZ414" s="1067"/>
      <c r="BA414" s="1067"/>
      <c r="BC414" s="1067"/>
      <c r="BE414" s="1067"/>
      <c r="BF414" s="1067"/>
      <c r="BG414" s="1067"/>
    </row>
    <row r="415" spans="18:59" x14ac:dyDescent="0.35">
      <c r="R415" s="1067"/>
      <c r="S415" s="1067"/>
      <c r="W415" s="1067"/>
      <c r="X415" s="1067"/>
      <c r="AE415" s="1067"/>
      <c r="AF415" s="1067"/>
      <c r="AV415" s="1067"/>
      <c r="AW415" s="1067"/>
      <c r="AX415" s="1067"/>
      <c r="AY415" s="1067"/>
      <c r="AZ415" s="1067"/>
      <c r="BA415" s="1067"/>
      <c r="BC415" s="1067"/>
      <c r="BE415" s="1067"/>
      <c r="BF415" s="1067"/>
      <c r="BG415" s="1067"/>
    </row>
    <row r="416" spans="18:59" x14ac:dyDescent="0.35">
      <c r="R416" s="1067"/>
      <c r="S416" s="1067"/>
      <c r="W416" s="1067"/>
      <c r="X416" s="1067"/>
      <c r="AE416" s="1067"/>
      <c r="AF416" s="1067"/>
      <c r="AV416" s="1067"/>
      <c r="AW416" s="1067"/>
      <c r="AX416" s="1067"/>
      <c r="AY416" s="1067"/>
      <c r="AZ416" s="1067"/>
      <c r="BA416" s="1067"/>
      <c r="BC416" s="1067"/>
      <c r="BE416" s="1067"/>
      <c r="BF416" s="1067"/>
      <c r="BG416" s="1067"/>
    </row>
    <row r="417" spans="18:59" x14ac:dyDescent="0.35">
      <c r="R417" s="1067"/>
      <c r="S417" s="1067"/>
      <c r="W417" s="1067"/>
      <c r="X417" s="1067"/>
      <c r="AE417" s="1067"/>
      <c r="AF417" s="1067"/>
      <c r="AV417" s="1067"/>
      <c r="AW417" s="1067"/>
      <c r="AX417" s="1067"/>
      <c r="AY417" s="1067"/>
      <c r="AZ417" s="1067"/>
      <c r="BA417" s="1067"/>
      <c r="BC417" s="1067"/>
      <c r="BE417" s="1067"/>
      <c r="BF417" s="1067"/>
      <c r="BG417" s="1067"/>
    </row>
    <row r="418" spans="18:59" x14ac:dyDescent="0.35">
      <c r="R418" s="1067"/>
      <c r="S418" s="1067"/>
      <c r="W418" s="1067"/>
      <c r="X418" s="1067"/>
      <c r="AE418" s="1067"/>
      <c r="AF418" s="1067"/>
      <c r="AV418" s="1067"/>
      <c r="AW418" s="1067"/>
      <c r="AX418" s="1067"/>
      <c r="AY418" s="1067"/>
      <c r="AZ418" s="1067"/>
      <c r="BA418" s="1067"/>
      <c r="BC418" s="1067"/>
      <c r="BE418" s="1067"/>
      <c r="BF418" s="1067"/>
      <c r="BG418" s="1067"/>
    </row>
    <row r="419" spans="18:59" x14ac:dyDescent="0.35">
      <c r="R419" s="1067"/>
      <c r="S419" s="1067"/>
      <c r="W419" s="1067"/>
      <c r="X419" s="1067"/>
      <c r="AE419" s="1067"/>
      <c r="AF419" s="1067"/>
      <c r="AV419" s="1067"/>
      <c r="AW419" s="1067"/>
      <c r="AX419" s="1067"/>
      <c r="AY419" s="1067"/>
      <c r="AZ419" s="1067"/>
      <c r="BA419" s="1067"/>
      <c r="BC419" s="1067"/>
      <c r="BE419" s="1067"/>
      <c r="BF419" s="1067"/>
      <c r="BG419" s="1067"/>
    </row>
    <row r="420" spans="18:59" x14ac:dyDescent="0.35">
      <c r="R420" s="1067"/>
      <c r="S420" s="1067"/>
      <c r="W420" s="1067"/>
      <c r="X420" s="1067"/>
      <c r="AE420" s="1067"/>
      <c r="AF420" s="1067"/>
      <c r="AV420" s="1067"/>
      <c r="AW420" s="1067"/>
      <c r="AX420" s="1067"/>
      <c r="AY420" s="1067"/>
      <c r="AZ420" s="1067"/>
      <c r="BA420" s="1067"/>
      <c r="BC420" s="1067"/>
      <c r="BE420" s="1067"/>
      <c r="BF420" s="1067"/>
      <c r="BG420" s="1067"/>
    </row>
    <row r="421" spans="18:59" x14ac:dyDescent="0.35">
      <c r="R421" s="1067"/>
      <c r="S421" s="1067"/>
      <c r="W421" s="1067"/>
      <c r="X421" s="1067"/>
      <c r="AE421" s="1067"/>
      <c r="AF421" s="1067"/>
      <c r="AV421" s="1067"/>
      <c r="AW421" s="1067"/>
      <c r="AX421" s="1067"/>
      <c r="AY421" s="1067"/>
      <c r="AZ421" s="1067"/>
      <c r="BA421" s="1067"/>
      <c r="BC421" s="1067"/>
      <c r="BE421" s="1067"/>
      <c r="BF421" s="1067"/>
      <c r="BG421" s="1067"/>
    </row>
    <row r="422" spans="18:59" x14ac:dyDescent="0.35">
      <c r="R422" s="1067"/>
      <c r="S422" s="1067"/>
      <c r="W422" s="1067"/>
      <c r="X422" s="1067"/>
      <c r="AE422" s="1067"/>
      <c r="AF422" s="1067"/>
      <c r="AV422" s="1067"/>
      <c r="AW422" s="1067"/>
      <c r="AX422" s="1067"/>
      <c r="AY422" s="1067"/>
      <c r="AZ422" s="1067"/>
      <c r="BA422" s="1067"/>
      <c r="BC422" s="1067"/>
      <c r="BE422" s="1067"/>
      <c r="BF422" s="1067"/>
      <c r="BG422" s="1067"/>
    </row>
    <row r="423" spans="18:59" x14ac:dyDescent="0.35">
      <c r="R423" s="1067"/>
      <c r="S423" s="1067"/>
      <c r="W423" s="1067"/>
      <c r="X423" s="1067"/>
      <c r="AE423" s="1067"/>
      <c r="AF423" s="1067"/>
      <c r="AV423" s="1067"/>
      <c r="AW423" s="1067"/>
      <c r="AX423" s="1067"/>
      <c r="AY423" s="1067"/>
      <c r="AZ423" s="1067"/>
      <c r="BA423" s="1067"/>
      <c r="BC423" s="1067"/>
      <c r="BE423" s="1067"/>
      <c r="BF423" s="1067"/>
      <c r="BG423" s="1067"/>
    </row>
    <row r="424" spans="18:59" x14ac:dyDescent="0.35">
      <c r="R424" s="1067"/>
      <c r="S424" s="1067"/>
      <c r="W424" s="1067"/>
      <c r="X424" s="1067"/>
      <c r="AE424" s="1067"/>
      <c r="AF424" s="1067"/>
      <c r="AV424" s="1067"/>
      <c r="AW424" s="1067"/>
      <c r="AX424" s="1067"/>
      <c r="AY424" s="1067"/>
      <c r="AZ424" s="1067"/>
      <c r="BA424" s="1067"/>
      <c r="BC424" s="1067"/>
      <c r="BE424" s="1067"/>
      <c r="BF424" s="1067"/>
      <c r="BG424" s="1067"/>
    </row>
    <row r="425" spans="18:59" x14ac:dyDescent="0.35">
      <c r="R425" s="1067"/>
      <c r="S425" s="1067"/>
      <c r="W425" s="1067"/>
      <c r="X425" s="1067"/>
      <c r="AE425" s="1067"/>
      <c r="AF425" s="1067"/>
      <c r="AV425" s="1067"/>
      <c r="AW425" s="1067"/>
      <c r="AX425" s="1067"/>
      <c r="AY425" s="1067"/>
      <c r="AZ425" s="1067"/>
      <c r="BA425" s="1067"/>
      <c r="BC425" s="1067"/>
      <c r="BE425" s="1067"/>
      <c r="BF425" s="1067"/>
      <c r="BG425" s="1067"/>
    </row>
    <row r="426" spans="18:59" x14ac:dyDescent="0.35">
      <c r="R426" s="1067"/>
      <c r="S426" s="1067"/>
      <c r="W426" s="1067"/>
      <c r="X426" s="1067"/>
      <c r="AE426" s="1067"/>
      <c r="AF426" s="1067"/>
      <c r="AV426" s="1067"/>
      <c r="AW426" s="1067"/>
      <c r="AX426" s="1067"/>
      <c r="AY426" s="1067"/>
      <c r="AZ426" s="1067"/>
      <c r="BA426" s="1067"/>
      <c r="BC426" s="1067"/>
      <c r="BE426" s="1067"/>
      <c r="BF426" s="1067"/>
      <c r="BG426" s="1067"/>
    </row>
    <row r="427" spans="18:59" x14ac:dyDescent="0.35">
      <c r="R427" s="1067"/>
      <c r="S427" s="1067"/>
      <c r="W427" s="1067"/>
      <c r="X427" s="1067"/>
      <c r="AE427" s="1067"/>
      <c r="AF427" s="1067"/>
      <c r="AV427" s="1067"/>
      <c r="AW427" s="1067"/>
      <c r="AX427" s="1067"/>
      <c r="AY427" s="1067"/>
      <c r="AZ427" s="1067"/>
      <c r="BA427" s="1067"/>
      <c r="BC427" s="1067"/>
      <c r="BE427" s="1067"/>
      <c r="BF427" s="1067"/>
      <c r="BG427" s="1067"/>
    </row>
    <row r="428" spans="18:59" x14ac:dyDescent="0.35">
      <c r="R428" s="1067"/>
      <c r="S428" s="1067"/>
      <c r="W428" s="1067"/>
      <c r="X428" s="1067"/>
      <c r="AE428" s="1067"/>
      <c r="AF428" s="1067"/>
      <c r="AV428" s="1067"/>
      <c r="AW428" s="1067"/>
      <c r="AX428" s="1067"/>
      <c r="AY428" s="1067"/>
      <c r="AZ428" s="1067"/>
      <c r="BA428" s="1067"/>
      <c r="BC428" s="1067"/>
      <c r="BE428" s="1067"/>
      <c r="BF428" s="1067"/>
      <c r="BG428" s="1067"/>
    </row>
    <row r="429" spans="18:59" x14ac:dyDescent="0.35">
      <c r="R429" s="1067"/>
      <c r="S429" s="1067"/>
      <c r="W429" s="1067"/>
      <c r="X429" s="1067"/>
      <c r="AE429" s="1067"/>
      <c r="AF429" s="1067"/>
      <c r="AV429" s="1067"/>
      <c r="AW429" s="1067"/>
      <c r="AX429" s="1067"/>
      <c r="AY429" s="1067"/>
      <c r="AZ429" s="1067"/>
      <c r="BA429" s="1067"/>
      <c r="BC429" s="1067"/>
      <c r="BE429" s="1067"/>
      <c r="BF429" s="1067"/>
      <c r="BG429" s="1067"/>
    </row>
    <row r="430" spans="18:59" x14ac:dyDescent="0.35">
      <c r="R430" s="1067"/>
      <c r="S430" s="1067"/>
      <c r="W430" s="1067"/>
      <c r="X430" s="1067"/>
      <c r="AE430" s="1067"/>
      <c r="AF430" s="1067"/>
      <c r="AV430" s="1067"/>
      <c r="AW430" s="1067"/>
      <c r="AX430" s="1067"/>
      <c r="AY430" s="1067"/>
      <c r="AZ430" s="1067"/>
      <c r="BA430" s="1067"/>
      <c r="BC430" s="1067"/>
      <c r="BE430" s="1067"/>
      <c r="BF430" s="1067"/>
      <c r="BG430" s="1067"/>
    </row>
    <row r="431" spans="18:59" x14ac:dyDescent="0.35">
      <c r="R431" s="1067"/>
      <c r="S431" s="1067"/>
      <c r="W431" s="1067"/>
      <c r="X431" s="1067"/>
      <c r="AE431" s="1067"/>
      <c r="AF431" s="1067"/>
      <c r="AV431" s="1067"/>
      <c r="AW431" s="1067"/>
      <c r="AX431" s="1067"/>
      <c r="AY431" s="1067"/>
      <c r="AZ431" s="1067"/>
      <c r="BA431" s="1067"/>
      <c r="BC431" s="1067"/>
      <c r="BE431" s="1067"/>
      <c r="BF431" s="1067"/>
      <c r="BG431" s="1067"/>
    </row>
    <row r="432" spans="18:59" x14ac:dyDescent="0.35">
      <c r="R432" s="1067"/>
      <c r="S432" s="1067"/>
      <c r="W432" s="1067"/>
      <c r="X432" s="1067"/>
      <c r="AE432" s="1067"/>
      <c r="AF432" s="1067"/>
      <c r="AV432" s="1067"/>
      <c r="AW432" s="1067"/>
      <c r="AX432" s="1067"/>
      <c r="AY432" s="1067"/>
      <c r="AZ432" s="1067"/>
      <c r="BA432" s="1067"/>
      <c r="BC432" s="1067"/>
      <c r="BE432" s="1067"/>
      <c r="BF432" s="1067"/>
      <c r="BG432" s="1067"/>
    </row>
    <row r="433" spans="18:59" x14ac:dyDescent="0.35">
      <c r="R433" s="1067"/>
      <c r="S433" s="1067"/>
      <c r="W433" s="1067"/>
      <c r="X433" s="1067"/>
      <c r="AE433" s="1067"/>
      <c r="AF433" s="1067"/>
      <c r="AV433" s="1067"/>
      <c r="AW433" s="1067"/>
      <c r="AX433" s="1067"/>
      <c r="AY433" s="1067"/>
      <c r="AZ433" s="1067"/>
      <c r="BA433" s="1067"/>
      <c r="BC433" s="1067"/>
      <c r="BE433" s="1067"/>
      <c r="BF433" s="1067"/>
      <c r="BG433" s="1067"/>
    </row>
    <row r="434" spans="18:59" x14ac:dyDescent="0.35">
      <c r="R434" s="1067"/>
      <c r="S434" s="1067"/>
      <c r="W434" s="1067"/>
      <c r="X434" s="1067"/>
      <c r="AE434" s="1067"/>
      <c r="AF434" s="1067"/>
      <c r="AV434" s="1067"/>
      <c r="AW434" s="1067"/>
      <c r="AX434" s="1067"/>
      <c r="AY434" s="1067"/>
      <c r="AZ434" s="1067"/>
      <c r="BA434" s="1067"/>
      <c r="BC434" s="1067"/>
      <c r="BE434" s="1067"/>
      <c r="BF434" s="1067"/>
      <c r="BG434" s="1067"/>
    </row>
    <row r="435" spans="18:59" x14ac:dyDescent="0.35">
      <c r="R435" s="1067"/>
      <c r="S435" s="1067"/>
      <c r="W435" s="1067"/>
      <c r="X435" s="1067"/>
      <c r="AE435" s="1067"/>
      <c r="AF435" s="1067"/>
      <c r="AV435" s="1067"/>
      <c r="AW435" s="1067"/>
      <c r="AX435" s="1067"/>
      <c r="AY435" s="1067"/>
      <c r="AZ435" s="1067"/>
      <c r="BA435" s="1067"/>
      <c r="BC435" s="1067"/>
      <c r="BE435" s="1067"/>
      <c r="BF435" s="1067"/>
      <c r="BG435" s="1067"/>
    </row>
    <row r="436" spans="18:59" x14ac:dyDescent="0.35">
      <c r="R436" s="1067"/>
      <c r="S436" s="1067"/>
      <c r="W436" s="1067"/>
      <c r="X436" s="1067"/>
      <c r="AE436" s="1067"/>
      <c r="AF436" s="1067"/>
      <c r="AV436" s="1067"/>
      <c r="AW436" s="1067"/>
      <c r="AX436" s="1067"/>
      <c r="AY436" s="1067"/>
      <c r="AZ436" s="1067"/>
      <c r="BA436" s="1067"/>
      <c r="BC436" s="1067"/>
      <c r="BE436" s="1067"/>
      <c r="BF436" s="1067"/>
      <c r="BG436" s="1067"/>
    </row>
    <row r="437" spans="18:59" x14ac:dyDescent="0.35">
      <c r="R437" s="1067"/>
      <c r="S437" s="1067"/>
      <c r="W437" s="1067"/>
      <c r="X437" s="1067"/>
      <c r="AE437" s="1067"/>
      <c r="AF437" s="1067"/>
      <c r="AV437" s="1067"/>
      <c r="AW437" s="1067"/>
      <c r="AX437" s="1067"/>
      <c r="AY437" s="1067"/>
      <c r="AZ437" s="1067"/>
      <c r="BA437" s="1067"/>
      <c r="BC437" s="1067"/>
      <c r="BE437" s="1067"/>
      <c r="BF437" s="1067"/>
      <c r="BG437" s="1067"/>
    </row>
    <row r="438" spans="18:59" x14ac:dyDescent="0.35">
      <c r="R438" s="1067"/>
      <c r="S438" s="1067"/>
      <c r="W438" s="1067"/>
      <c r="X438" s="1067"/>
      <c r="AE438" s="1067"/>
      <c r="AF438" s="1067"/>
      <c r="AV438" s="1067"/>
      <c r="AW438" s="1067"/>
      <c r="AX438" s="1067"/>
      <c r="AY438" s="1067"/>
      <c r="AZ438" s="1067"/>
      <c r="BA438" s="1067"/>
      <c r="BC438" s="1067"/>
      <c r="BE438" s="1067"/>
      <c r="BF438" s="1067"/>
      <c r="BG438" s="1067"/>
    </row>
    <row r="439" spans="18:59" x14ac:dyDescent="0.35">
      <c r="R439" s="1067"/>
      <c r="S439" s="1067"/>
      <c r="W439" s="1067"/>
      <c r="X439" s="1067"/>
      <c r="AE439" s="1067"/>
      <c r="AF439" s="1067"/>
      <c r="AV439" s="1067"/>
      <c r="AW439" s="1067"/>
      <c r="AX439" s="1067"/>
      <c r="AY439" s="1067"/>
      <c r="AZ439" s="1067"/>
      <c r="BA439" s="1067"/>
      <c r="BC439" s="1067"/>
      <c r="BE439" s="1067"/>
      <c r="BF439" s="1067"/>
      <c r="BG439" s="1067"/>
    </row>
    <row r="440" spans="18:59" x14ac:dyDescent="0.35">
      <c r="R440" s="1067"/>
      <c r="S440" s="1067"/>
      <c r="W440" s="1067"/>
      <c r="X440" s="1067"/>
      <c r="AE440" s="1067"/>
      <c r="AF440" s="1067"/>
      <c r="AV440" s="1067"/>
      <c r="AW440" s="1067"/>
      <c r="AX440" s="1067"/>
      <c r="AY440" s="1067"/>
      <c r="AZ440" s="1067"/>
      <c r="BA440" s="1067"/>
      <c r="BC440" s="1067"/>
      <c r="BE440" s="1067"/>
      <c r="BF440" s="1067"/>
      <c r="BG440" s="1067"/>
    </row>
    <row r="441" spans="18:59" x14ac:dyDescent="0.35">
      <c r="R441" s="1067"/>
      <c r="S441" s="1067"/>
      <c r="W441" s="1067"/>
      <c r="X441" s="1067"/>
      <c r="AE441" s="1067"/>
      <c r="AF441" s="1067"/>
      <c r="AV441" s="1067"/>
      <c r="AW441" s="1067"/>
      <c r="AX441" s="1067"/>
      <c r="AY441" s="1067"/>
      <c r="AZ441" s="1067"/>
      <c r="BA441" s="1067"/>
      <c r="BC441" s="1067"/>
      <c r="BE441" s="1067"/>
      <c r="BF441" s="1067"/>
      <c r="BG441" s="1067"/>
    </row>
    <row r="442" spans="18:59" x14ac:dyDescent="0.35">
      <c r="R442" s="1067"/>
      <c r="S442" s="1067"/>
      <c r="W442" s="1067"/>
      <c r="X442" s="1067"/>
      <c r="AE442" s="1067"/>
      <c r="AF442" s="1067"/>
      <c r="AV442" s="1067"/>
      <c r="AW442" s="1067"/>
      <c r="AX442" s="1067"/>
      <c r="AY442" s="1067"/>
      <c r="AZ442" s="1067"/>
      <c r="BA442" s="1067"/>
      <c r="BC442" s="1067"/>
      <c r="BE442" s="1067"/>
      <c r="BF442" s="1067"/>
      <c r="BG442" s="1067"/>
    </row>
    <row r="443" spans="18:59" x14ac:dyDescent="0.35">
      <c r="R443" s="1067"/>
      <c r="S443" s="1067"/>
      <c r="W443" s="1067"/>
      <c r="X443" s="1067"/>
      <c r="AE443" s="1067"/>
      <c r="AF443" s="1067"/>
      <c r="AV443" s="1067"/>
      <c r="AW443" s="1067"/>
      <c r="AX443" s="1067"/>
      <c r="AY443" s="1067"/>
      <c r="AZ443" s="1067"/>
      <c r="BA443" s="1067"/>
      <c r="BC443" s="1067"/>
      <c r="BE443" s="1067"/>
      <c r="BF443" s="1067"/>
      <c r="BG443" s="1067"/>
    </row>
    <row r="444" spans="18:59" x14ac:dyDescent="0.35">
      <c r="R444" s="1067"/>
      <c r="S444" s="1067"/>
      <c r="W444" s="1067"/>
      <c r="X444" s="1067"/>
      <c r="AE444" s="1067"/>
      <c r="AF444" s="1067"/>
      <c r="AV444" s="1067"/>
      <c r="AW444" s="1067"/>
      <c r="AX444" s="1067"/>
      <c r="AY444" s="1067"/>
      <c r="AZ444" s="1067"/>
      <c r="BA444" s="1067"/>
      <c r="BC444" s="1067"/>
      <c r="BE444" s="1067"/>
      <c r="BF444" s="1067"/>
      <c r="BG444" s="1067"/>
    </row>
    <row r="445" spans="18:59" x14ac:dyDescent="0.35">
      <c r="R445" s="1067"/>
      <c r="S445" s="1067"/>
      <c r="W445" s="1067"/>
      <c r="X445" s="1067"/>
      <c r="AE445" s="1067"/>
      <c r="AF445" s="1067"/>
      <c r="AV445" s="1067"/>
      <c r="AW445" s="1067"/>
      <c r="AX445" s="1067"/>
      <c r="AY445" s="1067"/>
      <c r="AZ445" s="1067"/>
      <c r="BA445" s="1067"/>
      <c r="BC445" s="1067"/>
      <c r="BE445" s="1067"/>
      <c r="BF445" s="1067"/>
      <c r="BG445" s="1067"/>
    </row>
    <row r="446" spans="18:59" x14ac:dyDescent="0.35">
      <c r="R446" s="1067"/>
      <c r="S446" s="1067"/>
      <c r="W446" s="1067"/>
      <c r="X446" s="1067"/>
      <c r="AE446" s="1067"/>
      <c r="AF446" s="1067"/>
      <c r="AV446" s="1067"/>
      <c r="AW446" s="1067"/>
      <c r="AX446" s="1067"/>
      <c r="AY446" s="1067"/>
      <c r="AZ446" s="1067"/>
      <c r="BA446" s="1067"/>
      <c r="BC446" s="1067"/>
      <c r="BE446" s="1067"/>
      <c r="BF446" s="1067"/>
      <c r="BG446" s="1067"/>
    </row>
    <row r="447" spans="18:59" x14ac:dyDescent="0.35">
      <c r="R447" s="1067"/>
      <c r="S447" s="1067"/>
      <c r="W447" s="1067"/>
      <c r="X447" s="1067"/>
      <c r="AE447" s="1067"/>
      <c r="AF447" s="1067"/>
      <c r="AV447" s="1067"/>
      <c r="AW447" s="1067"/>
      <c r="AX447" s="1067"/>
      <c r="AY447" s="1067"/>
      <c r="AZ447" s="1067"/>
      <c r="BA447" s="1067"/>
      <c r="BC447" s="1067"/>
      <c r="BE447" s="1067"/>
      <c r="BF447" s="1067"/>
      <c r="BG447" s="1067"/>
    </row>
    <row r="448" spans="18:59" x14ac:dyDescent="0.35">
      <c r="R448" s="1067"/>
      <c r="S448" s="1067"/>
      <c r="W448" s="1067"/>
      <c r="X448" s="1067"/>
      <c r="AE448" s="1067"/>
      <c r="AF448" s="1067"/>
      <c r="AV448" s="1067"/>
      <c r="AW448" s="1067"/>
      <c r="AX448" s="1067"/>
      <c r="AY448" s="1067"/>
      <c r="AZ448" s="1067"/>
      <c r="BA448" s="1067"/>
      <c r="BC448" s="1067"/>
      <c r="BE448" s="1067"/>
      <c r="BF448" s="1067"/>
      <c r="BG448" s="1067"/>
    </row>
    <row r="449" spans="18:59" x14ac:dyDescent="0.35">
      <c r="R449" s="1067"/>
      <c r="S449" s="1067"/>
      <c r="W449" s="1067"/>
      <c r="X449" s="1067"/>
      <c r="AE449" s="1067"/>
      <c r="AF449" s="1067"/>
      <c r="AV449" s="1067"/>
      <c r="AW449" s="1067"/>
      <c r="AX449" s="1067"/>
      <c r="AY449" s="1067"/>
      <c r="AZ449" s="1067"/>
      <c r="BA449" s="1067"/>
      <c r="BC449" s="1067"/>
      <c r="BE449" s="1067"/>
      <c r="BF449" s="1067"/>
      <c r="BG449" s="1067"/>
    </row>
    <row r="450" spans="18:59" x14ac:dyDescent="0.35">
      <c r="R450" s="1067"/>
      <c r="S450" s="1067"/>
      <c r="W450" s="1067"/>
      <c r="X450" s="1067"/>
      <c r="AE450" s="1067"/>
      <c r="AF450" s="1067"/>
      <c r="AV450" s="1067"/>
      <c r="AW450" s="1067"/>
      <c r="AX450" s="1067"/>
      <c r="AY450" s="1067"/>
      <c r="AZ450" s="1067"/>
      <c r="BA450" s="1067"/>
      <c r="BC450" s="1067"/>
      <c r="BE450" s="1067"/>
      <c r="BF450" s="1067"/>
      <c r="BG450" s="1067"/>
    </row>
    <row r="451" spans="18:59" x14ac:dyDescent="0.35">
      <c r="R451" s="1067"/>
      <c r="S451" s="1067"/>
      <c r="W451" s="1067"/>
      <c r="X451" s="1067"/>
      <c r="AE451" s="1067"/>
      <c r="AF451" s="1067"/>
      <c r="AV451" s="1067"/>
      <c r="AW451" s="1067"/>
      <c r="AX451" s="1067"/>
      <c r="AY451" s="1067"/>
      <c r="AZ451" s="1067"/>
      <c r="BA451" s="1067"/>
      <c r="BC451" s="1067"/>
      <c r="BE451" s="1067"/>
      <c r="BF451" s="1067"/>
      <c r="BG451" s="1067"/>
    </row>
    <row r="452" spans="18:59" x14ac:dyDescent="0.35">
      <c r="R452" s="1067"/>
      <c r="S452" s="1067"/>
      <c r="W452" s="1067"/>
      <c r="X452" s="1067"/>
      <c r="AE452" s="1067"/>
      <c r="AF452" s="1067"/>
      <c r="AV452" s="1067"/>
      <c r="AW452" s="1067"/>
      <c r="AX452" s="1067"/>
      <c r="AY452" s="1067"/>
      <c r="AZ452" s="1067"/>
      <c r="BA452" s="1067"/>
      <c r="BC452" s="1067"/>
      <c r="BE452" s="1067"/>
      <c r="BF452" s="1067"/>
      <c r="BG452" s="1067"/>
    </row>
    <row r="453" spans="18:59" x14ac:dyDescent="0.35">
      <c r="R453" s="1067"/>
      <c r="S453" s="1067"/>
      <c r="W453" s="1067"/>
      <c r="X453" s="1067"/>
      <c r="AE453" s="1067"/>
      <c r="AF453" s="1067"/>
      <c r="AV453" s="1067"/>
      <c r="AW453" s="1067"/>
      <c r="AX453" s="1067"/>
      <c r="AY453" s="1067"/>
      <c r="AZ453" s="1067"/>
      <c r="BA453" s="1067"/>
      <c r="BC453" s="1067"/>
      <c r="BE453" s="1067"/>
      <c r="BF453" s="1067"/>
      <c r="BG453" s="1067"/>
    </row>
    <row r="454" spans="18:59" x14ac:dyDescent="0.35">
      <c r="R454" s="1067"/>
      <c r="S454" s="1067"/>
      <c r="W454" s="1067"/>
      <c r="X454" s="1067"/>
      <c r="AE454" s="1067"/>
      <c r="AF454" s="1067"/>
      <c r="AV454" s="1067"/>
      <c r="AW454" s="1067"/>
      <c r="AX454" s="1067"/>
      <c r="AY454" s="1067"/>
      <c r="AZ454" s="1067"/>
      <c r="BA454" s="1067"/>
      <c r="BC454" s="1067"/>
      <c r="BE454" s="1067"/>
      <c r="BF454" s="1067"/>
      <c r="BG454" s="1067"/>
    </row>
    <row r="455" spans="18:59" x14ac:dyDescent="0.35">
      <c r="R455" s="1067"/>
      <c r="S455" s="1067"/>
      <c r="W455" s="1067"/>
      <c r="X455" s="1067"/>
      <c r="AE455" s="1067"/>
      <c r="AF455" s="1067"/>
      <c r="AV455" s="1067"/>
      <c r="AW455" s="1067"/>
      <c r="AX455" s="1067"/>
      <c r="AY455" s="1067"/>
      <c r="AZ455" s="1067"/>
      <c r="BA455" s="1067"/>
      <c r="BC455" s="1067"/>
      <c r="BE455" s="1067"/>
      <c r="BF455" s="1067"/>
      <c r="BG455" s="1067"/>
    </row>
    <row r="456" spans="18:59" x14ac:dyDescent="0.35">
      <c r="R456" s="1067"/>
      <c r="S456" s="1067"/>
      <c r="W456" s="1067"/>
      <c r="X456" s="1067"/>
      <c r="AE456" s="1067"/>
      <c r="AF456" s="1067"/>
      <c r="AV456" s="1067"/>
      <c r="AW456" s="1067"/>
      <c r="AX456" s="1067"/>
      <c r="AY456" s="1067"/>
      <c r="AZ456" s="1067"/>
      <c r="BA456" s="1067"/>
      <c r="BC456" s="1067"/>
      <c r="BE456" s="1067"/>
      <c r="BF456" s="1067"/>
      <c r="BG456" s="1067"/>
    </row>
    <row r="457" spans="18:59" x14ac:dyDescent="0.35">
      <c r="R457" s="1067"/>
      <c r="S457" s="1067"/>
      <c r="W457" s="1067"/>
      <c r="X457" s="1067"/>
      <c r="AE457" s="1067"/>
      <c r="AF457" s="1067"/>
      <c r="AV457" s="1067"/>
      <c r="AW457" s="1067"/>
      <c r="AX457" s="1067"/>
      <c r="AY457" s="1067"/>
      <c r="AZ457" s="1067"/>
      <c r="BA457" s="1067"/>
      <c r="BC457" s="1067"/>
      <c r="BE457" s="1067"/>
      <c r="BF457" s="1067"/>
      <c r="BG457" s="1067"/>
    </row>
    <row r="458" spans="18:59" x14ac:dyDescent="0.35">
      <c r="R458" s="1067"/>
      <c r="S458" s="1067"/>
      <c r="W458" s="1067"/>
      <c r="X458" s="1067"/>
      <c r="AE458" s="1067"/>
      <c r="AF458" s="1067"/>
      <c r="AV458" s="1067"/>
      <c r="AW458" s="1067"/>
      <c r="AX458" s="1067"/>
      <c r="AY458" s="1067"/>
      <c r="AZ458" s="1067"/>
      <c r="BA458" s="1067"/>
      <c r="BC458" s="1067"/>
      <c r="BE458" s="1067"/>
      <c r="BF458" s="1067"/>
      <c r="BG458" s="1067"/>
    </row>
    <row r="459" spans="18:59" x14ac:dyDescent="0.35">
      <c r="R459" s="1067"/>
      <c r="S459" s="1067"/>
      <c r="W459" s="1067"/>
      <c r="X459" s="1067"/>
      <c r="AE459" s="1067"/>
      <c r="AF459" s="1067"/>
      <c r="AV459" s="1067"/>
      <c r="AW459" s="1067"/>
      <c r="AX459" s="1067"/>
      <c r="AY459" s="1067"/>
      <c r="AZ459" s="1067"/>
      <c r="BA459" s="1067"/>
      <c r="BC459" s="1067"/>
      <c r="BE459" s="1067"/>
      <c r="BF459" s="1067"/>
      <c r="BG459" s="1067"/>
    </row>
    <row r="460" spans="18:59" x14ac:dyDescent="0.35">
      <c r="R460" s="1067"/>
      <c r="S460" s="1067"/>
      <c r="W460" s="1067"/>
      <c r="X460" s="1067"/>
      <c r="AE460" s="1067"/>
      <c r="AF460" s="1067"/>
      <c r="AV460" s="1067"/>
      <c r="AW460" s="1067"/>
      <c r="AX460" s="1067"/>
      <c r="AY460" s="1067"/>
      <c r="AZ460" s="1067"/>
      <c r="BA460" s="1067"/>
      <c r="BC460" s="1067"/>
      <c r="BE460" s="1067"/>
      <c r="BF460" s="1067"/>
      <c r="BG460" s="1067"/>
    </row>
    <row r="461" spans="18:59" x14ac:dyDescent="0.35">
      <c r="R461" s="1067"/>
      <c r="S461" s="1067"/>
      <c r="W461" s="1067"/>
      <c r="X461" s="1067"/>
      <c r="AE461" s="1067"/>
      <c r="AF461" s="1067"/>
      <c r="AV461" s="1067"/>
      <c r="AW461" s="1067"/>
      <c r="AX461" s="1067"/>
      <c r="AY461" s="1067"/>
      <c r="AZ461" s="1067"/>
      <c r="BA461" s="1067"/>
      <c r="BC461" s="1067"/>
      <c r="BE461" s="1067"/>
      <c r="BF461" s="1067"/>
      <c r="BG461" s="1067"/>
    </row>
    <row r="462" spans="18:59" x14ac:dyDescent="0.35">
      <c r="R462" s="1067"/>
      <c r="S462" s="1067"/>
      <c r="W462" s="1067"/>
      <c r="X462" s="1067"/>
      <c r="AE462" s="1067"/>
      <c r="AF462" s="1067"/>
      <c r="AV462" s="1067"/>
      <c r="AW462" s="1067"/>
      <c r="AX462" s="1067"/>
      <c r="AY462" s="1067"/>
      <c r="AZ462" s="1067"/>
      <c r="BA462" s="1067"/>
      <c r="BC462" s="1067"/>
      <c r="BE462" s="1067"/>
      <c r="BF462" s="1067"/>
      <c r="BG462" s="1067"/>
    </row>
    <row r="463" spans="18:59" x14ac:dyDescent="0.35">
      <c r="R463" s="1067"/>
      <c r="S463" s="1067"/>
      <c r="W463" s="1067"/>
      <c r="X463" s="1067"/>
      <c r="AE463" s="1067"/>
      <c r="AF463" s="1067"/>
      <c r="AV463" s="1067"/>
      <c r="AW463" s="1067"/>
      <c r="AX463" s="1067"/>
      <c r="AY463" s="1067"/>
      <c r="AZ463" s="1067"/>
      <c r="BA463" s="1067"/>
      <c r="BC463" s="1067"/>
      <c r="BE463" s="1067"/>
      <c r="BF463" s="1067"/>
      <c r="BG463" s="1067"/>
    </row>
    <row r="464" spans="18:59" x14ac:dyDescent="0.35">
      <c r="R464" s="1067"/>
      <c r="S464" s="1067"/>
      <c r="W464" s="1067"/>
      <c r="X464" s="1067"/>
      <c r="AE464" s="1067"/>
      <c r="AF464" s="1067"/>
      <c r="AV464" s="1067"/>
      <c r="AW464" s="1067"/>
      <c r="AX464" s="1067"/>
      <c r="AY464" s="1067"/>
      <c r="AZ464" s="1067"/>
      <c r="BA464" s="1067"/>
      <c r="BC464" s="1067"/>
      <c r="BE464" s="1067"/>
      <c r="BF464" s="1067"/>
      <c r="BG464" s="1067"/>
    </row>
    <row r="465" spans="18:59" x14ac:dyDescent="0.35">
      <c r="R465" s="1067"/>
      <c r="S465" s="1067"/>
      <c r="W465" s="1067"/>
      <c r="X465" s="1067"/>
      <c r="AE465" s="1067"/>
      <c r="AF465" s="1067"/>
      <c r="AV465" s="1067"/>
      <c r="AW465" s="1067"/>
      <c r="AX465" s="1067"/>
      <c r="AY465" s="1067"/>
      <c r="AZ465" s="1067"/>
      <c r="BA465" s="1067"/>
      <c r="BC465" s="1067"/>
      <c r="BE465" s="1067"/>
      <c r="BF465" s="1067"/>
      <c r="BG465" s="1067"/>
    </row>
    <row r="466" spans="18:59" x14ac:dyDescent="0.35">
      <c r="R466" s="1067"/>
      <c r="S466" s="1067"/>
      <c r="W466" s="1067"/>
      <c r="X466" s="1067"/>
      <c r="AE466" s="1067"/>
      <c r="AF466" s="1067"/>
      <c r="AV466" s="1067"/>
      <c r="AW466" s="1067"/>
      <c r="AX466" s="1067"/>
      <c r="AY466" s="1067"/>
      <c r="AZ466" s="1067"/>
      <c r="BA466" s="1067"/>
      <c r="BC466" s="1067"/>
      <c r="BE466" s="1067"/>
      <c r="BF466" s="1067"/>
      <c r="BG466" s="1067"/>
    </row>
    <row r="467" spans="18:59" x14ac:dyDescent="0.35">
      <c r="R467" s="1067"/>
      <c r="S467" s="1067"/>
      <c r="W467" s="1067"/>
      <c r="X467" s="1067"/>
      <c r="AE467" s="1067"/>
      <c r="AF467" s="1067"/>
      <c r="AV467" s="1067"/>
      <c r="AW467" s="1067"/>
      <c r="AX467" s="1067"/>
      <c r="AY467" s="1067"/>
      <c r="AZ467" s="1067"/>
      <c r="BA467" s="1067"/>
      <c r="BC467" s="1067"/>
      <c r="BE467" s="1067"/>
      <c r="BF467" s="1067"/>
      <c r="BG467" s="1067"/>
    </row>
    <row r="468" spans="18:59" x14ac:dyDescent="0.35">
      <c r="R468" s="1067"/>
      <c r="S468" s="1067"/>
      <c r="W468" s="1067"/>
      <c r="X468" s="1067"/>
      <c r="AE468" s="1067"/>
      <c r="AF468" s="1067"/>
      <c r="AV468" s="1067"/>
      <c r="AW468" s="1067"/>
      <c r="AX468" s="1067"/>
      <c r="AY468" s="1067"/>
      <c r="AZ468" s="1067"/>
      <c r="BA468" s="1067"/>
      <c r="BC468" s="1067"/>
      <c r="BE468" s="1067"/>
      <c r="BF468" s="1067"/>
      <c r="BG468" s="1067"/>
    </row>
    <row r="469" spans="18:59" x14ac:dyDescent="0.35">
      <c r="R469" s="1067"/>
      <c r="S469" s="1067"/>
      <c r="W469" s="1067"/>
      <c r="X469" s="1067"/>
      <c r="AE469" s="1067"/>
      <c r="AF469" s="1067"/>
      <c r="AV469" s="1067"/>
      <c r="AW469" s="1067"/>
      <c r="AX469" s="1067"/>
      <c r="AY469" s="1067"/>
      <c r="AZ469" s="1067"/>
      <c r="BA469" s="1067"/>
      <c r="BC469" s="1067"/>
      <c r="BE469" s="1067"/>
      <c r="BF469" s="1067"/>
      <c r="BG469" s="1067"/>
    </row>
    <row r="470" spans="18:59" x14ac:dyDescent="0.35">
      <c r="R470" s="1067"/>
      <c r="S470" s="1067"/>
      <c r="W470" s="1067"/>
      <c r="X470" s="1067"/>
      <c r="AE470" s="1067"/>
      <c r="AF470" s="1067"/>
      <c r="AV470" s="1067"/>
      <c r="AW470" s="1067"/>
      <c r="AX470" s="1067"/>
      <c r="AY470" s="1067"/>
      <c r="AZ470" s="1067"/>
      <c r="BA470" s="1067"/>
      <c r="BC470" s="1067"/>
      <c r="BE470" s="1067"/>
      <c r="BF470" s="1067"/>
      <c r="BG470" s="1067"/>
    </row>
    <row r="471" spans="18:59" x14ac:dyDescent="0.35">
      <c r="R471" s="1067"/>
      <c r="S471" s="1067"/>
      <c r="W471" s="1067"/>
      <c r="X471" s="1067"/>
      <c r="AE471" s="1067"/>
      <c r="AF471" s="1067"/>
      <c r="AV471" s="1067"/>
      <c r="AW471" s="1067"/>
      <c r="AX471" s="1067"/>
      <c r="AY471" s="1067"/>
      <c r="AZ471" s="1067"/>
      <c r="BA471" s="1067"/>
      <c r="BC471" s="1067"/>
      <c r="BE471" s="1067"/>
      <c r="BF471" s="1067"/>
      <c r="BG471" s="1067"/>
    </row>
    <row r="472" spans="18:59" x14ac:dyDescent="0.35">
      <c r="R472" s="1067"/>
      <c r="S472" s="1067"/>
      <c r="W472" s="1067"/>
      <c r="X472" s="1067"/>
      <c r="AE472" s="1067"/>
      <c r="AF472" s="1067"/>
      <c r="AV472" s="1067"/>
      <c r="AW472" s="1067"/>
      <c r="AX472" s="1067"/>
      <c r="AY472" s="1067"/>
      <c r="AZ472" s="1067"/>
      <c r="BA472" s="1067"/>
      <c r="BC472" s="1067"/>
      <c r="BE472" s="1067"/>
      <c r="BF472" s="1067"/>
      <c r="BG472" s="1067"/>
    </row>
    <row r="473" spans="18:59" x14ac:dyDescent="0.35">
      <c r="R473" s="1067"/>
      <c r="S473" s="1067"/>
      <c r="W473" s="1067"/>
      <c r="X473" s="1067"/>
      <c r="AE473" s="1067"/>
      <c r="AF473" s="1067"/>
      <c r="AV473" s="1067"/>
      <c r="AW473" s="1067"/>
      <c r="AX473" s="1067"/>
      <c r="AY473" s="1067"/>
      <c r="AZ473" s="1067"/>
      <c r="BA473" s="1067"/>
      <c r="BC473" s="1067"/>
      <c r="BE473" s="1067"/>
      <c r="BF473" s="1067"/>
      <c r="BG473" s="1067"/>
    </row>
    <row r="474" spans="18:59" x14ac:dyDescent="0.35">
      <c r="R474" s="1067"/>
      <c r="S474" s="1067"/>
      <c r="W474" s="1067"/>
      <c r="X474" s="1067"/>
      <c r="AE474" s="1067"/>
      <c r="AF474" s="1067"/>
      <c r="AV474" s="1067"/>
      <c r="AW474" s="1067"/>
      <c r="AX474" s="1067"/>
      <c r="AY474" s="1067"/>
      <c r="AZ474" s="1067"/>
      <c r="BA474" s="1067"/>
      <c r="BC474" s="1067"/>
      <c r="BE474" s="1067"/>
      <c r="BF474" s="1067"/>
      <c r="BG474" s="1067"/>
    </row>
    <row r="475" spans="18:59" x14ac:dyDescent="0.35">
      <c r="R475" s="1067"/>
      <c r="S475" s="1067"/>
      <c r="W475" s="1067"/>
      <c r="X475" s="1067"/>
      <c r="AE475" s="1067"/>
      <c r="AF475" s="1067"/>
      <c r="AV475" s="1067"/>
      <c r="AW475" s="1067"/>
      <c r="AX475" s="1067"/>
      <c r="AY475" s="1067"/>
      <c r="AZ475" s="1067"/>
      <c r="BA475" s="1067"/>
      <c r="BC475" s="1067"/>
      <c r="BE475" s="1067"/>
      <c r="BF475" s="1067"/>
      <c r="BG475" s="1067"/>
    </row>
    <row r="476" spans="18:59" x14ac:dyDescent="0.35">
      <c r="R476" s="1067"/>
      <c r="S476" s="1067"/>
      <c r="W476" s="1067"/>
      <c r="X476" s="1067"/>
      <c r="AE476" s="1067"/>
      <c r="AF476" s="1067"/>
      <c r="AV476" s="1067"/>
      <c r="AW476" s="1067"/>
      <c r="AX476" s="1067"/>
      <c r="AY476" s="1067"/>
      <c r="AZ476" s="1067"/>
      <c r="BA476" s="1067"/>
      <c r="BC476" s="1067"/>
      <c r="BE476" s="1067"/>
      <c r="BF476" s="1067"/>
      <c r="BG476" s="1067"/>
    </row>
    <row r="477" spans="18:59" x14ac:dyDescent="0.35">
      <c r="R477" s="1067"/>
      <c r="S477" s="1067"/>
      <c r="W477" s="1067"/>
      <c r="X477" s="1067"/>
      <c r="AE477" s="1067"/>
      <c r="AF477" s="1067"/>
      <c r="AV477" s="1067"/>
      <c r="AW477" s="1067"/>
      <c r="AX477" s="1067"/>
      <c r="AY477" s="1067"/>
      <c r="AZ477" s="1067"/>
      <c r="BA477" s="1067"/>
      <c r="BC477" s="1067"/>
      <c r="BE477" s="1067"/>
      <c r="BF477" s="1067"/>
      <c r="BG477" s="1067"/>
    </row>
    <row r="478" spans="18:59" x14ac:dyDescent="0.35">
      <c r="R478" s="1067"/>
      <c r="S478" s="1067"/>
      <c r="W478" s="1067"/>
      <c r="X478" s="1067"/>
      <c r="AE478" s="1067"/>
      <c r="AF478" s="1067"/>
      <c r="AV478" s="1067"/>
      <c r="AW478" s="1067"/>
      <c r="AX478" s="1067"/>
      <c r="AY478" s="1067"/>
      <c r="AZ478" s="1067"/>
      <c r="BA478" s="1067"/>
      <c r="BC478" s="1067"/>
      <c r="BE478" s="1067"/>
      <c r="BF478" s="1067"/>
      <c r="BG478" s="1067"/>
    </row>
    <row r="479" spans="18:59" x14ac:dyDescent="0.35">
      <c r="R479" s="1067"/>
      <c r="S479" s="1067"/>
      <c r="W479" s="1067"/>
      <c r="X479" s="1067"/>
      <c r="AE479" s="1067"/>
      <c r="AF479" s="1067"/>
      <c r="AV479" s="1067"/>
      <c r="AW479" s="1067"/>
      <c r="AX479" s="1067"/>
      <c r="AY479" s="1067"/>
      <c r="AZ479" s="1067"/>
      <c r="BA479" s="1067"/>
      <c r="BC479" s="1067"/>
      <c r="BE479" s="1067"/>
      <c r="BF479" s="1067"/>
      <c r="BG479" s="1067"/>
    </row>
    <row r="480" spans="18:59" x14ac:dyDescent="0.35">
      <c r="R480" s="1067"/>
      <c r="S480" s="1067"/>
      <c r="W480" s="1067"/>
      <c r="X480" s="1067"/>
      <c r="AE480" s="1067"/>
      <c r="AF480" s="1067"/>
      <c r="AV480" s="1067"/>
      <c r="AW480" s="1067"/>
      <c r="AX480" s="1067"/>
      <c r="AY480" s="1067"/>
      <c r="AZ480" s="1067"/>
      <c r="BA480" s="1067"/>
      <c r="BC480" s="1067"/>
      <c r="BE480" s="1067"/>
      <c r="BF480" s="1067"/>
      <c r="BG480" s="1067"/>
    </row>
    <row r="481" spans="18:59" x14ac:dyDescent="0.35">
      <c r="R481" s="1067"/>
      <c r="S481" s="1067"/>
      <c r="W481" s="1067"/>
      <c r="X481" s="1067"/>
      <c r="AE481" s="1067"/>
      <c r="AF481" s="1067"/>
      <c r="AV481" s="1067"/>
      <c r="AW481" s="1067"/>
      <c r="AX481" s="1067"/>
      <c r="AY481" s="1067"/>
      <c r="AZ481" s="1067"/>
      <c r="BA481" s="1067"/>
      <c r="BC481" s="1067"/>
      <c r="BE481" s="1067"/>
      <c r="BF481" s="1067"/>
      <c r="BG481" s="1067"/>
    </row>
    <row r="482" spans="18:59" x14ac:dyDescent="0.35">
      <c r="R482" s="1067"/>
      <c r="S482" s="1067"/>
      <c r="W482" s="1067"/>
      <c r="X482" s="1067"/>
      <c r="AE482" s="1067"/>
      <c r="AF482" s="1067"/>
      <c r="AV482" s="1067"/>
      <c r="AW482" s="1067"/>
      <c r="AX482" s="1067"/>
      <c r="AY482" s="1067"/>
      <c r="AZ482" s="1067"/>
      <c r="BA482" s="1067"/>
      <c r="BC482" s="1067"/>
      <c r="BE482" s="1067"/>
      <c r="BF482" s="1067"/>
      <c r="BG482" s="1067"/>
    </row>
    <row r="483" spans="18:59" x14ac:dyDescent="0.35">
      <c r="R483" s="1067"/>
      <c r="S483" s="1067"/>
      <c r="W483" s="1067"/>
      <c r="X483" s="1067"/>
      <c r="AE483" s="1067"/>
      <c r="AF483" s="1067"/>
      <c r="AV483" s="1067"/>
      <c r="AW483" s="1067"/>
      <c r="AX483" s="1067"/>
      <c r="AY483" s="1067"/>
      <c r="AZ483" s="1067"/>
      <c r="BA483" s="1067"/>
      <c r="BC483" s="1067"/>
      <c r="BE483" s="1067"/>
      <c r="BF483" s="1067"/>
      <c r="BG483" s="1067"/>
    </row>
    <row r="484" spans="18:59" x14ac:dyDescent="0.35">
      <c r="R484" s="1067"/>
      <c r="S484" s="1067"/>
      <c r="W484" s="1067"/>
      <c r="X484" s="1067"/>
      <c r="AE484" s="1067"/>
      <c r="AF484" s="1067"/>
      <c r="AV484" s="1067"/>
      <c r="AW484" s="1067"/>
      <c r="AX484" s="1067"/>
      <c r="AY484" s="1067"/>
      <c r="AZ484" s="1067"/>
      <c r="BA484" s="1067"/>
      <c r="BC484" s="1067"/>
      <c r="BE484" s="1067"/>
      <c r="BF484" s="1067"/>
      <c r="BG484" s="1067"/>
    </row>
    <row r="485" spans="18:59" x14ac:dyDescent="0.35">
      <c r="R485" s="1067"/>
      <c r="S485" s="1067"/>
      <c r="W485" s="1067"/>
      <c r="X485" s="1067"/>
      <c r="AE485" s="1067"/>
      <c r="AF485" s="1067"/>
      <c r="AV485" s="1067"/>
      <c r="AW485" s="1067"/>
      <c r="AX485" s="1067"/>
      <c r="AY485" s="1067"/>
      <c r="AZ485" s="1067"/>
      <c r="BA485" s="1067"/>
      <c r="BC485" s="1067"/>
      <c r="BE485" s="1067"/>
      <c r="BF485" s="1067"/>
      <c r="BG485" s="1067"/>
    </row>
    <row r="486" spans="18:59" x14ac:dyDescent="0.35">
      <c r="R486" s="1067"/>
      <c r="S486" s="1067"/>
      <c r="W486" s="1067"/>
      <c r="X486" s="1067"/>
      <c r="AE486" s="1067"/>
      <c r="AF486" s="1067"/>
      <c r="AV486" s="1067"/>
      <c r="AW486" s="1067"/>
      <c r="AX486" s="1067"/>
      <c r="AY486" s="1067"/>
      <c r="AZ486" s="1067"/>
      <c r="BA486" s="1067"/>
      <c r="BC486" s="1067"/>
      <c r="BE486" s="1067"/>
      <c r="BF486" s="1067"/>
      <c r="BG486" s="1067"/>
    </row>
    <row r="487" spans="18:59" x14ac:dyDescent="0.35">
      <c r="R487" s="1067"/>
      <c r="S487" s="1067"/>
      <c r="W487" s="1067"/>
      <c r="X487" s="1067"/>
      <c r="AE487" s="1067"/>
      <c r="AF487" s="1067"/>
      <c r="AV487" s="1067"/>
      <c r="AW487" s="1067"/>
      <c r="AX487" s="1067"/>
      <c r="AY487" s="1067"/>
      <c r="AZ487" s="1067"/>
      <c r="BA487" s="1067"/>
      <c r="BC487" s="1067"/>
      <c r="BE487" s="1067"/>
      <c r="BF487" s="1067"/>
      <c r="BG487" s="1067"/>
    </row>
    <row r="488" spans="18:59" x14ac:dyDescent="0.35">
      <c r="R488" s="1067"/>
      <c r="S488" s="1067"/>
      <c r="W488" s="1067"/>
      <c r="X488" s="1067"/>
      <c r="AE488" s="1067"/>
      <c r="AF488" s="1067"/>
      <c r="AV488" s="1067"/>
      <c r="AW488" s="1067"/>
      <c r="AX488" s="1067"/>
      <c r="AY488" s="1067"/>
      <c r="AZ488" s="1067"/>
      <c r="BA488" s="1067"/>
      <c r="BC488" s="1067"/>
      <c r="BE488" s="1067"/>
      <c r="BF488" s="1067"/>
      <c r="BG488" s="1067"/>
    </row>
    <row r="489" spans="18:59" x14ac:dyDescent="0.35">
      <c r="R489" s="1067"/>
      <c r="S489" s="1067"/>
      <c r="W489" s="1067"/>
      <c r="X489" s="1067"/>
      <c r="AE489" s="1067"/>
      <c r="AF489" s="1067"/>
      <c r="AV489" s="1067"/>
      <c r="AW489" s="1067"/>
      <c r="AX489" s="1067"/>
      <c r="AY489" s="1067"/>
      <c r="AZ489" s="1067"/>
      <c r="BA489" s="1067"/>
      <c r="BC489" s="1067"/>
      <c r="BE489" s="1067"/>
      <c r="BF489" s="1067"/>
      <c r="BG489" s="1067"/>
    </row>
    <row r="490" spans="18:59" x14ac:dyDescent="0.35">
      <c r="R490" s="1067"/>
      <c r="S490" s="1067"/>
      <c r="W490" s="1067"/>
      <c r="X490" s="1067"/>
      <c r="AE490" s="1067"/>
      <c r="AF490" s="1067"/>
      <c r="AV490" s="1067"/>
      <c r="AW490" s="1067"/>
      <c r="AX490" s="1067"/>
      <c r="AY490" s="1067"/>
      <c r="AZ490" s="1067"/>
      <c r="BA490" s="1067"/>
      <c r="BC490" s="1067"/>
      <c r="BE490" s="1067"/>
      <c r="BF490" s="1067"/>
      <c r="BG490" s="1067"/>
    </row>
    <row r="491" spans="18:59" x14ac:dyDescent="0.35">
      <c r="R491" s="1067"/>
      <c r="S491" s="1067"/>
      <c r="W491" s="1067"/>
      <c r="X491" s="1067"/>
      <c r="AE491" s="1067"/>
      <c r="AF491" s="1067"/>
      <c r="AV491" s="1067"/>
      <c r="AW491" s="1067"/>
      <c r="AX491" s="1067"/>
      <c r="AY491" s="1067"/>
      <c r="AZ491" s="1067"/>
      <c r="BA491" s="1067"/>
      <c r="BC491" s="1067"/>
      <c r="BE491" s="1067"/>
      <c r="BF491" s="1067"/>
      <c r="BG491" s="1067"/>
    </row>
    <row r="492" spans="18:59" x14ac:dyDescent="0.35">
      <c r="R492" s="1067"/>
      <c r="S492" s="1067"/>
      <c r="W492" s="1067"/>
      <c r="X492" s="1067"/>
      <c r="AE492" s="1067"/>
      <c r="AF492" s="1067"/>
      <c r="AV492" s="1067"/>
      <c r="AW492" s="1067"/>
      <c r="AX492" s="1067"/>
      <c r="AY492" s="1067"/>
      <c r="AZ492" s="1067"/>
      <c r="BA492" s="1067"/>
      <c r="BC492" s="1067"/>
      <c r="BE492" s="1067"/>
      <c r="BF492" s="1067"/>
      <c r="BG492" s="1067"/>
    </row>
    <row r="493" spans="18:59" x14ac:dyDescent="0.35">
      <c r="R493" s="1067"/>
      <c r="S493" s="1067"/>
      <c r="W493" s="1067"/>
      <c r="X493" s="1067"/>
      <c r="AE493" s="1067"/>
      <c r="AF493" s="1067"/>
      <c r="AV493" s="1067"/>
      <c r="AW493" s="1067"/>
      <c r="AX493" s="1067"/>
      <c r="AY493" s="1067"/>
      <c r="AZ493" s="1067"/>
      <c r="BA493" s="1067"/>
      <c r="BC493" s="1067"/>
      <c r="BE493" s="1067"/>
      <c r="BF493" s="1067"/>
      <c r="BG493" s="1067"/>
    </row>
    <row r="494" spans="18:59" x14ac:dyDescent="0.35">
      <c r="R494" s="1067"/>
      <c r="S494" s="1067"/>
      <c r="W494" s="1067"/>
      <c r="X494" s="1067"/>
      <c r="AE494" s="1067"/>
      <c r="AF494" s="1067"/>
      <c r="AV494" s="1067"/>
      <c r="AW494" s="1067"/>
      <c r="AX494" s="1067"/>
      <c r="AY494" s="1067"/>
      <c r="AZ494" s="1067"/>
      <c r="BA494" s="1067"/>
      <c r="BC494" s="1067"/>
      <c r="BE494" s="1067"/>
      <c r="BF494" s="1067"/>
      <c r="BG494" s="1067"/>
    </row>
    <row r="495" spans="18:59" x14ac:dyDescent="0.35">
      <c r="R495" s="1067"/>
      <c r="S495" s="1067"/>
      <c r="W495" s="1067"/>
      <c r="X495" s="1067"/>
      <c r="AE495" s="1067"/>
      <c r="AF495" s="1067"/>
      <c r="AV495" s="1067"/>
      <c r="AW495" s="1067"/>
      <c r="AX495" s="1067"/>
      <c r="AY495" s="1067"/>
      <c r="AZ495" s="1067"/>
      <c r="BA495" s="1067"/>
      <c r="BC495" s="1067"/>
      <c r="BE495" s="1067"/>
      <c r="BF495" s="1067"/>
      <c r="BG495" s="1067"/>
    </row>
    <row r="496" spans="18:59" x14ac:dyDescent="0.35">
      <c r="R496" s="1067"/>
      <c r="S496" s="1067"/>
      <c r="W496" s="1067"/>
      <c r="X496" s="1067"/>
      <c r="AE496" s="1067"/>
      <c r="AF496" s="1067"/>
      <c r="AV496" s="1067"/>
      <c r="AW496" s="1067"/>
      <c r="AX496" s="1067"/>
      <c r="AY496" s="1067"/>
      <c r="AZ496" s="1067"/>
      <c r="BA496" s="1067"/>
      <c r="BC496" s="1067"/>
      <c r="BE496" s="1067"/>
      <c r="BF496" s="1067"/>
      <c r="BG496" s="1067"/>
    </row>
    <row r="497" spans="18:59" x14ac:dyDescent="0.35">
      <c r="R497" s="1067"/>
      <c r="S497" s="1067"/>
      <c r="W497" s="1067"/>
      <c r="X497" s="1067"/>
      <c r="AE497" s="1067"/>
      <c r="AF497" s="1067"/>
      <c r="AV497" s="1067"/>
      <c r="AW497" s="1067"/>
      <c r="AX497" s="1067"/>
      <c r="AY497" s="1067"/>
      <c r="AZ497" s="1067"/>
      <c r="BA497" s="1067"/>
      <c r="BC497" s="1067"/>
      <c r="BE497" s="1067"/>
      <c r="BF497" s="1067"/>
      <c r="BG497" s="1067"/>
    </row>
    <row r="498" spans="18:59" x14ac:dyDescent="0.35">
      <c r="R498" s="1067"/>
      <c r="S498" s="1067"/>
      <c r="W498" s="1067"/>
      <c r="X498" s="1067"/>
      <c r="AE498" s="1067"/>
      <c r="AF498" s="1067"/>
      <c r="AV498" s="1067"/>
      <c r="AW498" s="1067"/>
      <c r="AX498" s="1067"/>
      <c r="AY498" s="1067"/>
      <c r="AZ498" s="1067"/>
      <c r="BA498" s="1067"/>
      <c r="BC498" s="1067"/>
      <c r="BE498" s="1067"/>
      <c r="BF498" s="1067"/>
      <c r="BG498" s="1067"/>
    </row>
    <row r="499" spans="18:59" x14ac:dyDescent="0.35">
      <c r="R499" s="1067"/>
      <c r="S499" s="1067"/>
      <c r="W499" s="1067"/>
      <c r="X499" s="1067"/>
      <c r="AE499" s="1067"/>
      <c r="AF499" s="1067"/>
      <c r="AV499" s="1067"/>
      <c r="AW499" s="1067"/>
      <c r="AX499" s="1067"/>
      <c r="AY499" s="1067"/>
      <c r="AZ499" s="1067"/>
      <c r="BA499" s="1067"/>
      <c r="BC499" s="1067"/>
      <c r="BE499" s="1067"/>
      <c r="BF499" s="1067"/>
      <c r="BG499" s="1067"/>
    </row>
    <row r="500" spans="18:59" x14ac:dyDescent="0.35">
      <c r="R500" s="1067"/>
      <c r="S500" s="1067"/>
      <c r="W500" s="1067"/>
      <c r="X500" s="1067"/>
      <c r="AE500" s="1067"/>
      <c r="AF500" s="1067"/>
      <c r="AV500" s="1067"/>
      <c r="AW500" s="1067"/>
      <c r="AX500" s="1067"/>
      <c r="AY500" s="1067"/>
      <c r="AZ500" s="1067"/>
      <c r="BA500" s="1067"/>
      <c r="BC500" s="1067"/>
      <c r="BE500" s="1067"/>
      <c r="BF500" s="1067"/>
      <c r="BG500" s="1067"/>
    </row>
    <row r="501" spans="18:59" x14ac:dyDescent="0.35">
      <c r="R501" s="1067"/>
      <c r="S501" s="1067"/>
      <c r="W501" s="1067"/>
      <c r="X501" s="1067"/>
      <c r="AE501" s="1067"/>
      <c r="AF501" s="1067"/>
      <c r="AV501" s="1067"/>
      <c r="AW501" s="1067"/>
      <c r="AX501" s="1067"/>
      <c r="AY501" s="1067"/>
      <c r="AZ501" s="1067"/>
      <c r="BA501" s="1067"/>
      <c r="BC501" s="1067"/>
      <c r="BE501" s="1067"/>
      <c r="BF501" s="1067"/>
      <c r="BG501" s="1067"/>
    </row>
    <row r="502" spans="18:59" x14ac:dyDescent="0.35">
      <c r="R502" s="1067"/>
      <c r="S502" s="1067"/>
      <c r="W502" s="1067"/>
      <c r="X502" s="1067"/>
      <c r="AE502" s="1067"/>
      <c r="AF502" s="1067"/>
      <c r="AV502" s="1067"/>
      <c r="AW502" s="1067"/>
      <c r="AX502" s="1067"/>
      <c r="AY502" s="1067"/>
      <c r="AZ502" s="1067"/>
      <c r="BA502" s="1067"/>
      <c r="BC502" s="1067"/>
      <c r="BE502" s="1067"/>
      <c r="BF502" s="1067"/>
      <c r="BG502" s="1067"/>
    </row>
  </sheetData>
  <mergeCells count="6">
    <mergeCell ref="I1:K1"/>
    <mergeCell ref="Y2:AD2"/>
    <mergeCell ref="AG2:AI2"/>
    <mergeCell ref="AU2:BA2"/>
    <mergeCell ref="AJ2:AS2"/>
    <mergeCell ref="P2:S2"/>
  </mergeCells>
  <pageMargins left="0.7" right="0.7" top="0.75" bottom="0.75" header="0.3" footer="0.3"/>
  <pageSetup orientation="portrait"/>
  <drawing r:id="rId1"/>
  <legacy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W19"/>
  <sheetViews>
    <sheetView zoomScale="94" workbookViewId="0">
      <selection activeCell="D8" sqref="D8"/>
    </sheetView>
  </sheetViews>
  <sheetFormatPr defaultColWidth="11.453125" defaultRowHeight="14.5" x14ac:dyDescent="0.35"/>
  <cols>
    <col min="1" max="1" width="23.1796875" customWidth="1"/>
  </cols>
  <sheetData>
    <row r="1" spans="1:22" x14ac:dyDescent="0.35">
      <c r="A1" s="1072" t="s">
        <v>731</v>
      </c>
      <c r="B1" s="1072"/>
      <c r="C1" s="1072"/>
      <c r="D1" s="1072"/>
    </row>
    <row r="2" spans="1:22" x14ac:dyDescent="0.35">
      <c r="A2" t="s">
        <v>732</v>
      </c>
      <c r="B2" s="109">
        <v>2021</v>
      </c>
      <c r="C2" s="109">
        <v>2021</v>
      </c>
      <c r="D2" s="109">
        <v>2021</v>
      </c>
      <c r="E2" s="109">
        <v>2022</v>
      </c>
      <c r="F2" s="109">
        <v>2022</v>
      </c>
      <c r="G2" s="109">
        <v>2022</v>
      </c>
      <c r="H2" s="109">
        <v>2022</v>
      </c>
      <c r="I2" s="109">
        <v>2023</v>
      </c>
      <c r="J2" s="109">
        <v>2023</v>
      </c>
      <c r="K2" s="109">
        <v>2023</v>
      </c>
      <c r="L2" s="109">
        <v>2023</v>
      </c>
      <c r="M2" s="109">
        <v>2024</v>
      </c>
      <c r="N2" s="109">
        <v>2024</v>
      </c>
      <c r="O2" s="109">
        <v>2024</v>
      </c>
      <c r="P2" s="109">
        <v>2024</v>
      </c>
      <c r="Q2" s="109">
        <v>2025</v>
      </c>
      <c r="R2" s="109">
        <v>2025</v>
      </c>
      <c r="S2" s="109">
        <v>2025</v>
      </c>
      <c r="T2" s="109">
        <v>2025</v>
      </c>
      <c r="U2" s="109">
        <v>2026</v>
      </c>
    </row>
    <row r="3" spans="1:22" x14ac:dyDescent="0.35">
      <c r="A3" s="884" t="s">
        <v>733</v>
      </c>
      <c r="B3" s="887" t="s">
        <v>734</v>
      </c>
      <c r="C3" s="887" t="s">
        <v>735</v>
      </c>
      <c r="D3" s="887" t="s">
        <v>736</v>
      </c>
      <c r="E3" s="887" t="s">
        <v>737</v>
      </c>
      <c r="F3" s="887" t="s">
        <v>738</v>
      </c>
      <c r="G3" s="887" t="s">
        <v>739</v>
      </c>
      <c r="H3" s="887" t="s">
        <v>740</v>
      </c>
      <c r="I3" s="887" t="s">
        <v>741</v>
      </c>
      <c r="J3" s="887" t="s">
        <v>742</v>
      </c>
      <c r="K3" s="887" t="s">
        <v>743</v>
      </c>
      <c r="L3" s="887" t="s">
        <v>744</v>
      </c>
      <c r="M3" s="887" t="s">
        <v>745</v>
      </c>
      <c r="N3" s="887" t="s">
        <v>746</v>
      </c>
      <c r="O3" s="887" t="s">
        <v>747</v>
      </c>
      <c r="P3" s="887" t="s">
        <v>748</v>
      </c>
      <c r="Q3" s="887" t="s">
        <v>749</v>
      </c>
      <c r="R3" s="887" t="s">
        <v>750</v>
      </c>
      <c r="S3" s="887" t="s">
        <v>751</v>
      </c>
      <c r="T3" s="887" t="s">
        <v>752</v>
      </c>
      <c r="U3" s="887" t="s">
        <v>753</v>
      </c>
    </row>
    <row r="4" spans="1:22" x14ac:dyDescent="0.35">
      <c r="A4" s="884" t="s">
        <v>754</v>
      </c>
      <c r="B4" s="887"/>
      <c r="C4" s="887"/>
      <c r="D4" s="887">
        <v>0</v>
      </c>
      <c r="E4" s="887">
        <v>0</v>
      </c>
      <c r="F4" s="887">
        <v>0.5</v>
      </c>
      <c r="G4" s="887">
        <v>0.5</v>
      </c>
      <c r="H4" s="887">
        <v>0</v>
      </c>
      <c r="I4" s="887">
        <v>0</v>
      </c>
      <c r="J4" s="887">
        <v>0</v>
      </c>
      <c r="K4" s="887">
        <v>0</v>
      </c>
      <c r="L4" s="887">
        <v>0</v>
      </c>
      <c r="M4" s="887">
        <v>0</v>
      </c>
      <c r="N4" s="887">
        <v>0</v>
      </c>
      <c r="O4" s="887">
        <v>0</v>
      </c>
      <c r="P4" s="887">
        <v>0</v>
      </c>
      <c r="Q4" s="887">
        <v>0</v>
      </c>
      <c r="R4" s="887">
        <v>0</v>
      </c>
      <c r="S4" s="887">
        <v>0</v>
      </c>
      <c r="T4" s="887">
        <v>0</v>
      </c>
      <c r="U4" s="887">
        <v>0</v>
      </c>
    </row>
    <row r="5" spans="1:22" x14ac:dyDescent="0.35">
      <c r="A5" s="884" t="s">
        <v>755</v>
      </c>
      <c r="B5" s="887">
        <v>0.04</v>
      </c>
      <c r="C5" s="887">
        <v>0.48</v>
      </c>
      <c r="D5" s="887">
        <v>0.48</v>
      </c>
      <c r="E5" s="887">
        <v>0</v>
      </c>
      <c r="F5" s="887">
        <v>0</v>
      </c>
      <c r="G5" s="887">
        <v>0</v>
      </c>
      <c r="H5" s="887">
        <v>0</v>
      </c>
      <c r="I5" s="887">
        <v>0</v>
      </c>
      <c r="J5" s="887">
        <v>0</v>
      </c>
      <c r="K5" s="887">
        <v>0</v>
      </c>
      <c r="L5" s="887">
        <v>0</v>
      </c>
      <c r="M5" s="887">
        <v>0</v>
      </c>
      <c r="N5" s="887">
        <v>0</v>
      </c>
      <c r="O5" s="887">
        <v>0</v>
      </c>
      <c r="P5" s="887">
        <v>0</v>
      </c>
      <c r="Q5" s="887">
        <v>0</v>
      </c>
      <c r="R5" s="887">
        <v>0</v>
      </c>
      <c r="S5" s="887">
        <v>0</v>
      </c>
      <c r="T5" s="887">
        <v>0</v>
      </c>
      <c r="U5" s="887">
        <v>0</v>
      </c>
    </row>
    <row r="6" spans="1:22" x14ac:dyDescent="0.35">
      <c r="A6" s="884" t="s">
        <v>756</v>
      </c>
      <c r="B6" s="887">
        <f>B8</f>
        <v>0</v>
      </c>
      <c r="C6" s="887">
        <f>C8</f>
        <v>0.43</v>
      </c>
      <c r="D6" s="887">
        <f t="shared" ref="D6:U6" si="0">D8</f>
        <v>0.56999999999999995</v>
      </c>
      <c r="E6" s="887">
        <f t="shared" si="0"/>
        <v>0.25</v>
      </c>
      <c r="F6" s="887">
        <f t="shared" si="0"/>
        <v>0.25</v>
      </c>
      <c r="G6" s="887">
        <f t="shared" si="0"/>
        <v>0.25</v>
      </c>
      <c r="H6" s="887">
        <f t="shared" si="0"/>
        <v>0.25</v>
      </c>
      <c r="I6" s="887">
        <f t="shared" si="0"/>
        <v>0.25</v>
      </c>
      <c r="J6" s="887">
        <f t="shared" si="0"/>
        <v>0.25</v>
      </c>
      <c r="K6" s="887">
        <f t="shared" si="0"/>
        <v>0.25</v>
      </c>
      <c r="L6" s="887">
        <f t="shared" si="0"/>
        <v>0.25</v>
      </c>
      <c r="M6" s="887">
        <f t="shared" si="0"/>
        <v>0.25</v>
      </c>
      <c r="N6" s="887">
        <f t="shared" si="0"/>
        <v>0.25</v>
      </c>
      <c r="O6" s="887">
        <f t="shared" si="0"/>
        <v>0.25</v>
      </c>
      <c r="P6" s="887">
        <f t="shared" si="0"/>
        <v>0.25</v>
      </c>
      <c r="Q6" s="887">
        <f t="shared" si="0"/>
        <v>0.25</v>
      </c>
      <c r="R6" s="887">
        <f t="shared" si="0"/>
        <v>0.25</v>
      </c>
      <c r="S6" s="887">
        <f t="shared" si="0"/>
        <v>0.25</v>
      </c>
      <c r="T6" s="887">
        <f t="shared" si="0"/>
        <v>0.25</v>
      </c>
      <c r="U6" s="887">
        <f t="shared" si="0"/>
        <v>0.25</v>
      </c>
    </row>
    <row r="7" spans="1:22" x14ac:dyDescent="0.35">
      <c r="A7" s="884" t="s">
        <v>757</v>
      </c>
      <c r="B7" s="887">
        <v>0</v>
      </c>
      <c r="C7" s="887">
        <v>0</v>
      </c>
      <c r="D7" s="887">
        <v>1</v>
      </c>
      <c r="E7" s="887">
        <v>0.25</v>
      </c>
      <c r="F7" s="887">
        <v>0.25</v>
      </c>
      <c r="G7" s="887">
        <v>0.25</v>
      </c>
      <c r="H7" s="887">
        <v>0.25</v>
      </c>
      <c r="I7" s="887">
        <v>0.25</v>
      </c>
      <c r="J7" s="887">
        <v>0.25</v>
      </c>
      <c r="K7" s="887">
        <v>0.25</v>
      </c>
      <c r="L7" s="887">
        <v>0.25</v>
      </c>
      <c r="M7" s="887">
        <v>0.25</v>
      </c>
      <c r="N7" s="887">
        <v>0.25</v>
      </c>
      <c r="O7" s="887">
        <v>0.25</v>
      </c>
      <c r="P7" s="887">
        <v>0.25</v>
      </c>
      <c r="Q7" s="887">
        <v>0.25</v>
      </c>
      <c r="R7" s="887">
        <v>0.25</v>
      </c>
      <c r="S7" s="887">
        <v>0.25</v>
      </c>
      <c r="T7" s="887">
        <v>0.25</v>
      </c>
      <c r="U7" s="887">
        <v>0.25</v>
      </c>
    </row>
    <row r="8" spans="1:22" x14ac:dyDescent="0.35">
      <c r="A8" s="884" t="s">
        <v>758</v>
      </c>
      <c r="B8" s="887">
        <v>0</v>
      </c>
      <c r="C8" s="887">
        <v>0.43</v>
      </c>
      <c r="D8" s="887">
        <v>0.56999999999999995</v>
      </c>
      <c r="E8" s="887">
        <v>0.25</v>
      </c>
      <c r="F8" s="887">
        <v>0.25</v>
      </c>
      <c r="G8" s="887">
        <v>0.25</v>
      </c>
      <c r="H8" s="887">
        <v>0.25</v>
      </c>
      <c r="I8" s="887">
        <v>0.25</v>
      </c>
      <c r="J8" s="887">
        <v>0.25</v>
      </c>
      <c r="K8" s="887">
        <v>0.25</v>
      </c>
      <c r="L8" s="887">
        <v>0.25</v>
      </c>
      <c r="M8" s="887">
        <v>0.25</v>
      </c>
      <c r="N8" s="887">
        <v>0.25</v>
      </c>
      <c r="O8" s="887">
        <v>0.25</v>
      </c>
      <c r="P8" s="887">
        <v>0.25</v>
      </c>
      <c r="Q8" s="887">
        <v>0.25</v>
      </c>
      <c r="R8" s="887">
        <v>0.25</v>
      </c>
      <c r="S8" s="887">
        <v>0.25</v>
      </c>
      <c r="T8" s="887">
        <v>0.25</v>
      </c>
      <c r="U8" s="887">
        <v>0.25</v>
      </c>
    </row>
    <row r="9" spans="1:22" ht="27" customHeight="1" x14ac:dyDescent="0.35">
      <c r="A9" s="884" t="s">
        <v>759</v>
      </c>
      <c r="B9" s="887">
        <v>0</v>
      </c>
      <c r="C9" s="887">
        <f>0.18</f>
        <v>0.18</v>
      </c>
      <c r="D9" s="887">
        <f>1-C9</f>
        <v>0.82000000000000006</v>
      </c>
      <c r="E9" s="887">
        <v>0.25</v>
      </c>
      <c r="F9" s="887">
        <v>0.25</v>
      </c>
      <c r="G9" s="887">
        <v>0.25</v>
      </c>
      <c r="H9" s="887">
        <v>0.25</v>
      </c>
      <c r="I9" s="887">
        <v>0.25</v>
      </c>
      <c r="J9" s="887">
        <v>0.25</v>
      </c>
      <c r="K9" s="887">
        <v>0.25</v>
      </c>
      <c r="L9" s="887">
        <v>0.25</v>
      </c>
      <c r="M9" s="887">
        <v>0.25</v>
      </c>
      <c r="N9" s="887">
        <v>0.25</v>
      </c>
      <c r="O9" s="887">
        <v>0.25</v>
      </c>
      <c r="P9" s="887">
        <v>0.25</v>
      </c>
      <c r="Q9" s="887">
        <v>0.25</v>
      </c>
      <c r="R9" s="887">
        <v>0.25</v>
      </c>
      <c r="S9" s="887">
        <v>0.25</v>
      </c>
      <c r="T9" s="887">
        <v>0.25</v>
      </c>
      <c r="U9" s="887">
        <v>0.25</v>
      </c>
    </row>
    <row r="10" spans="1:22" x14ac:dyDescent="0.35">
      <c r="A10" s="884" t="s">
        <v>760</v>
      </c>
      <c r="B10" s="887">
        <v>0</v>
      </c>
      <c r="C10" s="887">
        <v>0.5</v>
      </c>
      <c r="D10" s="887">
        <v>0.5</v>
      </c>
      <c r="E10" s="887">
        <v>0.25</v>
      </c>
      <c r="F10" s="887">
        <v>0.25</v>
      </c>
      <c r="G10" s="887">
        <v>0.25</v>
      </c>
      <c r="H10" s="887">
        <v>0.25</v>
      </c>
      <c r="I10" s="887">
        <v>0.25</v>
      </c>
      <c r="J10" s="887">
        <v>0.25</v>
      </c>
      <c r="K10" s="887">
        <v>0.25</v>
      </c>
      <c r="L10" s="887">
        <v>0.25</v>
      </c>
      <c r="M10" s="887">
        <v>0.25</v>
      </c>
      <c r="N10" s="887">
        <v>0.25</v>
      </c>
      <c r="O10" s="887">
        <v>0.25</v>
      </c>
      <c r="P10" s="887">
        <v>0.25</v>
      </c>
      <c r="Q10" s="887">
        <v>0.25</v>
      </c>
      <c r="R10" s="887">
        <v>0.25</v>
      </c>
      <c r="S10" s="887">
        <v>0.25</v>
      </c>
      <c r="T10" s="887">
        <v>0.25</v>
      </c>
      <c r="U10" s="887">
        <v>0.25</v>
      </c>
    </row>
    <row r="11" spans="1:22" x14ac:dyDescent="0.35">
      <c r="A11" s="884" t="s">
        <v>761</v>
      </c>
      <c r="B11" s="887">
        <v>0</v>
      </c>
      <c r="C11" s="887">
        <v>0.5</v>
      </c>
      <c r="D11" s="887">
        <v>0.5</v>
      </c>
      <c r="E11" s="887">
        <v>0.25</v>
      </c>
      <c r="F11" s="887">
        <v>0.25</v>
      </c>
      <c r="G11" s="887">
        <v>0.25</v>
      </c>
      <c r="H11" s="887">
        <v>0.25</v>
      </c>
      <c r="I11" s="887">
        <v>0.25</v>
      </c>
      <c r="J11" s="887">
        <v>0.25</v>
      </c>
      <c r="K11" s="887">
        <v>0.25</v>
      </c>
      <c r="L11" s="887">
        <v>0.25</v>
      </c>
      <c r="M11" s="887">
        <v>0.25</v>
      </c>
      <c r="N11" s="887">
        <v>0.25</v>
      </c>
      <c r="O11" s="887">
        <v>0.25</v>
      </c>
      <c r="P11" s="887">
        <v>0.25</v>
      </c>
      <c r="Q11" s="887">
        <v>0.25</v>
      </c>
      <c r="R11" s="887">
        <v>0.25</v>
      </c>
      <c r="S11" s="887">
        <v>0.25</v>
      </c>
      <c r="T11" s="887">
        <v>0.25</v>
      </c>
      <c r="U11" s="887">
        <v>0.25</v>
      </c>
    </row>
    <row r="12" spans="1:22" ht="14.25" customHeight="1" x14ac:dyDescent="0.35">
      <c r="A12" s="884" t="s">
        <v>762</v>
      </c>
      <c r="B12" s="887">
        <v>1</v>
      </c>
      <c r="C12" s="887"/>
      <c r="D12" s="887"/>
      <c r="E12" s="887"/>
      <c r="F12" s="887"/>
      <c r="G12" s="887"/>
      <c r="H12" s="887"/>
      <c r="I12" s="887"/>
      <c r="J12" s="887"/>
      <c r="K12" s="887"/>
      <c r="L12" s="887"/>
      <c r="M12" s="887"/>
      <c r="N12" s="887"/>
      <c r="O12" s="887"/>
      <c r="P12" s="887"/>
      <c r="Q12" s="887"/>
      <c r="R12" s="887"/>
      <c r="S12" s="887"/>
      <c r="T12" s="887"/>
      <c r="U12" s="887"/>
    </row>
    <row r="13" spans="1:22" x14ac:dyDescent="0.35">
      <c r="A13" s="884" t="s">
        <v>763</v>
      </c>
      <c r="B13" s="887">
        <v>0</v>
      </c>
      <c r="C13" s="887">
        <v>0.4</v>
      </c>
      <c r="D13" s="887">
        <v>0.6</v>
      </c>
      <c r="E13" s="887">
        <v>0.4</v>
      </c>
      <c r="F13" s="887">
        <v>0.3</v>
      </c>
      <c r="G13" s="887">
        <v>0.2</v>
      </c>
      <c r="H13" s="887">
        <v>0.1</v>
      </c>
      <c r="I13" s="887">
        <v>0.25</v>
      </c>
      <c r="J13" s="887">
        <v>0.25</v>
      </c>
      <c r="K13" s="887">
        <v>0.25</v>
      </c>
      <c r="L13" s="887">
        <v>0.25</v>
      </c>
      <c r="M13" s="887">
        <v>0.25</v>
      </c>
      <c r="N13" s="887">
        <v>0.25</v>
      </c>
      <c r="O13" s="887">
        <v>0.25</v>
      </c>
      <c r="P13" s="887">
        <v>0.25</v>
      </c>
      <c r="Q13" s="887">
        <v>0.25</v>
      </c>
      <c r="R13" s="887">
        <v>0.25</v>
      </c>
      <c r="S13" s="887">
        <v>0.25</v>
      </c>
      <c r="T13" s="887">
        <v>0.25</v>
      </c>
      <c r="U13" s="887">
        <v>0.25</v>
      </c>
    </row>
    <row r="14" spans="1:22" x14ac:dyDescent="0.35">
      <c r="A14" s="884"/>
      <c r="B14" s="887"/>
      <c r="C14" s="887"/>
      <c r="D14" s="887"/>
      <c r="E14" s="887"/>
      <c r="F14" s="887"/>
      <c r="G14" s="887"/>
      <c r="H14" s="887"/>
      <c r="I14" s="887"/>
      <c r="J14" s="887"/>
      <c r="K14" s="887"/>
      <c r="L14" s="887"/>
      <c r="M14" s="887"/>
      <c r="N14" s="887"/>
      <c r="O14" s="887"/>
      <c r="P14" s="887"/>
      <c r="Q14" s="887"/>
      <c r="R14" s="887"/>
      <c r="S14" s="887"/>
      <c r="T14" s="887"/>
      <c r="U14" s="887"/>
    </row>
    <row r="15" spans="1:22" ht="27" customHeight="1" x14ac:dyDescent="0.35">
      <c r="A15" s="1071" t="s">
        <v>764</v>
      </c>
      <c r="B15" s="887">
        <v>1</v>
      </c>
      <c r="C15" s="887">
        <v>2</v>
      </c>
      <c r="D15" s="887">
        <v>3</v>
      </c>
      <c r="E15" s="887">
        <v>4</v>
      </c>
      <c r="F15" s="887">
        <v>5</v>
      </c>
      <c r="G15" s="887">
        <v>6</v>
      </c>
      <c r="H15" s="887">
        <v>7</v>
      </c>
      <c r="I15" s="887">
        <v>8</v>
      </c>
      <c r="J15" s="887">
        <v>9</v>
      </c>
      <c r="K15" s="887">
        <v>10</v>
      </c>
      <c r="L15" s="887">
        <v>11</v>
      </c>
      <c r="M15" s="887">
        <v>12</v>
      </c>
      <c r="N15" s="887">
        <v>13</v>
      </c>
      <c r="O15" s="887">
        <v>14</v>
      </c>
      <c r="P15" s="887">
        <v>15</v>
      </c>
      <c r="Q15" s="887">
        <v>16</v>
      </c>
      <c r="R15" s="887">
        <v>17</v>
      </c>
      <c r="S15" s="887">
        <v>18</v>
      </c>
      <c r="T15" s="887">
        <v>19</v>
      </c>
      <c r="U15" s="887">
        <v>20</v>
      </c>
    </row>
    <row r="16" spans="1:22" x14ac:dyDescent="0.35">
      <c r="A16" s="884" t="s">
        <v>765</v>
      </c>
      <c r="B16" s="887">
        <v>7.0000000000000007E-2</v>
      </c>
      <c r="C16" s="887">
        <v>7.0000000000000007E-2</v>
      </c>
      <c r="D16" s="887">
        <v>4.9000000000000002E-2</v>
      </c>
      <c r="E16" s="887">
        <v>4.9000000000000002E-2</v>
      </c>
      <c r="F16" s="887">
        <v>4.9000000000000002E-2</v>
      </c>
      <c r="G16" s="887">
        <v>4.9000000000000002E-2</v>
      </c>
      <c r="H16" s="887">
        <v>4.9000000000000002E-2</v>
      </c>
      <c r="I16" s="887">
        <v>4.9000000000000002E-2</v>
      </c>
      <c r="J16" s="887">
        <v>4.9000000000000002E-2</v>
      </c>
      <c r="K16" s="887">
        <v>4.9000000000000002E-2</v>
      </c>
      <c r="L16" s="887">
        <v>4.9000000000000002E-2</v>
      </c>
      <c r="M16" s="887">
        <v>4.9000000000000002E-2</v>
      </c>
      <c r="N16" s="887">
        <f t="shared" ref="N16:T16" si="1">0.0475</f>
        <v>4.7500000000000001E-2</v>
      </c>
      <c r="O16" s="887">
        <f t="shared" si="1"/>
        <v>4.7500000000000001E-2</v>
      </c>
      <c r="P16" s="887">
        <f t="shared" si="1"/>
        <v>4.7500000000000001E-2</v>
      </c>
      <c r="Q16" s="887">
        <f t="shared" si="1"/>
        <v>4.7500000000000001E-2</v>
      </c>
      <c r="R16" s="887">
        <f t="shared" si="1"/>
        <v>4.7500000000000001E-2</v>
      </c>
      <c r="S16" s="887">
        <f t="shared" si="1"/>
        <v>4.7500000000000001E-2</v>
      </c>
      <c r="T16" s="887">
        <f t="shared" si="1"/>
        <v>4.7500000000000001E-2</v>
      </c>
      <c r="U16" s="887">
        <f>0.0375</f>
        <v>3.7499999999999999E-2</v>
      </c>
      <c r="V16" s="887">
        <f>SUM(B16:U16)</f>
        <v>0.99999999999999989</v>
      </c>
    </row>
    <row r="17" spans="1:23" ht="27" customHeight="1" x14ac:dyDescent="0.35">
      <c r="A17" s="884" t="s">
        <v>766</v>
      </c>
      <c r="B17">
        <v>0</v>
      </c>
      <c r="C17">
        <v>0</v>
      </c>
      <c r="D17">
        <v>3.5000000000000003E-2</v>
      </c>
      <c r="E17">
        <v>4.65E-2</v>
      </c>
      <c r="F17">
        <v>0.06</v>
      </c>
      <c r="G17">
        <v>6.5000000000000002E-2</v>
      </c>
      <c r="H17">
        <v>0.05</v>
      </c>
      <c r="I17">
        <v>0.05</v>
      </c>
      <c r="J17">
        <v>0.06</v>
      </c>
      <c r="K17">
        <v>0.06</v>
      </c>
      <c r="L17">
        <v>7.0000000000000007E-2</v>
      </c>
      <c r="M17">
        <v>7.0000000000000007E-2</v>
      </c>
      <c r="N17">
        <v>0.06</v>
      </c>
      <c r="O17">
        <v>0.06</v>
      </c>
      <c r="P17">
        <v>5.3499999999999999E-2</v>
      </c>
      <c r="Q17">
        <f t="shared" ref="Q17:T17" si="2">Q16</f>
        <v>4.7500000000000001E-2</v>
      </c>
      <c r="R17">
        <f t="shared" si="2"/>
        <v>4.7500000000000001E-2</v>
      </c>
      <c r="S17">
        <f t="shared" si="2"/>
        <v>4.7500000000000001E-2</v>
      </c>
      <c r="T17">
        <f t="shared" si="2"/>
        <v>4.7500000000000001E-2</v>
      </c>
      <c r="U17">
        <v>0.01</v>
      </c>
      <c r="V17" s="887">
        <f>SUM(B17:U17)</f>
        <v>0.94000000000000006</v>
      </c>
      <c r="W17" t="s">
        <v>767</v>
      </c>
    </row>
    <row r="19" spans="1:23" x14ac:dyDescent="0.35">
      <c r="B19" s="1070" t="e">
        <f>'Federal and State Purchases'!#REF!</f>
        <v>#REF!</v>
      </c>
      <c r="C19" s="1070" t="e">
        <f>'Federal and State Purchases'!#REF!</f>
        <v>#REF!</v>
      </c>
    </row>
  </sheetData>
  <pageMargins left="0.7" right="0.7" top="0.75" bottom="0.75" header="0.3" footer="0.3"/>
  <pageSetup paperSize="9" orientation="portrait" horizontalDpi="300" verticalDpi="30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X99"/>
  <sheetViews>
    <sheetView zoomScale="98" zoomScaleNormal="80" workbookViewId="0">
      <selection activeCell="J6" sqref="J6"/>
    </sheetView>
  </sheetViews>
  <sheetFormatPr defaultColWidth="11.453125" defaultRowHeight="14.5" x14ac:dyDescent="0.35"/>
  <cols>
    <col min="1" max="1" width="15.453125" customWidth="1"/>
    <col min="2" max="2" width="32.453125" customWidth="1"/>
  </cols>
  <sheetData>
    <row r="1" spans="1:23" x14ac:dyDescent="0.35">
      <c r="A1" s="1030" t="s">
        <v>768</v>
      </c>
      <c r="B1" s="1030" t="s">
        <v>678</v>
      </c>
      <c r="C1" s="1073">
        <v>2021</v>
      </c>
      <c r="D1" s="1073">
        <f>C1</f>
        <v>2021</v>
      </c>
      <c r="E1" s="1073">
        <f>D1</f>
        <v>2021</v>
      </c>
      <c r="F1" s="1073">
        <v>2022</v>
      </c>
      <c r="G1" s="1073">
        <v>2022</v>
      </c>
      <c r="H1" s="1073">
        <v>2022</v>
      </c>
      <c r="I1" s="1073">
        <v>2022</v>
      </c>
      <c r="J1" s="1073">
        <v>2023</v>
      </c>
      <c r="K1" s="1073">
        <v>2023</v>
      </c>
      <c r="L1" s="1073">
        <v>2023</v>
      </c>
      <c r="M1" s="1073">
        <v>2023</v>
      </c>
      <c r="N1" s="1073">
        <v>2024</v>
      </c>
      <c r="O1" s="1073">
        <v>2024</v>
      </c>
      <c r="P1" s="1073">
        <v>2024</v>
      </c>
      <c r="Q1" s="1073">
        <v>2024</v>
      </c>
      <c r="R1" s="1073">
        <v>2025</v>
      </c>
      <c r="S1" s="1073">
        <v>2025</v>
      </c>
      <c r="T1" s="1073">
        <v>2025</v>
      </c>
      <c r="U1" s="1073">
        <v>2025</v>
      </c>
      <c r="V1" s="1073">
        <v>2026</v>
      </c>
    </row>
    <row r="2" spans="1:23" x14ac:dyDescent="0.35">
      <c r="B2" s="1030" t="s">
        <v>769</v>
      </c>
      <c r="C2" s="109" t="s">
        <v>250</v>
      </c>
      <c r="D2" s="109" t="s">
        <v>251</v>
      </c>
      <c r="E2" s="109" t="s">
        <v>180</v>
      </c>
      <c r="F2" s="109" t="s">
        <v>181</v>
      </c>
      <c r="G2" s="109" t="s">
        <v>182</v>
      </c>
      <c r="H2" s="109" t="s">
        <v>183</v>
      </c>
      <c r="I2" s="109" t="s">
        <v>184</v>
      </c>
      <c r="J2" s="109" t="s">
        <v>185</v>
      </c>
      <c r="K2" s="109" t="s">
        <v>186</v>
      </c>
      <c r="L2" s="109" t="s">
        <v>187</v>
      </c>
      <c r="M2" s="109" t="s">
        <v>188</v>
      </c>
      <c r="N2" s="109" t="s">
        <v>189</v>
      </c>
      <c r="O2" s="109" t="s">
        <v>190</v>
      </c>
      <c r="P2" s="109" t="s">
        <v>191</v>
      </c>
      <c r="Q2" s="109" t="s">
        <v>175</v>
      </c>
      <c r="R2" s="109" t="s">
        <v>176</v>
      </c>
      <c r="S2" s="109" t="s">
        <v>177</v>
      </c>
      <c r="T2" s="109" t="s">
        <v>770</v>
      </c>
      <c r="U2" s="109" t="s">
        <v>771</v>
      </c>
      <c r="V2" s="109" t="s">
        <v>772</v>
      </c>
    </row>
    <row r="3" spans="1:23" x14ac:dyDescent="0.35">
      <c r="A3" s="1030">
        <v>3</v>
      </c>
      <c r="B3" s="1030" t="s">
        <v>533</v>
      </c>
      <c r="C3" s="1074">
        <f>4*'ARP Timing'!B6*VLOOKUP(C$1,'ARP Score'!$A$5:$M14,$A3)</f>
        <v>0</v>
      </c>
      <c r="D3" s="1074">
        <f>4*'ARP Timing'!C6*VLOOKUP(D$1,'ARP Score'!$A$5:$M14,$A3)</f>
        <v>336.60399999999998</v>
      </c>
      <c r="E3" s="1074">
        <f>4*'ARP Timing'!D6*VLOOKUP(E$1,'ARP Score'!$A$5:$M14,$A3)</f>
        <v>446.19599999999991</v>
      </c>
      <c r="F3" s="1074">
        <f>4*'ARP Timing'!E6*VLOOKUP(F$1,'ARP Score'!$A$5:$M14,$A3)</f>
        <v>10.1</v>
      </c>
      <c r="G3" s="1074">
        <f>4*'ARP Timing'!F6*VLOOKUP(G$1,'ARP Score'!$A$5:$M14,$A3)</f>
        <v>10.1</v>
      </c>
      <c r="H3" s="1074">
        <f>4*'ARP Timing'!G6*VLOOKUP(H$1,'ARP Score'!$A$5:$M14,$A3)</f>
        <v>10.1</v>
      </c>
      <c r="I3" s="1074">
        <f>4*'ARP Timing'!H6*VLOOKUP(I$1,'ARP Score'!$A$5:$M14,$A3)</f>
        <v>10.1</v>
      </c>
      <c r="J3" s="1074">
        <f>4*'ARP Timing'!I6*VLOOKUP(J$1,'ARP Score'!$A$5:$M14,$A3)</f>
        <v>0</v>
      </c>
      <c r="K3" s="1074">
        <f>4*'ARP Timing'!J6*VLOOKUP(K$1,'ARP Score'!$A$5:$M14,$A3)</f>
        <v>0</v>
      </c>
      <c r="L3" s="1074">
        <f>4*'ARP Timing'!K6*VLOOKUP(L$1,'ARP Score'!$A$5:$M14,$A3)</f>
        <v>0</v>
      </c>
      <c r="M3" s="1074">
        <f>4*'ARP Timing'!L6*VLOOKUP(M$1,'ARP Score'!$A$5:$M14,$A3)</f>
        <v>0</v>
      </c>
      <c r="N3" s="1074">
        <f>4*'ARP Timing'!M6*VLOOKUP(N$1,'ARP Score'!$A$5:$M14,$A3)</f>
        <v>0</v>
      </c>
      <c r="O3" s="1074">
        <f>4*'ARP Timing'!N6*VLOOKUP(O$1,'ARP Score'!$A$5:$M14,$A3)</f>
        <v>0</v>
      </c>
      <c r="P3" s="1074">
        <f>4*'ARP Timing'!O6*VLOOKUP(P$1,'ARP Score'!$A$5:$M14,$A3)</f>
        <v>0</v>
      </c>
      <c r="Q3" s="1074">
        <f>4*'ARP Timing'!P6*VLOOKUP(Q$1,'ARP Score'!$A$5:$M14,$A3)</f>
        <v>0</v>
      </c>
      <c r="R3" s="1074">
        <f>4*'ARP Timing'!Q6*VLOOKUP(R$1,'ARP Score'!$A$5:$M14,$A3)</f>
        <v>0</v>
      </c>
      <c r="S3" s="1074">
        <f>4*'ARP Timing'!R6*VLOOKUP(S$1,'ARP Score'!$A$5:$M14,$A3)</f>
        <v>0</v>
      </c>
      <c r="T3" s="1074">
        <f>4*'ARP Timing'!S6*VLOOKUP(T$1,'ARP Score'!$A$5:$M14,$A3)</f>
        <v>0</v>
      </c>
      <c r="U3" s="1074">
        <f>4*'ARP Timing'!T6*VLOOKUP(U$1,'ARP Score'!$A$5:$M14,$A3)</f>
        <v>0</v>
      </c>
      <c r="V3" s="1074">
        <f>4*'ARP Timing'!U6*VLOOKUP(V$1,'ARP Score'!$A$5:$M14,$A3)</f>
        <v>0</v>
      </c>
      <c r="W3" s="1074">
        <f>SUM(C3:U3)/4</f>
        <v>205.8</v>
      </c>
    </row>
    <row r="4" spans="1:23" x14ac:dyDescent="0.35">
      <c r="A4" s="1030">
        <v>5</v>
      </c>
      <c r="B4" s="33" t="s">
        <v>680</v>
      </c>
      <c r="C4" s="1074">
        <f>4*'ARP Timing'!B7*VLOOKUP(C$1,'ARP Score'!$A$5:$M15,$A4)</f>
        <v>0</v>
      </c>
      <c r="D4" s="1074">
        <f>4*'ARP Timing'!C7*VLOOKUP(D$1,'ARP Score'!$A$5:$M15,$A4)</f>
        <v>0</v>
      </c>
      <c r="E4" s="1074">
        <f>4*'ARP Timing'!D7*VLOOKUP(E$1,'ARP Score'!$A$5:$M15,$A4)</f>
        <v>3.1040000000000418</v>
      </c>
      <c r="F4" s="1074">
        <f>4*'ARP Timing'!E7*VLOOKUP(F$1,'ARP Score'!$A$5:$M15,$A4)</f>
        <v>19.719000000000005</v>
      </c>
      <c r="G4" s="1074">
        <f>4*'ARP Timing'!F7*VLOOKUP(G$1,'ARP Score'!$A$5:$M15,$A4)</f>
        <v>19.719000000000005</v>
      </c>
      <c r="H4" s="1074">
        <f>4*'ARP Timing'!G7*VLOOKUP(H$1,'ARP Score'!$A$5:$M15,$A4)</f>
        <v>19.719000000000005</v>
      </c>
      <c r="I4" s="1074">
        <f>4*'ARP Timing'!H7*VLOOKUP(I$1,'ARP Score'!$A$5:$M15,$A4)</f>
        <v>19.719000000000005</v>
      </c>
      <c r="J4" s="1074">
        <f>4*'ARP Timing'!I7*VLOOKUP(J$1,'ARP Score'!$A$5:$M15,$A4)</f>
        <v>1.4159999999999999</v>
      </c>
      <c r="K4" s="1074">
        <f>4*'ARP Timing'!J7*VLOOKUP(K$1,'ARP Score'!$A$5:$M15,$A4)</f>
        <v>1.4159999999999999</v>
      </c>
      <c r="L4" s="1074">
        <f>4*'ARP Timing'!K7*VLOOKUP(L$1,'ARP Score'!$A$5:$M15,$A4)</f>
        <v>1.4159999999999999</v>
      </c>
      <c r="M4" s="1074">
        <f>4*'ARP Timing'!L7*VLOOKUP(M$1,'ARP Score'!$A$5:$M15,$A4)</f>
        <v>1.4159999999999999</v>
      </c>
      <c r="N4" s="1074">
        <f>4*'ARP Timing'!M7*VLOOKUP(N$1,'ARP Score'!$A$5:$M15,$A4)</f>
        <v>1.4790000000000001</v>
      </c>
      <c r="O4" s="1074">
        <f>4*'ARP Timing'!N7*VLOOKUP(O$1,'ARP Score'!$A$5:$M15,$A4)</f>
        <v>1.4790000000000001</v>
      </c>
      <c r="P4" s="1074">
        <f>4*'ARP Timing'!O7*VLOOKUP(P$1,'ARP Score'!$A$5:$M15,$A4)</f>
        <v>1.4790000000000001</v>
      </c>
      <c r="Q4" s="1074">
        <f>4*'ARP Timing'!P7*VLOOKUP(Q$1,'ARP Score'!$A$5:$M15,$A4)</f>
        <v>1.4790000000000001</v>
      </c>
      <c r="R4" s="1074">
        <f>4*'ARP Timing'!Q7*VLOOKUP(R$1,'ARP Score'!$A$5:$M15,$A4)</f>
        <v>1.63</v>
      </c>
      <c r="S4" s="1074">
        <f>4*'ARP Timing'!R7*VLOOKUP(S$1,'ARP Score'!$A$5:$M15,$A4)</f>
        <v>1.63</v>
      </c>
      <c r="T4" s="1074">
        <f>4*'ARP Timing'!S7*VLOOKUP(T$1,'ARP Score'!$A$5:$M15,$A4)</f>
        <v>1.63</v>
      </c>
      <c r="U4" s="1074">
        <f>4*'ARP Timing'!T7*VLOOKUP(U$1,'ARP Score'!$A$5:$M15,$A4)</f>
        <v>1.63</v>
      </c>
      <c r="V4" s="1074">
        <f>4*'ARP Timing'!U7*VLOOKUP(V$1,'ARP Score'!$A$5:$M15,$A4)</f>
        <v>1.671</v>
      </c>
      <c r="W4" s="1074">
        <f>SUM(C4:U4)/4</f>
        <v>25.020000000000007</v>
      </c>
    </row>
    <row r="5" spans="1:23" x14ac:dyDescent="0.35">
      <c r="A5" s="1030">
        <v>6</v>
      </c>
      <c r="B5" s="33" t="s">
        <v>681</v>
      </c>
      <c r="C5" s="1074">
        <f>4*'ARP Timing'!B8*VLOOKUP(C$1,'ARP Score'!$A$5:$M16,$A5)</f>
        <v>0</v>
      </c>
      <c r="D5" s="1074">
        <f>4*'ARP Timing'!C8*VLOOKUP(D$1,'ARP Score'!$A$5:$M16,$A5)</f>
        <v>33.921840000000024</v>
      </c>
      <c r="E5" s="1074">
        <f>4*'ARP Timing'!D8*VLOOKUP(E$1,'ARP Score'!$A$5:$M16,$A5)</f>
        <v>44.966160000000031</v>
      </c>
      <c r="F5" s="1074">
        <f>4*'ARP Timing'!E8*VLOOKUP(F$1,'ARP Score'!$A$5:$M16,$A5)</f>
        <v>52.756999999999998</v>
      </c>
      <c r="G5" s="1074">
        <f>4*'ARP Timing'!F8*VLOOKUP(G$1,'ARP Score'!$A$5:$M16,$A5)</f>
        <v>52.756999999999998</v>
      </c>
      <c r="H5" s="1074">
        <f>4*'ARP Timing'!G8*VLOOKUP(H$1,'ARP Score'!$A$5:$M16,$A5)</f>
        <v>52.756999999999998</v>
      </c>
      <c r="I5" s="1074">
        <f>4*'ARP Timing'!H8*VLOOKUP(I$1,'ARP Score'!$A$5:$M16,$A5)</f>
        <v>52.756999999999998</v>
      </c>
      <c r="J5" s="1074">
        <f>4*'ARP Timing'!I8*VLOOKUP(J$1,'ARP Score'!$A$5:$M16,$A5)</f>
        <v>12</v>
      </c>
      <c r="K5" s="1074">
        <f>4*'ARP Timing'!J8*VLOOKUP(K$1,'ARP Score'!$A$5:$M16,$A5)</f>
        <v>12</v>
      </c>
      <c r="L5" s="1074">
        <f>4*'ARP Timing'!K8*VLOOKUP(L$1,'ARP Score'!$A$5:$M16,$A5)</f>
        <v>12</v>
      </c>
      <c r="M5" s="1074">
        <f>4*'ARP Timing'!L8*VLOOKUP(M$1,'ARP Score'!$A$5:$M16,$A5)</f>
        <v>12</v>
      </c>
      <c r="N5" s="1074">
        <f>4*'ARP Timing'!M8*VLOOKUP(N$1,'ARP Score'!$A$5:$M16,$A5)</f>
        <v>4.2219999999999995</v>
      </c>
      <c r="O5" s="1074">
        <f>4*'ARP Timing'!N8*VLOOKUP(O$1,'ARP Score'!$A$5:$M16,$A5)</f>
        <v>4.2219999999999995</v>
      </c>
      <c r="P5" s="1074">
        <f>4*'ARP Timing'!O8*VLOOKUP(P$1,'ARP Score'!$A$5:$M16,$A5)</f>
        <v>4.2219999999999995</v>
      </c>
      <c r="Q5" s="1074">
        <f>4*'ARP Timing'!P8*VLOOKUP(Q$1,'ARP Score'!$A$5:$M16,$A5)</f>
        <v>4.2219999999999995</v>
      </c>
      <c r="R5" s="1074">
        <f>4*'ARP Timing'!Q8*VLOOKUP(R$1,'ARP Score'!$A$5:$M16,$A5)</f>
        <v>2.3719999999999999</v>
      </c>
      <c r="S5" s="1074">
        <f>4*'ARP Timing'!R8*VLOOKUP(S$1,'ARP Score'!$A$5:$M16,$A5)</f>
        <v>2.3719999999999999</v>
      </c>
      <c r="T5" s="1074">
        <f>4*'ARP Timing'!S8*VLOOKUP(T$1,'ARP Score'!$A$5:$M16,$A5)</f>
        <v>2.3719999999999999</v>
      </c>
      <c r="U5" s="1074">
        <f>4*'ARP Timing'!T8*VLOOKUP(U$1,'ARP Score'!$A$5:$M16,$A5)</f>
        <v>2.3719999999999999</v>
      </c>
      <c r="V5" s="1074">
        <f>4*'ARP Timing'!U8*VLOOKUP(V$1,'ARP Score'!$A$5:$M16,$A5)</f>
        <v>0.49</v>
      </c>
      <c r="W5" s="1074">
        <f t="shared" ref="W5:W15" si="0">SUM(C5:U5)/4</f>
        <v>91.073000000000008</v>
      </c>
    </row>
    <row r="6" spans="1:23" x14ac:dyDescent="0.35">
      <c r="A6" s="1030">
        <v>7</v>
      </c>
      <c r="B6" s="33" t="s">
        <v>773</v>
      </c>
      <c r="C6" s="1074">
        <f>4*'ARP Timing'!B9*VLOOKUP(C$1,'ARP Score'!$A$5:$M17,$A6)</f>
        <v>0</v>
      </c>
      <c r="D6" s="1074">
        <f>4*'ARP Timing'!C9*VLOOKUP(D$1,'ARP Score'!$A$5:$M17,$A6)</f>
        <v>58.782959999999989</v>
      </c>
      <c r="E6" s="1074">
        <f>4*'ARP Timing'!D9*VLOOKUP(E$1,'ARP Score'!$A$5:$M17,$A6)</f>
        <v>267.78904</v>
      </c>
      <c r="F6" s="1074">
        <f>4*'ARP Timing'!E9*VLOOKUP(F$1,'ARP Score'!$A$5:$M17,$A6)</f>
        <v>110.24799999999999</v>
      </c>
      <c r="G6" s="1074">
        <f>4*'ARP Timing'!F9*VLOOKUP(G$1,'ARP Score'!$A$5:$M17,$A6)</f>
        <v>110.24799999999999</v>
      </c>
      <c r="H6" s="1074">
        <f>4*'ARP Timing'!G9*VLOOKUP(H$1,'ARP Score'!$A$5:$M17,$A6)</f>
        <v>110.24799999999999</v>
      </c>
      <c r="I6" s="1074">
        <f>4*'ARP Timing'!H9*VLOOKUP(I$1,'ARP Score'!$A$5:$M17,$A6)</f>
        <v>110.24799999999999</v>
      </c>
      <c r="J6" s="1074">
        <f>4*'ARP Timing'!I9*VLOOKUP(J$1,'ARP Score'!$A$5:$M17,$A6)</f>
        <v>12.726000000000001</v>
      </c>
      <c r="K6" s="1074">
        <f>4*'ARP Timing'!J9*VLOOKUP(K$1,'ARP Score'!$A$5:$M17,$A6)</f>
        <v>12.726000000000001</v>
      </c>
      <c r="L6" s="1074">
        <f>4*'ARP Timing'!K9*VLOOKUP(L$1,'ARP Score'!$A$5:$M17,$A6)</f>
        <v>12.726000000000001</v>
      </c>
      <c r="M6" s="1074">
        <f>4*'ARP Timing'!L9*VLOOKUP(M$1,'ARP Score'!$A$5:$M17,$A6)</f>
        <v>12.726000000000001</v>
      </c>
      <c r="N6" s="1074">
        <f>4*'ARP Timing'!M9*VLOOKUP(N$1,'ARP Score'!$A$5:$M17,$A6)</f>
        <v>1.365</v>
      </c>
      <c r="O6" s="1074">
        <f>4*'ARP Timing'!N9*VLOOKUP(O$1,'ARP Score'!$A$5:$M17,$A6)</f>
        <v>1.365</v>
      </c>
      <c r="P6" s="1074">
        <f>4*'ARP Timing'!O9*VLOOKUP(P$1,'ARP Score'!$A$5:$M17,$A6)</f>
        <v>1.365</v>
      </c>
      <c r="Q6" s="1074">
        <f>4*'ARP Timing'!P9*VLOOKUP(Q$1,'ARP Score'!$A$5:$M17,$A6)</f>
        <v>1.365</v>
      </c>
      <c r="R6" s="1074">
        <f>4*'ARP Timing'!Q9*VLOOKUP(R$1,'ARP Score'!$A$5:$M17,$A6)</f>
        <v>-0.90100000000000025</v>
      </c>
      <c r="S6" s="1074">
        <f>4*'ARP Timing'!R9*VLOOKUP(S$1,'ARP Score'!$A$5:$M17,$A6)</f>
        <v>-0.90100000000000025</v>
      </c>
      <c r="T6" s="1074">
        <f>4*'ARP Timing'!S9*VLOOKUP(T$1,'ARP Score'!$A$5:$M17,$A6)</f>
        <v>-0.90100000000000025</v>
      </c>
      <c r="U6" s="1074">
        <f>4*'ARP Timing'!T9*VLOOKUP(U$1,'ARP Score'!$A$5:$M17,$A6)</f>
        <v>-0.90100000000000025</v>
      </c>
      <c r="V6" s="1074">
        <f>4*'ARP Timing'!U9*VLOOKUP(V$1,'ARP Score'!$A$5:$M17,$A6)</f>
        <v>-2.1500000000000004</v>
      </c>
      <c r="W6" s="1074">
        <f t="shared" si="0"/>
        <v>205.08100000000007</v>
      </c>
    </row>
    <row r="7" spans="1:23" x14ac:dyDescent="0.35">
      <c r="A7" s="1030">
        <v>8</v>
      </c>
      <c r="B7" s="33" t="s">
        <v>131</v>
      </c>
      <c r="C7" s="1074">
        <f>4*'ARP Timing'!B10*VLOOKUP(C$1,'ARP Score'!$A$5:$M18,$A7)</f>
        <v>0</v>
      </c>
      <c r="D7" s="1074">
        <f>4*'ARP Timing'!C10*VLOOKUP(D$1,'ARP Score'!$A$5:$M18,$A7)</f>
        <v>15.596</v>
      </c>
      <c r="E7" s="1074">
        <f>4*'ARP Timing'!D10*VLOOKUP(E$1,'ARP Score'!$A$5:$M18,$A7)</f>
        <v>15.596</v>
      </c>
      <c r="F7" s="1074">
        <f>4*'ARP Timing'!E10*VLOOKUP(F$1,'ARP Score'!$A$5:$M18,$A7)</f>
        <v>7.9489999999999998</v>
      </c>
      <c r="G7" s="1074">
        <f>4*'ARP Timing'!F10*VLOOKUP(G$1,'ARP Score'!$A$5:$M18,$A7)</f>
        <v>7.9489999999999998</v>
      </c>
      <c r="H7" s="1074">
        <f>4*'ARP Timing'!G10*VLOOKUP(H$1,'ARP Score'!$A$5:$M18,$A7)</f>
        <v>7.9489999999999998</v>
      </c>
      <c r="I7" s="1074">
        <f>4*'ARP Timing'!H10*VLOOKUP(I$1,'ARP Score'!$A$5:$M18,$A7)</f>
        <v>7.9489999999999998</v>
      </c>
      <c r="J7" s="1074">
        <f>4*'ARP Timing'!I10*VLOOKUP(J$1,'ARP Score'!$A$5:$M18,$A7)</f>
        <v>4.7519999999999998</v>
      </c>
      <c r="K7" s="1074">
        <f>4*'ARP Timing'!J10*VLOOKUP(K$1,'ARP Score'!$A$5:$M18,$A7)</f>
        <v>4.7519999999999998</v>
      </c>
      <c r="L7" s="1074">
        <f>4*'ARP Timing'!K10*VLOOKUP(L$1,'ARP Score'!$A$5:$M18,$A7)</f>
        <v>4.7519999999999998</v>
      </c>
      <c r="M7" s="1074">
        <f>4*'ARP Timing'!L10*VLOOKUP(M$1,'ARP Score'!$A$5:$M18,$A7)</f>
        <v>4.7519999999999998</v>
      </c>
      <c r="N7" s="1074">
        <f>4*'ARP Timing'!M10*VLOOKUP(N$1,'ARP Score'!$A$5:$M18,$A7)</f>
        <v>4.637999999999999</v>
      </c>
      <c r="O7" s="1074">
        <f>4*'ARP Timing'!N10*VLOOKUP(O$1,'ARP Score'!$A$5:$M18,$A7)</f>
        <v>4.637999999999999</v>
      </c>
      <c r="P7" s="1074">
        <f>4*'ARP Timing'!O10*VLOOKUP(P$1,'ARP Score'!$A$5:$M18,$A7)</f>
        <v>4.637999999999999</v>
      </c>
      <c r="Q7" s="1074">
        <f>4*'ARP Timing'!P10*VLOOKUP(Q$1,'ARP Score'!$A$5:$M18,$A7)</f>
        <v>4.637999999999999</v>
      </c>
      <c r="R7" s="1074">
        <f>4*'ARP Timing'!Q10*VLOOKUP(R$1,'ARP Score'!$A$5:$M18,$A7)</f>
        <v>1.8800000000000001</v>
      </c>
      <c r="S7" s="1074">
        <f>4*'ARP Timing'!R10*VLOOKUP(S$1,'ARP Score'!$A$5:$M18,$A7)</f>
        <v>1.8800000000000001</v>
      </c>
      <c r="T7" s="1074">
        <f>4*'ARP Timing'!S10*VLOOKUP(T$1,'ARP Score'!$A$5:$M18,$A7)</f>
        <v>1.8800000000000001</v>
      </c>
      <c r="U7" s="1074">
        <f>4*'ARP Timing'!T10*VLOOKUP(U$1,'ARP Score'!$A$5:$M18,$A7)</f>
        <v>1.8800000000000001</v>
      </c>
      <c r="V7" s="1074">
        <f>4*'ARP Timing'!U10*VLOOKUP(V$1,'ARP Score'!$A$5:$M18,$A7)</f>
        <v>1.446</v>
      </c>
      <c r="W7" s="1074">
        <f t="shared" si="0"/>
        <v>27.016999999999996</v>
      </c>
    </row>
    <row r="8" spans="1:23" x14ac:dyDescent="0.35">
      <c r="A8" s="1030">
        <v>9</v>
      </c>
      <c r="B8" s="1076" t="s">
        <v>348</v>
      </c>
      <c r="C8" s="1074">
        <f>4*'ARP Timing'!B$11*VLOOKUP(C$1,'ARP Score'!$A$5:$M19,$A8)</f>
        <v>0</v>
      </c>
      <c r="D8" s="1074">
        <f>0.6*SUM('ARP Score'!B5:B7)*4</f>
        <v>989.16719999999987</v>
      </c>
      <c r="E8" s="1073">
        <v>0</v>
      </c>
      <c r="F8" s="1074">
        <v>0</v>
      </c>
      <c r="G8" s="1074">
        <v>0</v>
      </c>
      <c r="H8" s="1074">
        <f>D8*0.4/0.6</f>
        <v>659.44479999999999</v>
      </c>
      <c r="I8" s="1074">
        <v>0</v>
      </c>
      <c r="J8" s="1030">
        <v>0</v>
      </c>
      <c r="K8" s="1074">
        <v>0</v>
      </c>
      <c r="L8" s="1074">
        <v>0</v>
      </c>
      <c r="M8" s="1074">
        <v>0</v>
      </c>
      <c r="N8" s="1074">
        <v>0</v>
      </c>
      <c r="O8" s="1074">
        <v>0</v>
      </c>
      <c r="P8" s="1074">
        <v>0</v>
      </c>
      <c r="Q8" s="1074">
        <v>0</v>
      </c>
      <c r="R8" s="1074">
        <v>0</v>
      </c>
      <c r="S8" s="1074">
        <v>0</v>
      </c>
      <c r="T8" s="1074">
        <v>0</v>
      </c>
      <c r="U8" s="1074">
        <v>0</v>
      </c>
      <c r="V8" s="1074">
        <v>0</v>
      </c>
      <c r="W8" s="1074">
        <f t="shared" si="0"/>
        <v>412.15299999999996</v>
      </c>
    </row>
    <row r="9" spans="1:23" x14ac:dyDescent="0.35">
      <c r="A9" s="1030">
        <v>10</v>
      </c>
      <c r="B9" s="1076" t="s">
        <v>150</v>
      </c>
      <c r="C9" s="1074">
        <f>4*'ARP Timing'!B$11*VLOOKUP(C$1,'ARP Score'!$A$5:$M20,$A9)</f>
        <v>0</v>
      </c>
      <c r="D9" s="1074">
        <f>4*'ARP Timing'!C$11*VLOOKUP(D$1,'ARP Score'!$A$5:$M20,$A9)</f>
        <v>24.693999999999999</v>
      </c>
      <c r="E9" s="1074">
        <f>4*'ARP Timing'!D$11*VLOOKUP(E$1,'ARP Score'!$A$5:$M20,$A9)</f>
        <v>24.693999999999999</v>
      </c>
      <c r="F9" s="1074">
        <f>4*'ARP Timing'!E$11*VLOOKUP(F$1,'ARP Score'!$A$5:$M20,$A9)</f>
        <v>46.79</v>
      </c>
      <c r="G9" s="1074">
        <f>4*'ARP Timing'!F$11*VLOOKUP(G$1,'ARP Score'!$A$5:$M20,$A9)</f>
        <v>46.79</v>
      </c>
      <c r="H9" s="1074">
        <f>4*'ARP Timing'!G$11*VLOOKUP(H$1,'ARP Score'!$A$5:$M20,$A9)</f>
        <v>46.79</v>
      </c>
      <c r="I9" s="1074">
        <f>4*'ARP Timing'!H$11*VLOOKUP(I$1,'ARP Score'!$A$5:$M20,$A9)</f>
        <v>46.79</v>
      </c>
      <c r="J9" s="1074">
        <f>4*'ARP Timing'!I$11*VLOOKUP(J$1,'ARP Score'!$A$5:$M20,$A9)</f>
        <v>38.595999999999997</v>
      </c>
      <c r="K9" s="1074">
        <f>4*'ARP Timing'!J$11*VLOOKUP(K$1,'ARP Score'!$A$5:$M20,$A9)</f>
        <v>38.595999999999997</v>
      </c>
      <c r="L9" s="1074">
        <f>4*'ARP Timing'!K$11*VLOOKUP(L$1,'ARP Score'!$A$5:$M20,$A9)</f>
        <v>38.595999999999997</v>
      </c>
      <c r="M9" s="1074">
        <f>4*'ARP Timing'!L$11*VLOOKUP(M$1,'ARP Score'!$A$5:$M20,$A9)</f>
        <v>38.595999999999997</v>
      </c>
      <c r="N9" s="1074">
        <f>4*'ARP Timing'!M$11*VLOOKUP(N$1,'ARP Score'!$A$5:$M20,$A9)</f>
        <v>31.911000000000001</v>
      </c>
      <c r="O9" s="1074">
        <f>4*'ARP Timing'!N$11*VLOOKUP(O$1,'ARP Score'!$A$5:$M20,$A9)</f>
        <v>31.911000000000001</v>
      </c>
      <c r="P9" s="1074">
        <f>4*'ARP Timing'!O$11*VLOOKUP(P$1,'ARP Score'!$A$5:$M20,$A9)</f>
        <v>31.911000000000001</v>
      </c>
      <c r="Q9" s="1074">
        <f>4*'ARP Timing'!P$11*VLOOKUP(Q$1,'ARP Score'!$A$5:$M20,$A9)</f>
        <v>31.911000000000001</v>
      </c>
      <c r="R9" s="1074">
        <f>4*'ARP Timing'!Q$11*VLOOKUP(R$1,'ARP Score'!$A$5:$M20,$A9)</f>
        <v>23.099</v>
      </c>
      <c r="S9" s="1074">
        <f>4*'ARP Timing'!R$11*VLOOKUP(S$1,'ARP Score'!$A$5:$M20,$A9)</f>
        <v>23.099</v>
      </c>
      <c r="T9" s="1074">
        <f>4*'ARP Timing'!S$11*VLOOKUP(T$1,'ARP Score'!$A$5:$M20,$A9)</f>
        <v>23.099</v>
      </c>
      <c r="U9" s="1074">
        <f>4*'ARP Timing'!T$11*VLOOKUP(U$1,'ARP Score'!$A$5:$M20,$A9)</f>
        <v>23.099</v>
      </c>
      <c r="V9" s="1074">
        <f>4*'ARP Timing'!U$11*VLOOKUP(V$1,'ARP Score'!$A$5:$M20,$A9)</f>
        <v>10.766999999999999</v>
      </c>
      <c r="W9" s="1074">
        <f t="shared" si="0"/>
        <v>152.74300000000005</v>
      </c>
    </row>
    <row r="10" spans="1:23" x14ac:dyDescent="0.35">
      <c r="A10" s="1080">
        <v>11</v>
      </c>
      <c r="B10" s="1076" t="s">
        <v>364</v>
      </c>
      <c r="C10" s="1074">
        <f>4*'ARP Timing'!B$11*VLOOKUP(C$1,'ARP Score'!$A$5:$M22,$A10)</f>
        <v>0</v>
      </c>
      <c r="D10" s="1074">
        <f>4*'ARP Timing'!C$11*VLOOKUP(D$1,'ARP Score'!$A$5:$M22,$A10)</f>
        <v>59.256</v>
      </c>
      <c r="E10" s="1074">
        <f>4*'ARP Timing'!D$11*VLOOKUP(E$1,'ARP Score'!$A$5:$M22,$A10)</f>
        <v>59.256</v>
      </c>
      <c r="F10" s="1074">
        <f>4*'ARP Timing'!E$11*VLOOKUP(F$1,'ARP Score'!$A$5:$M22,$A10)</f>
        <v>35.671000000000006</v>
      </c>
      <c r="G10" s="1074">
        <f>4*'ARP Timing'!F$11*VLOOKUP(G$1,'ARP Score'!$A$5:$M22,$A10)</f>
        <v>35.671000000000006</v>
      </c>
      <c r="H10" s="1074">
        <f>4*'ARP Timing'!G$11*VLOOKUP(H$1,'ARP Score'!$A$5:$M22,$A10)</f>
        <v>35.671000000000006</v>
      </c>
      <c r="I10" s="1074">
        <f>4*'ARP Timing'!H$11*VLOOKUP(I$1,'ARP Score'!$A$5:$M22,$A10)</f>
        <v>35.671000000000006</v>
      </c>
      <c r="J10" s="1074">
        <f>4*'ARP Timing'!I$11*VLOOKUP(J$1,'ARP Score'!$A$5:$M22,$A10)</f>
        <v>24.216000000000001</v>
      </c>
      <c r="K10" s="1074">
        <f>4*'ARP Timing'!J$11*VLOOKUP(K$1,'ARP Score'!$A$5:$M22,$A10)</f>
        <v>24.216000000000001</v>
      </c>
      <c r="L10" s="1074">
        <f>4*'ARP Timing'!K$11*VLOOKUP(L$1,'ARP Score'!$A$5:$M22,$A10)</f>
        <v>24.216000000000001</v>
      </c>
      <c r="M10" s="1074">
        <f>4*'ARP Timing'!L$11*VLOOKUP(M$1,'ARP Score'!$A$5:$M22,$A10)</f>
        <v>24.216000000000001</v>
      </c>
      <c r="N10" s="1074">
        <f>4*'ARP Timing'!M$11*VLOOKUP(N$1,'ARP Score'!$A$5:$M22,$A10)</f>
        <v>9.6430000000000007</v>
      </c>
      <c r="O10" s="1074">
        <f>4*'ARP Timing'!N$11*VLOOKUP(O$1,'ARP Score'!$A$5:$M22,$A10)</f>
        <v>9.6430000000000007</v>
      </c>
      <c r="P10" s="1074">
        <f>4*'ARP Timing'!O$11*VLOOKUP(P$1,'ARP Score'!$A$5:$M22,$A10)</f>
        <v>9.6430000000000007</v>
      </c>
      <c r="Q10" s="1074">
        <f>4*'ARP Timing'!P$11*VLOOKUP(Q$1,'ARP Score'!$A$5:$M22,$A10)</f>
        <v>9.6430000000000007</v>
      </c>
      <c r="R10" s="1074">
        <f>4*'ARP Timing'!Q$11*VLOOKUP(R$1,'ARP Score'!$A$5:$M22,$A10)</f>
        <v>4.5789999999999997</v>
      </c>
      <c r="S10" s="1074">
        <f>4*'ARP Timing'!R$11*VLOOKUP(S$1,'ARP Score'!$A$5:$M22,$A10)</f>
        <v>4.5789999999999997</v>
      </c>
      <c r="T10" s="1074">
        <f>4*'ARP Timing'!S$11*VLOOKUP(T$1,'ARP Score'!$A$5:$M22,$A10)</f>
        <v>4.5789999999999997</v>
      </c>
      <c r="U10" s="1074">
        <f>4*'ARP Timing'!T$11*VLOOKUP(U$1,'ARP Score'!$A$5:$M22,$A10)</f>
        <v>4.5789999999999997</v>
      </c>
      <c r="V10" s="1074">
        <f>4*'ARP Timing'!U$11*VLOOKUP(V$1,'ARP Score'!$A$5:$M22,$A10)</f>
        <v>2.9130000000000003</v>
      </c>
      <c r="W10" s="1074">
        <f t="shared" si="0"/>
        <v>103.73700000000002</v>
      </c>
    </row>
    <row r="11" spans="1:23" x14ac:dyDescent="0.35">
      <c r="A11" s="1030">
        <v>12</v>
      </c>
      <c r="B11" s="14" t="s">
        <v>159</v>
      </c>
      <c r="C11" s="1074">
        <f>4*'ARP Timing'!B12*VLOOKUP(C$1,'ARP Score'!$A$5:$M20,$A11)</f>
        <v>103</v>
      </c>
      <c r="D11" s="1074">
        <f>4*'ARP Timing'!C12*VLOOKUP(D$1,'ARP Score'!$A$5:$M20,$A11)</f>
        <v>0</v>
      </c>
      <c r="E11" s="1074">
        <f>4*'ARP Timing'!D12*VLOOKUP(E$1,'ARP Score'!$A$5:$M20,$A11)</f>
        <v>0</v>
      </c>
      <c r="F11" s="1074">
        <f>4*'ARP Timing'!E12*VLOOKUP(F$1,'ARP Score'!$A$5:$M20,$A11)</f>
        <v>0</v>
      </c>
      <c r="G11" s="1074">
        <f>4*'ARP Timing'!F12*VLOOKUP(G$1,'ARP Score'!$A$5:$M20,$A11)</f>
        <v>0</v>
      </c>
      <c r="H11" s="1074">
        <f>4*'ARP Timing'!G12*VLOOKUP(H$1,'ARP Score'!$A$5:$M20,$A11)</f>
        <v>0</v>
      </c>
      <c r="I11" s="1074">
        <f>4*'ARP Timing'!H12*VLOOKUP(I$1,'ARP Score'!$A$5:$M20,$A11)</f>
        <v>0</v>
      </c>
      <c r="J11" s="1074">
        <f>4*'ARP Timing'!I12*VLOOKUP(J$1,'ARP Score'!$A$5:$M20,$A11)</f>
        <v>0</v>
      </c>
      <c r="K11" s="1074">
        <f>4*'ARP Timing'!J12*VLOOKUP(K$1,'ARP Score'!$A$5:$M20,$A11)</f>
        <v>0</v>
      </c>
      <c r="L11" s="1074">
        <f>4*'ARP Timing'!K12*VLOOKUP(L$1,'ARP Score'!$A$5:$M20,$A11)</f>
        <v>0</v>
      </c>
      <c r="M11" s="1074">
        <f>4*'ARP Timing'!L12*VLOOKUP(M$1,'ARP Score'!$A$5:$M20,$A11)</f>
        <v>0</v>
      </c>
      <c r="N11" s="1074">
        <f>4*'ARP Timing'!M12*VLOOKUP(N$1,'ARP Score'!$A$5:$M20,$A11)</f>
        <v>0</v>
      </c>
      <c r="O11" s="1074">
        <f>4*'ARP Timing'!N12*VLOOKUP(O$1,'ARP Score'!$A$5:$M20,$A11)</f>
        <v>0</v>
      </c>
      <c r="P11" s="1074">
        <f>4*'ARP Timing'!O12*VLOOKUP(P$1,'ARP Score'!$A$5:$M20,$A11)</f>
        <v>0</v>
      </c>
      <c r="Q11" s="1074">
        <f>4*'ARP Timing'!P12*VLOOKUP(Q$1,'ARP Score'!$A$5:$M20,$A11)</f>
        <v>0</v>
      </c>
      <c r="R11" s="1074">
        <f>4*'ARP Timing'!Q12*VLOOKUP(R$1,'ARP Score'!$A$5:$M20,$A11)</f>
        <v>0</v>
      </c>
      <c r="S11" s="1074">
        <f>4*'ARP Timing'!R12*VLOOKUP(S$1,'ARP Score'!$A$5:$M20,$A11)</f>
        <v>0</v>
      </c>
      <c r="T11" s="1074">
        <f>4*'ARP Timing'!S12*VLOOKUP(T$1,'ARP Score'!$A$5:$M20,$A11)</f>
        <v>0</v>
      </c>
      <c r="U11" s="1074">
        <f>4*'ARP Timing'!T12*VLOOKUP(U$1,'ARP Score'!$A$5:$M20,$A11)</f>
        <v>0</v>
      </c>
      <c r="V11" s="1074">
        <f>4*'ARP Timing'!U12*VLOOKUP(V$1,'ARP Score'!$A$5:$M20,$A11)</f>
        <v>0</v>
      </c>
      <c r="W11" s="1074">
        <f t="shared" si="0"/>
        <v>25.75</v>
      </c>
    </row>
    <row r="12" spans="1:23" x14ac:dyDescent="0.35">
      <c r="A12" s="1030">
        <v>13</v>
      </c>
      <c r="B12" s="33" t="s">
        <v>109</v>
      </c>
      <c r="C12" s="1074">
        <f>4*'ARP Timing'!B13*VLOOKUP(C$1,'ARP Score'!$A$5:$M21,$A12)</f>
        <v>0</v>
      </c>
      <c r="D12" s="1074">
        <f>4*'ARP Timing'!C13*VLOOKUP(D$1,'ARP Score'!$A$5:$M21,$A12)</f>
        <v>51.102400000000003</v>
      </c>
      <c r="E12" s="1074">
        <f>4*'ARP Timing'!D13*VLOOKUP(E$1,'ARP Score'!$A$5:$M21,$A12)</f>
        <v>76.653599999999997</v>
      </c>
      <c r="F12" s="1074">
        <f>4*'ARP Timing'!E13*VLOOKUP(F$1,'ARP Score'!$A$5:$M21,$A12)</f>
        <v>90.260800000000003</v>
      </c>
      <c r="G12" s="1074">
        <f>4*'ARP Timing'!F13*VLOOKUP(G$1,'ARP Score'!$A$5:$M21,$A12)</f>
        <v>67.695599999999999</v>
      </c>
      <c r="H12" s="1074">
        <f>4*'ARP Timing'!G13*VLOOKUP(H$1,'ARP Score'!$A$5:$M21,$A12)</f>
        <v>45.130400000000002</v>
      </c>
      <c r="I12" s="1074">
        <f>4*'ARP Timing'!H13*VLOOKUP(I$1,'ARP Score'!$A$5:$M21,$A12)</f>
        <v>22.565200000000001</v>
      </c>
      <c r="J12" s="1074">
        <f>4*'ARP Timing'!I13*VLOOKUP(J$1,'ARP Score'!$A$5:$M21,$A12)</f>
        <v>15.652999999999999</v>
      </c>
      <c r="K12" s="1074">
        <f>4*'ARP Timing'!J13*VLOOKUP(K$1,'ARP Score'!$A$5:$M21,$A12)</f>
        <v>15.652999999999999</v>
      </c>
      <c r="L12" s="1074">
        <f>4*'ARP Timing'!K13*VLOOKUP(L$1,'ARP Score'!$A$5:$M21,$A12)</f>
        <v>15.652999999999999</v>
      </c>
      <c r="M12" s="1074">
        <f>4*'ARP Timing'!L13*VLOOKUP(M$1,'ARP Score'!$A$5:$M21,$A12)</f>
        <v>15.652999999999999</v>
      </c>
      <c r="N12" s="1074">
        <f>4*'ARP Timing'!M13*VLOOKUP(N$1,'ARP Score'!$A$5:$M21,$A12)</f>
        <v>3.9320000000000004</v>
      </c>
      <c r="O12" s="1074">
        <f>4*'ARP Timing'!N13*VLOOKUP(O$1,'ARP Score'!$A$5:$M21,$A12)</f>
        <v>3.9320000000000004</v>
      </c>
      <c r="P12" s="1074">
        <f>4*'ARP Timing'!O13*VLOOKUP(P$1,'ARP Score'!$A$5:$M21,$A12)</f>
        <v>3.9320000000000004</v>
      </c>
      <c r="Q12" s="1074">
        <f>4*'ARP Timing'!P13*VLOOKUP(Q$1,'ARP Score'!$A$5:$M21,$A12)</f>
        <v>3.9320000000000004</v>
      </c>
      <c r="R12" s="1074">
        <f>4*'ARP Timing'!Q13*VLOOKUP(R$1,'ARP Score'!$A$5:$M21,$A12)</f>
        <v>-0.74299999999999988</v>
      </c>
      <c r="S12" s="1074">
        <f>4*'ARP Timing'!R13*VLOOKUP(S$1,'ARP Score'!$A$5:$M21,$A12)</f>
        <v>-0.74299999999999988</v>
      </c>
      <c r="T12" s="1074">
        <f>4*'ARP Timing'!S13*VLOOKUP(T$1,'ARP Score'!$A$5:$M21,$A12)</f>
        <v>-0.74299999999999988</v>
      </c>
      <c r="U12" s="1074">
        <f>4*'ARP Timing'!T13*VLOOKUP(U$1,'ARP Score'!$A$5:$M21,$A12)</f>
        <v>-0.74299999999999988</v>
      </c>
      <c r="V12" s="1074">
        <f>4*'ARP Timing'!U13*VLOOKUP(V$1,'ARP Score'!$A$5:$M21,$A12)</f>
        <v>-21.606000000000002</v>
      </c>
      <c r="W12" s="1074">
        <f t="shared" si="0"/>
        <v>107.19400000000005</v>
      </c>
    </row>
    <row r="13" spans="1:23" x14ac:dyDescent="0.35">
      <c r="A13" s="1030">
        <v>15</v>
      </c>
      <c r="B13" s="1030" t="s">
        <v>774</v>
      </c>
      <c r="C13" s="1074">
        <f>0.3*'ARP Score'!$N5*4*'ARP Timing'!B6</f>
        <v>0</v>
      </c>
      <c r="D13" s="1074">
        <f>0.3*'ARP Score'!$N5*4*'ARP Timing'!C6</f>
        <v>1.7544</v>
      </c>
      <c r="E13" s="1074">
        <f>0.3*'ARP Score'!$N5*4*'ARP Timing'!D6</f>
        <v>2.3255999999999997</v>
      </c>
      <c r="F13" s="1074">
        <f>0.3*'ARP Score'!$N6*4*'ARP Timing'!E6</f>
        <v>1.5299999999999998</v>
      </c>
      <c r="G13" s="1074">
        <f>0.3*'ARP Score'!$N6*4*'ARP Timing'!F6</f>
        <v>1.5299999999999998</v>
      </c>
      <c r="H13" s="1074">
        <f>0.3*'ARP Score'!$N6*4*'ARP Timing'!G6</f>
        <v>1.5299999999999998</v>
      </c>
      <c r="I13" s="1074">
        <f>0.3*'ARP Score'!$N6*4*'ARP Timing'!H6</f>
        <v>1.5299999999999998</v>
      </c>
      <c r="J13" s="1074">
        <f>0.3*'ARP Score'!$N7*4*'ARP Timing'!I6</f>
        <v>0</v>
      </c>
      <c r="K13" s="1074">
        <f>0.3*'ARP Score'!$N7*4*'ARP Timing'!J6</f>
        <v>0</v>
      </c>
      <c r="L13" s="1074">
        <f>0.3*'ARP Score'!$N7*4*'ARP Timing'!K6</f>
        <v>0</v>
      </c>
      <c r="M13" s="1074">
        <f>0.3*'ARP Score'!$N7*4*'ARP Timing'!L6</f>
        <v>0</v>
      </c>
      <c r="N13" s="1074">
        <f>0.3*'ARP Score'!$N7*4*'ARP Timing'!M6</f>
        <v>0</v>
      </c>
      <c r="O13" s="1074">
        <f>0.3*'ARP Score'!$N7*4*'ARP Timing'!N6</f>
        <v>0</v>
      </c>
      <c r="P13" s="1074">
        <f>0.3*'ARP Score'!$N7*4*'ARP Timing'!O6</f>
        <v>0</v>
      </c>
      <c r="Q13" s="1074">
        <f>0.3*'ARP Score'!$N7*4*'ARP Timing'!P6</f>
        <v>0</v>
      </c>
      <c r="R13" s="1074">
        <f>0.3*'ARP Score'!$N7*4*'ARP Timing'!Q6</f>
        <v>0</v>
      </c>
      <c r="S13" s="1074">
        <f>0.3*'ARP Score'!$N7*4*'ARP Timing'!R6</f>
        <v>0</v>
      </c>
      <c r="T13" s="1074">
        <f>0.3*'ARP Score'!$N7*4*'ARP Timing'!S6</f>
        <v>0</v>
      </c>
      <c r="U13" s="1074">
        <f>0.3*'ARP Score'!$N7*4*'ARP Timing'!T6</f>
        <v>0</v>
      </c>
      <c r="V13" s="1074">
        <f>0.3*'ARP Score'!$N7*4*'ARP Timing'!U6</f>
        <v>0</v>
      </c>
      <c r="W13" s="1074">
        <f t="shared" si="0"/>
        <v>2.5499999999999994</v>
      </c>
    </row>
    <row r="14" spans="1:23" x14ac:dyDescent="0.35">
      <c r="A14" s="1030">
        <v>14</v>
      </c>
      <c r="B14" s="1030" t="s">
        <v>775</v>
      </c>
      <c r="C14" s="1074">
        <f>C13/0.3*0.2</f>
        <v>0</v>
      </c>
      <c r="D14" s="1074">
        <f t="shared" ref="D14:F14" si="1">D13/0.3*0.2</f>
        <v>1.1696</v>
      </c>
      <c r="E14" s="1074">
        <f t="shared" si="1"/>
        <v>1.5503999999999998</v>
      </c>
      <c r="F14" s="1074">
        <f t="shared" si="1"/>
        <v>1.02</v>
      </c>
      <c r="G14" s="1074">
        <f t="shared" ref="G14" si="2">G13/0.3*0.2</f>
        <v>1.02</v>
      </c>
      <c r="H14" s="1074">
        <f t="shared" ref="H14" si="3">H13/0.3*0.2</f>
        <v>1.02</v>
      </c>
      <c r="I14" s="1074">
        <f t="shared" ref="I14" si="4">I13/0.3*0.2</f>
        <v>1.02</v>
      </c>
      <c r="J14" s="1074">
        <f t="shared" ref="J14" si="5">J13/0.3*0.2</f>
        <v>0</v>
      </c>
      <c r="K14" s="1074">
        <f t="shared" ref="K14" si="6">K13/0.3*0.2</f>
        <v>0</v>
      </c>
      <c r="L14" s="1074">
        <f t="shared" ref="L14" si="7">L13/0.3*0.2</f>
        <v>0</v>
      </c>
      <c r="M14" s="1074">
        <f t="shared" ref="M14" si="8">M13/0.3*0.2</f>
        <v>0</v>
      </c>
      <c r="N14" s="1074">
        <f t="shared" ref="N14" si="9">N13/0.3*0.2</f>
        <v>0</v>
      </c>
      <c r="O14" s="1074">
        <f t="shared" ref="O14" si="10">O13/0.3*0.2</f>
        <v>0</v>
      </c>
      <c r="P14" s="1074">
        <f t="shared" ref="P14" si="11">P13/0.3*0.2</f>
        <v>0</v>
      </c>
      <c r="Q14" s="1074">
        <f t="shared" ref="Q14" si="12">Q13/0.3*0.2</f>
        <v>0</v>
      </c>
      <c r="R14" s="1074">
        <f t="shared" ref="R14" si="13">R13/0.3*0.2</f>
        <v>0</v>
      </c>
      <c r="S14" s="1074">
        <f t="shared" ref="S14" si="14">S13/0.3*0.2</f>
        <v>0</v>
      </c>
      <c r="T14" s="1074">
        <f t="shared" ref="T14" si="15">T13/0.3*0.2</f>
        <v>0</v>
      </c>
      <c r="U14" s="1074">
        <f t="shared" ref="U14" si="16">U13/0.3*0.2</f>
        <v>0</v>
      </c>
      <c r="V14" s="1074">
        <f t="shared" ref="V14" si="17">V13/0.3*0.2</f>
        <v>0</v>
      </c>
      <c r="W14" s="1074">
        <f t="shared" si="0"/>
        <v>1.6999999999999997</v>
      </c>
    </row>
    <row r="15" spans="1:23" x14ac:dyDescent="0.35">
      <c r="A15" s="1030">
        <v>14</v>
      </c>
      <c r="B15" s="1030" t="s">
        <v>473</v>
      </c>
      <c r="C15" s="1074">
        <f>C14/0.2*0.5</f>
        <v>0</v>
      </c>
      <c r="D15" s="1074">
        <f t="shared" ref="D15:F15" si="18">D14/0.2*0.5</f>
        <v>2.9239999999999999</v>
      </c>
      <c r="E15" s="1074">
        <f t="shared" si="18"/>
        <v>3.8759999999999994</v>
      </c>
      <c r="F15" s="1074">
        <f t="shared" si="18"/>
        <v>2.5499999999999998</v>
      </c>
      <c r="G15" s="1074">
        <f t="shared" ref="G15" si="19">G14/0.2*0.5</f>
        <v>2.5499999999999998</v>
      </c>
      <c r="H15" s="1074">
        <f t="shared" ref="H15" si="20">H14/0.2*0.5</f>
        <v>2.5499999999999998</v>
      </c>
      <c r="I15" s="1074">
        <f t="shared" ref="I15" si="21">I14/0.2*0.5</f>
        <v>2.5499999999999998</v>
      </c>
      <c r="J15" s="1074">
        <f t="shared" ref="J15" si="22">J14/0.2*0.5</f>
        <v>0</v>
      </c>
      <c r="K15" s="1074">
        <f t="shared" ref="K15" si="23">K14/0.2*0.5</f>
        <v>0</v>
      </c>
      <c r="L15" s="1074">
        <f t="shared" ref="L15" si="24">L14/0.2*0.5</f>
        <v>0</v>
      </c>
      <c r="M15" s="1074">
        <f t="shared" ref="M15" si="25">M14/0.2*0.5</f>
        <v>0</v>
      </c>
      <c r="N15" s="1074">
        <f t="shared" ref="N15" si="26">N14/0.2*0.5</f>
        <v>0</v>
      </c>
      <c r="O15" s="1074">
        <f t="shared" ref="O15" si="27">O14/0.2*0.5</f>
        <v>0</v>
      </c>
      <c r="P15" s="1074">
        <f t="shared" ref="P15" si="28">P14/0.2*0.5</f>
        <v>0</v>
      </c>
      <c r="Q15" s="1074">
        <f t="shared" ref="Q15" si="29">Q14/0.2*0.5</f>
        <v>0</v>
      </c>
      <c r="R15" s="1074">
        <f t="shared" ref="R15" si="30">R14/0.2*0.5</f>
        <v>0</v>
      </c>
      <c r="S15" s="1074">
        <f t="shared" ref="S15" si="31">S14/0.2*0.5</f>
        <v>0</v>
      </c>
      <c r="T15" s="1074">
        <f t="shared" ref="T15" si="32">T14/0.2*0.5</f>
        <v>0</v>
      </c>
      <c r="U15" s="1074">
        <f t="shared" ref="U15" si="33">U14/0.2*0.5</f>
        <v>0</v>
      </c>
      <c r="V15" s="1074">
        <f t="shared" ref="V15" si="34">V14/0.2*0.5</f>
        <v>0</v>
      </c>
      <c r="W15" s="1074">
        <f t="shared" si="0"/>
        <v>4.25</v>
      </c>
    </row>
    <row r="16" spans="1:23" x14ac:dyDescent="0.35">
      <c r="C16" s="1074"/>
      <c r="D16" s="1074"/>
      <c r="E16" s="1074"/>
      <c r="F16" s="1074"/>
      <c r="G16" s="1074"/>
      <c r="H16" s="1074"/>
      <c r="I16" s="1074"/>
      <c r="J16" s="1074"/>
      <c r="K16" s="1074"/>
      <c r="L16" s="1074"/>
      <c r="M16" s="1074"/>
      <c r="N16" s="1074"/>
      <c r="O16" s="1074"/>
      <c r="P16" s="1074"/>
      <c r="Q16" s="1074"/>
      <c r="R16" s="1074"/>
      <c r="S16" s="1074"/>
      <c r="T16" s="1074"/>
      <c r="U16" s="1074"/>
      <c r="V16" s="1074"/>
      <c r="W16" s="1074"/>
    </row>
    <row r="17" spans="1:23" x14ac:dyDescent="0.35">
      <c r="A17" s="1030" t="s">
        <v>776</v>
      </c>
      <c r="C17" s="1074"/>
      <c r="D17" s="1074"/>
      <c r="E17" s="1074"/>
      <c r="F17" s="1074"/>
      <c r="G17" s="1074"/>
      <c r="H17" s="1074"/>
      <c r="I17" s="1074"/>
      <c r="J17" s="1074"/>
      <c r="K17" s="1074"/>
      <c r="L17" s="1074"/>
      <c r="M17" s="1074"/>
      <c r="N17" s="1074"/>
      <c r="O17" s="1074"/>
      <c r="P17" s="1074"/>
      <c r="Q17" s="1074"/>
      <c r="R17" s="1074"/>
      <c r="S17" s="1074"/>
      <c r="T17" s="1074"/>
      <c r="U17" s="1074"/>
      <c r="V17" s="1074"/>
      <c r="W17" s="1074"/>
    </row>
    <row r="18" spans="1:23" x14ac:dyDescent="0.35">
      <c r="B18" s="421" t="s">
        <v>143</v>
      </c>
      <c r="C18" s="1074">
        <f>'ARP Score'!$BG5/'ARP Score'!$G5*C6</f>
        <v>0</v>
      </c>
      <c r="D18" s="1074">
        <f>'ARP Score'!$BG5/'ARP Score'!$G5*D6</f>
        <v>2.2132800000000001</v>
      </c>
      <c r="E18" s="1074">
        <f>'ARP Score'!$BG5/'ARP Score'!$G5*E6</f>
        <v>10.082720000000002</v>
      </c>
      <c r="F18" s="1074">
        <f>'ARP Score'!$BG6/'ARP Score'!$G6*F6</f>
        <v>7.1439999999999992</v>
      </c>
      <c r="G18" s="1074">
        <f>'ARP Score'!$BG6/'ARP Score'!$G6*G6</f>
        <v>7.1439999999999992</v>
      </c>
      <c r="H18" s="1074">
        <f>'ARP Score'!$BG6/'ARP Score'!$G6*H6</f>
        <v>7.1439999999999992</v>
      </c>
      <c r="I18" s="1074">
        <f>'ARP Score'!$BG6/'ARP Score'!$G6*I6</f>
        <v>7.1439999999999992</v>
      </c>
      <c r="J18" s="1074">
        <f>'ARP Score'!$BG7/'ARP Score'!$G7*J6</f>
        <v>0</v>
      </c>
      <c r="K18" s="1074">
        <f>'ARP Score'!$BG7/'ARP Score'!$G7*K6</f>
        <v>0</v>
      </c>
      <c r="L18" s="1074">
        <f>'ARP Score'!$BG7/'ARP Score'!$G7*L6</f>
        <v>0</v>
      </c>
      <c r="M18" s="1074">
        <f>'ARP Score'!$BG7/'ARP Score'!$G7*M6</f>
        <v>0</v>
      </c>
      <c r="N18" s="1074"/>
      <c r="O18" s="1074"/>
      <c r="P18" s="1074"/>
      <c r="Q18" s="1074"/>
      <c r="R18" s="1074"/>
      <c r="S18" s="1074"/>
      <c r="T18" s="1074"/>
      <c r="U18" s="1074"/>
      <c r="V18" s="1074"/>
      <c r="W18" s="1074"/>
    </row>
    <row r="19" spans="1:23" x14ac:dyDescent="0.35">
      <c r="B19" s="421" t="s">
        <v>777</v>
      </c>
      <c r="C19" s="1074">
        <f>'ARP Score'!$BI5/'ARP Score'!$G5*C6</f>
        <v>0</v>
      </c>
      <c r="D19" s="1074">
        <f>'ARP Score'!$BI5/'ARP Score'!$G5*D6</f>
        <v>15.128640000000001</v>
      </c>
      <c r="E19" s="1074">
        <f>'ARP Score'!$BI5/'ARP Score'!$G5*E6</f>
        <v>68.919360000000012</v>
      </c>
      <c r="F19" s="1074">
        <f>'ARP Score'!$BI6/'ARP Score'!$G6*F6</f>
        <v>5.6120000000000001</v>
      </c>
      <c r="G19" s="1074">
        <f>'ARP Score'!$BI6/'ARP Score'!$G6*G6</f>
        <v>5.6120000000000001</v>
      </c>
      <c r="H19" s="1074">
        <f>'ARP Score'!$BI6/'ARP Score'!$G6*H6</f>
        <v>5.6120000000000001</v>
      </c>
      <c r="I19" s="1074">
        <f>'ARP Score'!$BI6/'ARP Score'!$G6*I6</f>
        <v>5.6120000000000001</v>
      </c>
      <c r="J19" s="1074">
        <f>'ARP Score'!$B7/'ARP Score'!$G7*J6</f>
        <v>0.48599999999999993</v>
      </c>
      <c r="K19" s="1074">
        <f>'ARP Score'!$B7/'ARP Score'!$G7*K6</f>
        <v>0.48599999999999993</v>
      </c>
      <c r="L19" s="1074">
        <f>'ARP Score'!$B7/'ARP Score'!$G7*L6</f>
        <v>0.48599999999999993</v>
      </c>
      <c r="M19" s="1074">
        <f>'ARP Score'!$B7/'ARP Score'!$G7*M6</f>
        <v>0.48599999999999993</v>
      </c>
      <c r="N19" s="1074">
        <f>'ARP Score'!$B8/'ARP Score'!$G8*N6</f>
        <v>0</v>
      </c>
      <c r="O19" s="1074"/>
      <c r="P19" s="1074"/>
      <c r="Q19" s="1074"/>
      <c r="R19" s="1074"/>
      <c r="S19" s="1074"/>
      <c r="T19" s="1074"/>
      <c r="U19" s="1074"/>
      <c r="V19" s="1074"/>
      <c r="W19" s="1074"/>
    </row>
    <row r="20" spans="1:23" x14ac:dyDescent="0.35">
      <c r="B20" s="421" t="s">
        <v>148</v>
      </c>
      <c r="C20" s="1074">
        <f>'ARP Score'!$BF5/'ARP Score'!$G5*C6</f>
        <v>0</v>
      </c>
      <c r="D20" s="1074">
        <f>'ARP Score'!$BF5/'ARP Score'!$G5*D6</f>
        <v>3.2479199999999997</v>
      </c>
      <c r="E20" s="1074">
        <f>'ARP Score'!$BF5/'ARP Score'!$G5*E6</f>
        <v>14.796080000000002</v>
      </c>
      <c r="F20" s="1074">
        <f>'ARP Score'!$BF6/'ARP Score'!$G6*F6</f>
        <v>1.7329999999999999</v>
      </c>
      <c r="G20" s="1074">
        <f>'ARP Score'!$BF6/'ARP Score'!$G6*G6</f>
        <v>1.7329999999999999</v>
      </c>
      <c r="H20" s="1074">
        <f>'ARP Score'!$BF6/'ARP Score'!$G6*H6</f>
        <v>1.7329999999999999</v>
      </c>
      <c r="I20" s="1074">
        <f>'ARP Score'!$BF6/'ARP Score'!$G6*I6</f>
        <v>1.7329999999999999</v>
      </c>
      <c r="J20" s="1074">
        <f>'ARP Score'!$BF7/'ARP Score'!$G7*J6</f>
        <v>0</v>
      </c>
      <c r="K20" s="1074">
        <f>'ARP Score'!$BF7/'ARP Score'!$G7*K6</f>
        <v>0</v>
      </c>
      <c r="L20" s="1074">
        <f>'ARP Score'!$BF7/'ARP Score'!$G7*L6</f>
        <v>0</v>
      </c>
      <c r="M20" s="1074">
        <f>'ARP Score'!$BF7/'ARP Score'!$G7*M6</f>
        <v>0</v>
      </c>
      <c r="N20" s="1074"/>
      <c r="O20" s="1074"/>
      <c r="P20" s="1074"/>
      <c r="Q20" s="1074"/>
      <c r="R20" s="1074"/>
      <c r="S20" s="1074"/>
      <c r="T20" s="1074"/>
      <c r="U20" s="1074"/>
      <c r="V20" s="1074"/>
      <c r="W20" s="1074"/>
    </row>
    <row r="21" spans="1:23" x14ac:dyDescent="0.35">
      <c r="B21" s="1081" t="s">
        <v>415</v>
      </c>
      <c r="C21" s="1074">
        <f>15/40*(C6*'ARP Score'!$BD5/'ARP Score'!$G5)</f>
        <v>0</v>
      </c>
      <c r="D21" s="1074">
        <f>15/40*(D6*('ARP Score'!$BD5+'ARP Score'!$BE5)/'ARP Score'!$G5)</f>
        <v>13.2921</v>
      </c>
      <c r="E21" s="1074">
        <f>15/40*(E6*('ARP Score'!$BD5+'ARP Score'!$BE5)/'ARP Score'!$G5)</f>
        <v>60.552900000000008</v>
      </c>
      <c r="F21" s="1074">
        <f>15/40*(F6*('ARP Score'!$BD6+'ARP Score'!$BE6)/'ARP Score'!$G6)</f>
        <v>1.0687500000000001</v>
      </c>
      <c r="G21" s="1074">
        <f>15/40*(G6*('ARP Score'!$BD6+'ARP Score'!$BE6)/'ARP Score'!$G6)</f>
        <v>1.0687500000000001</v>
      </c>
      <c r="H21" s="1074">
        <f>15/40*(H6*('ARP Score'!$BD6+'ARP Score'!$BE6)/'ARP Score'!$G6)</f>
        <v>1.0687500000000001</v>
      </c>
      <c r="I21" s="1074">
        <f>15/40*(I6*('ARP Score'!$BD6+'ARP Score'!$BE6)/'ARP Score'!$G6)</f>
        <v>1.0687500000000001</v>
      </c>
      <c r="J21" s="1074">
        <f>15/40*(J6*('ARP Score'!$BD7+'ARP Score'!$BE7)/'ARP Score'!$G7)</f>
        <v>0.78750000000000009</v>
      </c>
      <c r="K21" s="1074">
        <f>15/40*(K6*('ARP Score'!$BD7+'ARP Score'!$BE7)/'ARP Score'!$G7)</f>
        <v>0.78750000000000009</v>
      </c>
      <c r="L21" s="1074">
        <f>15/40*(L6*('ARP Score'!$BD7+'ARP Score'!$BE7)/'ARP Score'!$G7)</f>
        <v>0.78750000000000009</v>
      </c>
      <c r="M21" s="1074">
        <f>15/40*(M6*('ARP Score'!$BD7+'ARP Score'!$BE7)/'ARP Score'!$G7)</f>
        <v>0.78750000000000009</v>
      </c>
      <c r="N21" s="1074"/>
      <c r="O21" s="1074"/>
      <c r="P21" s="1074"/>
      <c r="Q21" s="1074"/>
      <c r="R21" s="1074"/>
      <c r="S21" s="1074"/>
      <c r="T21" s="1074"/>
      <c r="U21" s="1074"/>
      <c r="V21" s="1074"/>
      <c r="W21" s="1074"/>
    </row>
    <row r="22" spans="1:23" x14ac:dyDescent="0.35">
      <c r="B22" s="1081" t="s">
        <v>778</v>
      </c>
      <c r="C22" s="1074"/>
      <c r="D22" s="1074">
        <f>D21/15*25</f>
        <v>22.153499999999998</v>
      </c>
      <c r="E22" s="1074">
        <f>E21/15*25</f>
        <v>100.92150000000002</v>
      </c>
      <c r="F22" s="1074">
        <f>F21/15*25</f>
        <v>1.7812500000000002</v>
      </c>
      <c r="G22" s="1074">
        <f>G21/15*25</f>
        <v>1.7812500000000002</v>
      </c>
      <c r="H22" s="1074">
        <f t="shared" ref="H22:J22" si="35">H21/15*25</f>
        <v>1.7812500000000002</v>
      </c>
      <c r="I22" s="1074">
        <f t="shared" si="35"/>
        <v>1.7812500000000002</v>
      </c>
      <c r="J22" s="1074">
        <f t="shared" si="35"/>
        <v>1.3125000000000002</v>
      </c>
      <c r="K22" s="1074">
        <f t="shared" ref="K22" si="36">K21/15*25</f>
        <v>1.3125000000000002</v>
      </c>
      <c r="L22" s="1074">
        <f t="shared" ref="L22" si="37">L21/15*25</f>
        <v>1.3125000000000002</v>
      </c>
      <c r="M22" s="1074">
        <f t="shared" ref="M22" si="38">M21/15*25</f>
        <v>1.3125000000000002</v>
      </c>
      <c r="N22" s="1074"/>
      <c r="O22" s="1074"/>
      <c r="P22" s="1074"/>
      <c r="Q22" s="1074"/>
      <c r="R22" s="1074"/>
      <c r="S22" s="1074"/>
      <c r="T22" s="1074"/>
      <c r="U22" s="1074"/>
      <c r="V22" s="1074"/>
      <c r="W22" s="1074"/>
    </row>
    <row r="23" spans="1:23" x14ac:dyDescent="0.35">
      <c r="B23" s="421" t="s">
        <v>427</v>
      </c>
      <c r="C23" s="1074">
        <f>'ARP Score'!$BB5/'ARP Score'!$G5*C6</f>
        <v>0</v>
      </c>
      <c r="D23" s="1074">
        <f>'ARP Score'!$BB5/'ARP Score'!$G5*D6</f>
        <v>2.9519999999999995</v>
      </c>
      <c r="E23" s="1074">
        <f>'ARP Score'!$BB5/'ARP Score'!$G5*E6</f>
        <v>13.448</v>
      </c>
      <c r="F23" s="1074">
        <f>'ARP Score'!$BB6/'ARP Score'!$G6*F6</f>
        <v>11.3</v>
      </c>
      <c r="G23" s="1074">
        <f>'ARP Score'!$BB6/'ARP Score'!$G6*G6</f>
        <v>11.3</v>
      </c>
      <c r="H23" s="1074">
        <f>'ARP Score'!$BB6/'ARP Score'!$G6*H6</f>
        <v>11.3</v>
      </c>
      <c r="I23" s="1074">
        <f>'ARP Score'!$BB6/'ARP Score'!$G6*I6</f>
        <v>11.3</v>
      </c>
      <c r="J23" s="1074">
        <f>'ARP Score'!$BB7/'ARP Score'!$G7*J6</f>
        <v>8.4</v>
      </c>
      <c r="K23" s="1074">
        <f>'ARP Score'!$BB7/'ARP Score'!$G7*K6</f>
        <v>8.4</v>
      </c>
      <c r="L23" s="1074">
        <f>'ARP Score'!$BB7/'ARP Score'!$G7*L6</f>
        <v>8.4</v>
      </c>
      <c r="M23" s="1074">
        <f>'ARP Score'!$BB7/'ARP Score'!$G7*M6</f>
        <v>8.4</v>
      </c>
      <c r="N23" s="1074">
        <f>'ARP Score'!$BB8/'ARP Score'!$G8*N6</f>
        <v>0.2</v>
      </c>
      <c r="O23" s="1074">
        <f>'ARP Score'!$BB8/'ARP Score'!$G8*O6</f>
        <v>0.2</v>
      </c>
      <c r="P23" s="1074">
        <f>'ARP Score'!$BB8/'ARP Score'!$G8*P6</f>
        <v>0.2</v>
      </c>
      <c r="Q23" s="1074">
        <f>'ARP Score'!$BB8/'ARP Score'!$G8*Q6</f>
        <v>0.2</v>
      </c>
      <c r="R23" s="1074"/>
      <c r="S23" s="1074"/>
      <c r="T23" s="1074"/>
      <c r="U23" s="1074"/>
      <c r="V23" s="1074"/>
      <c r="W23" s="1074"/>
    </row>
    <row r="24" spans="1:23" x14ac:dyDescent="0.35">
      <c r="B24" s="421" t="s">
        <v>428</v>
      </c>
      <c r="C24" s="1074">
        <f>'ARP Score'!$BH5/'ARP Score'!$G5*C6</f>
        <v>0</v>
      </c>
      <c r="D24" s="1074">
        <f>'ARP Score'!$BH5/'ARP Score'!$G5*D6</f>
        <v>-0.20447999999999997</v>
      </c>
      <c r="E24" s="1074">
        <f>'ARP Score'!$BH5/'ARP Score'!$G5*E6</f>
        <v>-0.93152000000000001</v>
      </c>
      <c r="F24" s="1074">
        <f>'ARP Score'!$BH6/'ARP Score'!$G6*F6</f>
        <v>81.608999999999995</v>
      </c>
      <c r="G24" s="1074">
        <f>'ARP Score'!$BH6/'ARP Score'!$G6*G6</f>
        <v>81.608999999999995</v>
      </c>
      <c r="H24" s="1074">
        <f>'ARP Score'!$BH6/'ARP Score'!$G6*H6</f>
        <v>81.608999999999995</v>
      </c>
      <c r="I24" s="1074">
        <f>'ARP Score'!$BH6/'ARP Score'!$G6*I6</f>
        <v>81.608999999999995</v>
      </c>
      <c r="J24" s="1074">
        <f>'ARP Score'!$BH7/'ARP Score'!$G7*J6</f>
        <v>1.3759999999999999</v>
      </c>
      <c r="K24" s="1074">
        <f>'ARP Score'!$BH7/'ARP Score'!$G7*K6</f>
        <v>1.3759999999999999</v>
      </c>
      <c r="L24" s="1074">
        <f>'ARP Score'!$BH7/'ARP Score'!$G7*L6</f>
        <v>1.3759999999999999</v>
      </c>
      <c r="M24" s="1074">
        <f>'ARP Score'!$BH7/'ARP Score'!$G7*M6</f>
        <v>1.3759999999999999</v>
      </c>
      <c r="N24" s="1074">
        <f>'ARP Score'!$BH8/'ARP Score'!$G8*N6</f>
        <v>-0.87500000000000011</v>
      </c>
      <c r="O24" s="1074">
        <f>'ARP Score'!$BH8/'ARP Score'!$G8*O6</f>
        <v>-0.87500000000000011</v>
      </c>
      <c r="P24" s="1074">
        <f>'ARP Score'!$BH8/'ARP Score'!$G8*P6</f>
        <v>-0.87500000000000011</v>
      </c>
      <c r="Q24" s="1074">
        <f>'ARP Score'!$BH8/'ARP Score'!$G8*Q6</f>
        <v>-0.87500000000000011</v>
      </c>
      <c r="R24" s="1074"/>
      <c r="S24" s="1074"/>
      <c r="T24" s="1074"/>
      <c r="U24" s="1074"/>
      <c r="V24" s="1074"/>
      <c r="W24" s="1074"/>
    </row>
    <row r="25" spans="1:23" x14ac:dyDescent="0.35">
      <c r="B25" s="421" t="s">
        <v>312</v>
      </c>
      <c r="C25" s="1074">
        <f>SUM(C18:C24)</f>
        <v>0</v>
      </c>
      <c r="D25" s="1074">
        <f t="shared" ref="D25:Q25" si="39">SUM(D18:D24)</f>
        <v>58.782959999999996</v>
      </c>
      <c r="E25" s="1074">
        <f t="shared" si="39"/>
        <v>267.78904000000006</v>
      </c>
      <c r="F25" s="1074">
        <f t="shared" si="39"/>
        <v>110.24799999999999</v>
      </c>
      <c r="G25" s="1074">
        <f t="shared" si="39"/>
        <v>110.24799999999999</v>
      </c>
      <c r="H25" s="1074">
        <f t="shared" si="39"/>
        <v>110.24799999999999</v>
      </c>
      <c r="I25" s="1074">
        <f t="shared" si="39"/>
        <v>110.24799999999999</v>
      </c>
      <c r="J25" s="1074">
        <f t="shared" si="39"/>
        <v>12.362</v>
      </c>
      <c r="K25" s="1074">
        <f t="shared" si="39"/>
        <v>12.362</v>
      </c>
      <c r="L25" s="1074">
        <f t="shared" si="39"/>
        <v>12.362</v>
      </c>
      <c r="M25" s="1074">
        <f t="shared" si="39"/>
        <v>12.362</v>
      </c>
      <c r="N25" s="1074">
        <f t="shared" si="39"/>
        <v>-0.67500000000000004</v>
      </c>
      <c r="O25" s="1074">
        <f t="shared" si="39"/>
        <v>-0.67500000000000004</v>
      </c>
      <c r="P25" s="1074">
        <f t="shared" si="39"/>
        <v>-0.67500000000000004</v>
      </c>
      <c r="Q25" s="1074">
        <f t="shared" si="39"/>
        <v>-0.67500000000000004</v>
      </c>
      <c r="R25" s="1074"/>
      <c r="S25" s="1074"/>
      <c r="T25" s="1074"/>
      <c r="U25" s="1074"/>
      <c r="V25" s="1074"/>
      <c r="W25" s="1074"/>
    </row>
    <row r="26" spans="1:23" x14ac:dyDescent="0.35">
      <c r="D26" s="1075">
        <f>D6-D25</f>
        <v>0</v>
      </c>
      <c r="E26" s="1075">
        <f t="shared" ref="E26:M26" si="40">E6-E25</f>
        <v>0</v>
      </c>
      <c r="F26" s="1075">
        <f t="shared" si="40"/>
        <v>0</v>
      </c>
      <c r="G26" s="1075">
        <f t="shared" si="40"/>
        <v>0</v>
      </c>
      <c r="H26" s="1075">
        <f t="shared" si="40"/>
        <v>0</v>
      </c>
      <c r="I26" s="1075">
        <f t="shared" si="40"/>
        <v>0</v>
      </c>
      <c r="J26" s="1075">
        <f t="shared" si="40"/>
        <v>0.36400000000000077</v>
      </c>
      <c r="K26" s="1075">
        <f t="shared" si="40"/>
        <v>0.36400000000000077</v>
      </c>
      <c r="L26" s="1075">
        <f t="shared" si="40"/>
        <v>0.36400000000000077</v>
      </c>
      <c r="M26" s="1075">
        <f t="shared" si="40"/>
        <v>0.36400000000000077</v>
      </c>
    </row>
    <row r="27" spans="1:23" x14ac:dyDescent="0.35">
      <c r="B27" s="1030" t="s">
        <v>779</v>
      </c>
      <c r="D27" s="109" t="s">
        <v>251</v>
      </c>
      <c r="E27" s="109" t="s">
        <v>180</v>
      </c>
      <c r="F27" s="109" t="s">
        <v>181</v>
      </c>
      <c r="G27" s="109" t="s">
        <v>182</v>
      </c>
      <c r="H27" s="109" t="s">
        <v>183</v>
      </c>
      <c r="I27" s="109" t="s">
        <v>184</v>
      </c>
      <c r="J27" s="109" t="s">
        <v>185</v>
      </c>
      <c r="K27" s="109" t="s">
        <v>186</v>
      </c>
      <c r="L27" s="109" t="s">
        <v>187</v>
      </c>
      <c r="M27" s="109" t="s">
        <v>188</v>
      </c>
      <c r="N27" s="109" t="s">
        <v>189</v>
      </c>
      <c r="O27" s="109" t="s">
        <v>190</v>
      </c>
      <c r="P27" s="109" t="s">
        <v>191</v>
      </c>
      <c r="Q27" s="109" t="s">
        <v>175</v>
      </c>
      <c r="R27" s="109" t="s">
        <v>176</v>
      </c>
      <c r="S27" s="109" t="s">
        <v>177</v>
      </c>
      <c r="T27" s="109" t="s">
        <v>770</v>
      </c>
      <c r="U27" s="109" t="s">
        <v>771</v>
      </c>
      <c r="V27" s="109" t="s">
        <v>772</v>
      </c>
    </row>
    <row r="28" spans="1:23" x14ac:dyDescent="0.35">
      <c r="B28" s="33"/>
      <c r="C28" s="1075" t="s">
        <v>312</v>
      </c>
      <c r="D28" s="1077">
        <f>SUM(D29:D43)</f>
        <v>5.8765000000000009</v>
      </c>
      <c r="E28" s="1077">
        <f t="shared" ref="E28:V28" si="41">SUM(E29:E43)</f>
        <v>11.753000000000002</v>
      </c>
      <c r="F28" s="1077">
        <f t="shared" si="41"/>
        <v>15.762320000000003</v>
      </c>
      <c r="G28" s="1077">
        <f t="shared" si="41"/>
        <v>19.771640000000005</v>
      </c>
      <c r="H28" s="1077">
        <f t="shared" si="41"/>
        <v>23.812229000000006</v>
      </c>
      <c r="I28" s="1077">
        <f t="shared" si="41"/>
        <v>27.852818000000006</v>
      </c>
      <c r="J28" s="1077">
        <f t="shared" si="41"/>
        <v>30.517977000000005</v>
      </c>
      <c r="K28" s="1077">
        <f t="shared" si="41"/>
        <v>33.183136000000005</v>
      </c>
      <c r="L28" s="1077">
        <f t="shared" si="41"/>
        <v>36.260924000000003</v>
      </c>
      <c r="M28" s="1077">
        <f t="shared" si="41"/>
        <v>39.338711999999994</v>
      </c>
      <c r="N28" s="1077">
        <f t="shared" si="41"/>
        <v>40.928439999999995</v>
      </c>
      <c r="O28" s="1077">
        <f t="shared" si="41"/>
        <v>42.518167999999996</v>
      </c>
      <c r="P28" s="1077">
        <f t="shared" si="41"/>
        <v>44.428388999999996</v>
      </c>
      <c r="Q28" s="1077">
        <f t="shared" si="41"/>
        <v>46.338610000000003</v>
      </c>
      <c r="R28" s="1077">
        <f t="shared" si="41"/>
        <v>47.279744500000007</v>
      </c>
      <c r="S28" s="1077">
        <f t="shared" si="41"/>
        <v>46.283419000000009</v>
      </c>
      <c r="T28" s="1077">
        <f t="shared" si="41"/>
        <v>45.578489500000011</v>
      </c>
      <c r="U28" s="1077">
        <f t="shared" si="41"/>
        <v>45.454798000000011</v>
      </c>
      <c r="V28" s="1077">
        <f t="shared" si="41"/>
        <v>45.360580000000013</v>
      </c>
    </row>
    <row r="29" spans="1:23" x14ac:dyDescent="0.35">
      <c r="A29" s="1030">
        <v>2021</v>
      </c>
      <c r="B29" s="33" t="s">
        <v>780</v>
      </c>
      <c r="C29" s="1075"/>
      <c r="D29" s="1030">
        <f>($D$9+$D$10)*'ARP Timing'!B$16</f>
        <v>5.8765000000000009</v>
      </c>
      <c r="E29" s="1030">
        <f>($D$9+$D$10)*'ARP Timing'!C$16</f>
        <v>5.8765000000000009</v>
      </c>
      <c r="F29" s="1030">
        <f>($D$9+$D$10)*'ARP Timing'!D$16</f>
        <v>4.11355</v>
      </c>
      <c r="G29" s="1030">
        <f>($D$9+$D$10)*'ARP Timing'!E$16</f>
        <v>4.11355</v>
      </c>
      <c r="H29" s="1030">
        <f>($D$9+$D$10)*'ARP Timing'!F$16</f>
        <v>4.11355</v>
      </c>
      <c r="I29" s="1030">
        <f>($D$9+$D$10)*'ARP Timing'!G$16</f>
        <v>4.11355</v>
      </c>
      <c r="J29" s="1030">
        <f>($D$9+$D$10)*'ARP Timing'!H$16</f>
        <v>4.11355</v>
      </c>
      <c r="K29" s="1030">
        <f>($D$9+$D$10)*'ARP Timing'!I$16</f>
        <v>4.11355</v>
      </c>
      <c r="L29" s="1030">
        <f>($D$9+$D$10)*'ARP Timing'!J$16</f>
        <v>4.11355</v>
      </c>
      <c r="M29" s="1030">
        <f>($D$9+$D$10)*'ARP Timing'!K$16</f>
        <v>4.11355</v>
      </c>
      <c r="N29" s="1030">
        <f>($D$9+$D$10)*'ARP Timing'!L$16</f>
        <v>4.11355</v>
      </c>
      <c r="O29" s="1030">
        <f>($D$9+$D$10)*'ARP Timing'!M$16</f>
        <v>4.11355</v>
      </c>
      <c r="P29" s="1030">
        <f>($D$9+$D$10)*'ARP Timing'!N$16</f>
        <v>3.987625</v>
      </c>
      <c r="Q29" s="1030">
        <f>($D$9+$D$10)*'ARP Timing'!O$16</f>
        <v>3.987625</v>
      </c>
      <c r="R29" s="1030">
        <f>($D$9+$D$10)*'ARP Timing'!P$16</f>
        <v>3.987625</v>
      </c>
      <c r="S29" s="1030">
        <f>($D$9+$D$10)*'ARP Timing'!Q$16</f>
        <v>3.987625</v>
      </c>
      <c r="T29" s="1030">
        <f>($D$9+$D$10)*'ARP Timing'!R$16</f>
        <v>3.987625</v>
      </c>
      <c r="U29" s="1030">
        <f>($D$9+$D$10)*'ARP Timing'!S$16</f>
        <v>3.987625</v>
      </c>
      <c r="V29" s="1030">
        <f>($D$9+$D$10)*'ARP Timing'!T$16</f>
        <v>3.987625</v>
      </c>
    </row>
    <row r="30" spans="1:23" x14ac:dyDescent="0.35">
      <c r="B30" s="33" t="s">
        <v>331</v>
      </c>
      <c r="C30" s="1075"/>
      <c r="E30" s="1030">
        <f>($E$9+$E$10)*'ARP Timing'!B$16</f>
        <v>5.8765000000000009</v>
      </c>
      <c r="F30" s="1030">
        <f>($E$9+$E$10)*'ARP Timing'!C$16</f>
        <v>5.8765000000000009</v>
      </c>
      <c r="G30" s="1030">
        <f>($E$9+$E$10)*'ARP Timing'!D$16</f>
        <v>4.11355</v>
      </c>
      <c r="H30" s="1030">
        <f>($E$9+$E$10)*'ARP Timing'!E$16</f>
        <v>4.11355</v>
      </c>
      <c r="I30" s="1030">
        <f>($E$9+$E$10)*'ARP Timing'!F$16</f>
        <v>4.11355</v>
      </c>
      <c r="J30" s="1030">
        <f>($E$9+$E$10)*'ARP Timing'!G$16</f>
        <v>4.11355</v>
      </c>
      <c r="K30" s="1030">
        <f>($E$9+$E$10)*'ARP Timing'!H$16</f>
        <v>4.11355</v>
      </c>
      <c r="L30" s="1030">
        <f>($E$9+$E$10)*'ARP Timing'!I$16</f>
        <v>4.11355</v>
      </c>
      <c r="M30" s="1030">
        <f>($E$9+$E$10)*'ARP Timing'!J$16</f>
        <v>4.11355</v>
      </c>
      <c r="N30" s="1030">
        <f>($E$9+$E$10)*'ARP Timing'!K$16</f>
        <v>4.11355</v>
      </c>
      <c r="O30" s="1030">
        <f>($E$9+$E$10)*'ARP Timing'!L$16</f>
        <v>4.11355</v>
      </c>
      <c r="P30" s="1030">
        <f>($E$9+$E$10)*'ARP Timing'!M$16</f>
        <v>4.11355</v>
      </c>
      <c r="Q30" s="1030">
        <f>($E$9+$E$10)*'ARP Timing'!N$16</f>
        <v>3.987625</v>
      </c>
      <c r="R30" s="1030">
        <f>($E$9+$E$10)*'ARP Timing'!O$16</f>
        <v>3.987625</v>
      </c>
      <c r="S30" s="1030">
        <f>($E$9+$E$10)*'ARP Timing'!P$16</f>
        <v>3.987625</v>
      </c>
      <c r="T30" s="1030">
        <f>($E$9+$E$10)*'ARP Timing'!Q$16</f>
        <v>3.987625</v>
      </c>
      <c r="U30" s="1030">
        <f>($E$9+$E$10)*'ARP Timing'!R$16</f>
        <v>3.987625</v>
      </c>
      <c r="V30" s="1030">
        <f>($E$9+$E$10)*'ARP Timing'!S$16</f>
        <v>3.987625</v>
      </c>
    </row>
    <row r="31" spans="1:23" x14ac:dyDescent="0.35">
      <c r="B31" s="33" t="s">
        <v>781</v>
      </c>
      <c r="C31" s="1075"/>
      <c r="F31" s="1030">
        <f>($F$9+$F$10)*'ARP Timing'!B$16</f>
        <v>5.7722700000000016</v>
      </c>
      <c r="G31" s="1030">
        <f>($F$9+$F$10)*'ARP Timing'!C$16</f>
        <v>5.7722700000000016</v>
      </c>
      <c r="H31" s="1030">
        <f>($F$9+$F$10)*'ARP Timing'!D$16</f>
        <v>4.0405890000000007</v>
      </c>
      <c r="I31" s="1030">
        <f>($F$9+$F$10)*'ARP Timing'!E$16</f>
        <v>4.0405890000000007</v>
      </c>
      <c r="J31" s="1030">
        <f>($F$9+$F$10)*'ARP Timing'!F$16</f>
        <v>4.0405890000000007</v>
      </c>
      <c r="K31" s="1030">
        <f>($F$9+$F$10)*'ARP Timing'!G$16</f>
        <v>4.0405890000000007</v>
      </c>
      <c r="L31" s="1030">
        <f>($F$9+$F$10)*'ARP Timing'!H$16</f>
        <v>4.0405890000000007</v>
      </c>
      <c r="M31" s="1030">
        <f>($F$9+$F$10)*'ARP Timing'!I$16</f>
        <v>4.0405890000000007</v>
      </c>
      <c r="N31" s="1030">
        <f>($F$9+$F$10)*'ARP Timing'!J$16</f>
        <v>4.0405890000000007</v>
      </c>
      <c r="O31" s="1030">
        <f>($F$9+$F$10)*'ARP Timing'!K$16</f>
        <v>4.0405890000000007</v>
      </c>
      <c r="P31" s="1030">
        <f>($F$9+$F$10)*'ARP Timing'!L$16</f>
        <v>4.0405890000000007</v>
      </c>
      <c r="Q31" s="1030">
        <f>($F$9+$F$10)*'ARP Timing'!M$16</f>
        <v>4.0405890000000007</v>
      </c>
      <c r="R31" s="1030">
        <f>($F$9+$F$10)*'ARP Timing'!N$16</f>
        <v>3.9168975000000006</v>
      </c>
      <c r="S31" s="1030">
        <f>($F$9+$F$10)*'ARP Timing'!O$16</f>
        <v>3.9168975000000006</v>
      </c>
      <c r="T31" s="1030">
        <f>($F$9+$F$10)*'ARP Timing'!P$16</f>
        <v>3.9168975000000006</v>
      </c>
      <c r="U31" s="1030">
        <f>($F$9+$F$10)*'ARP Timing'!Q$16</f>
        <v>3.9168975000000006</v>
      </c>
      <c r="V31" s="1030">
        <f>($F$9+$F$10)*'ARP Timing'!R$16</f>
        <v>3.9168975000000006</v>
      </c>
    </row>
    <row r="32" spans="1:23" x14ac:dyDescent="0.35">
      <c r="A32" s="1030">
        <v>2022</v>
      </c>
      <c r="B32" s="33" t="s">
        <v>240</v>
      </c>
      <c r="C32" s="1075"/>
      <c r="G32" s="1030">
        <f>($G$9+$G$10)*'ARP Timing'!B$16</f>
        <v>5.7722700000000016</v>
      </c>
      <c r="H32" s="1030">
        <f>($G$9+$G$10)*'ARP Timing'!C$16</f>
        <v>5.7722700000000016</v>
      </c>
      <c r="I32" s="1030">
        <f>($G$9+$G$10)*'ARP Timing'!D$16</f>
        <v>4.0405890000000007</v>
      </c>
      <c r="J32" s="1030">
        <f>($G$9+$G$10)*'ARP Timing'!E$16</f>
        <v>4.0405890000000007</v>
      </c>
      <c r="K32" s="1030">
        <f>($G$9+$G$10)*'ARP Timing'!F$16</f>
        <v>4.0405890000000007</v>
      </c>
      <c r="L32" s="1030">
        <f>($G$9+$G$10)*'ARP Timing'!G$16</f>
        <v>4.0405890000000007</v>
      </c>
      <c r="M32" s="1030">
        <f>($G$9+$G$10)*'ARP Timing'!H$16</f>
        <v>4.0405890000000007</v>
      </c>
      <c r="N32" s="1030">
        <f>($G$9+$G$10)*'ARP Timing'!I$16</f>
        <v>4.0405890000000007</v>
      </c>
      <c r="O32" s="1030">
        <f>($G$9+$G$10)*'ARP Timing'!J$16</f>
        <v>4.0405890000000007</v>
      </c>
      <c r="P32" s="1030">
        <f>($G$9+$G$10)*'ARP Timing'!K$16</f>
        <v>4.0405890000000007</v>
      </c>
      <c r="Q32" s="1030">
        <f>($G$9+$G$10)*'ARP Timing'!L$16</f>
        <v>4.0405890000000007</v>
      </c>
      <c r="R32" s="1030">
        <f>($G$9+$G$10)*'ARP Timing'!M$16</f>
        <v>4.0405890000000007</v>
      </c>
      <c r="S32" s="1030">
        <f>($G$9+$G$10)*'ARP Timing'!N$16</f>
        <v>3.9168975000000006</v>
      </c>
      <c r="T32" s="1030">
        <f>($G$9+$G$10)*'ARP Timing'!O$16</f>
        <v>3.9168975000000006</v>
      </c>
      <c r="U32" s="1030">
        <f>($G$9+$G$10)*'ARP Timing'!P$16</f>
        <v>3.9168975000000006</v>
      </c>
      <c r="V32" s="1030">
        <f>($G$9+$G$10)*'ARP Timing'!Q$16</f>
        <v>3.9168975000000006</v>
      </c>
    </row>
    <row r="33" spans="1:23" x14ac:dyDescent="0.35">
      <c r="B33" s="33" t="s">
        <v>241</v>
      </c>
      <c r="C33" s="1075"/>
      <c r="H33" s="1030">
        <f>($H$9+$H$10)*'ARP Timing'!B$16</f>
        <v>5.7722700000000016</v>
      </c>
      <c r="I33" s="1030">
        <f>($H$9+$H$10)*'ARP Timing'!C$16</f>
        <v>5.7722700000000016</v>
      </c>
      <c r="J33" s="1030">
        <f>($H$9+$H$10)*'ARP Timing'!D$16</f>
        <v>4.0405890000000007</v>
      </c>
      <c r="K33" s="1030">
        <f>($H$9+$H$10)*'ARP Timing'!E$16</f>
        <v>4.0405890000000007</v>
      </c>
      <c r="L33" s="1030">
        <f>($H$9+$H$10)*'ARP Timing'!F$16</f>
        <v>4.0405890000000007</v>
      </c>
      <c r="M33" s="1030">
        <f>($H$9+$H$10)*'ARP Timing'!G$16</f>
        <v>4.0405890000000007</v>
      </c>
      <c r="N33" s="1030">
        <f>($H$9+$H$10)*'ARP Timing'!H$16</f>
        <v>4.0405890000000007</v>
      </c>
      <c r="O33" s="1030">
        <f>($H$9+$H$10)*'ARP Timing'!I$16</f>
        <v>4.0405890000000007</v>
      </c>
      <c r="P33" s="1030">
        <f>($H$9+$H$10)*'ARP Timing'!J$16</f>
        <v>4.0405890000000007</v>
      </c>
      <c r="Q33" s="1030">
        <f>($H$9+$H$10)*'ARP Timing'!K$16</f>
        <v>4.0405890000000007</v>
      </c>
      <c r="R33" s="1030">
        <f>($H$9+$H$10)*'ARP Timing'!L$16</f>
        <v>4.0405890000000007</v>
      </c>
      <c r="S33" s="1030">
        <f>($H$9+$H$10)*'ARP Timing'!M$16</f>
        <v>4.0405890000000007</v>
      </c>
      <c r="T33" s="1030">
        <f>($H$9+$H$10)*'ARP Timing'!N$16</f>
        <v>3.9168975000000006</v>
      </c>
      <c r="U33" s="1030">
        <f>($H$9+$H$10)*'ARP Timing'!O$16</f>
        <v>3.9168975000000006</v>
      </c>
      <c r="V33" s="1030">
        <f>($H$9+$H$10)*'ARP Timing'!P$16</f>
        <v>3.9168975000000006</v>
      </c>
    </row>
    <row r="34" spans="1:23" x14ac:dyDescent="0.35">
      <c r="B34" s="33" t="s">
        <v>331</v>
      </c>
      <c r="C34" s="1075"/>
      <c r="H34" s="1075"/>
      <c r="I34" s="1030">
        <f>($I$9+$I10)*'ARP Timing'!B$16</f>
        <v>5.7722700000000016</v>
      </c>
      <c r="J34" s="1030">
        <f>($I$9+$I10)*'ARP Timing'!C$16</f>
        <v>5.7722700000000016</v>
      </c>
      <c r="K34" s="1030">
        <f>($I$9+$I10)*'ARP Timing'!D$16</f>
        <v>4.0405890000000007</v>
      </c>
      <c r="L34" s="1030">
        <f>($I$9+$I10)*'ARP Timing'!E$16</f>
        <v>4.0405890000000007</v>
      </c>
      <c r="M34" s="1030">
        <f>($I$9+$I10)*'ARP Timing'!F$16</f>
        <v>4.0405890000000007</v>
      </c>
      <c r="N34" s="1030">
        <f>($I$9+$I10)*'ARP Timing'!G$16</f>
        <v>4.0405890000000007</v>
      </c>
      <c r="O34" s="1030">
        <f>($I$9+$I10)*'ARP Timing'!H$16</f>
        <v>4.0405890000000007</v>
      </c>
      <c r="P34" s="1030">
        <f>($I$9+$I10)*'ARP Timing'!I$16</f>
        <v>4.0405890000000007</v>
      </c>
      <c r="Q34" s="1030">
        <f>($I$9+$I10)*'ARP Timing'!J$16</f>
        <v>4.0405890000000007</v>
      </c>
      <c r="R34" s="1030">
        <f>($I$9+$I10)*'ARP Timing'!K$16</f>
        <v>4.0405890000000007</v>
      </c>
      <c r="S34" s="1030">
        <f>($I$9+$I10)*'ARP Timing'!L$16</f>
        <v>4.0405890000000007</v>
      </c>
      <c r="T34" s="1030">
        <f>($I$9+$I10)*'ARP Timing'!M$16</f>
        <v>4.0405890000000007</v>
      </c>
      <c r="U34" s="1030">
        <f>($I$9+$I10)*'ARP Timing'!N$16</f>
        <v>3.9168975000000006</v>
      </c>
      <c r="V34" s="1030">
        <f>($I$9+$I10)*'ARP Timing'!O$16</f>
        <v>3.9168975000000006</v>
      </c>
    </row>
    <row r="35" spans="1:23" x14ac:dyDescent="0.35">
      <c r="B35" s="33" t="s">
        <v>781</v>
      </c>
      <c r="C35" s="1075"/>
      <c r="H35" s="1075"/>
      <c r="J35" s="1030">
        <f>($J$9+$J$10)*'ARP Timing'!B$16</f>
        <v>4.3968400000000001</v>
      </c>
      <c r="K35" s="1030">
        <f>($J$9+$J$10)*'ARP Timing'!C$16</f>
        <v>4.3968400000000001</v>
      </c>
      <c r="L35" s="1030">
        <f>($J$9+$J$10)*'ARP Timing'!D$16</f>
        <v>3.077788</v>
      </c>
      <c r="M35" s="1030">
        <f>($J$9+$J$10)*'ARP Timing'!E$16</f>
        <v>3.077788</v>
      </c>
      <c r="N35" s="1030">
        <f>($J$9+$J$10)*'ARP Timing'!F$16</f>
        <v>3.077788</v>
      </c>
      <c r="O35" s="1030">
        <f>($J$9+$J$10)*'ARP Timing'!G$16</f>
        <v>3.077788</v>
      </c>
      <c r="P35" s="1030">
        <f>($J$9+$J$10)*'ARP Timing'!H$16</f>
        <v>3.077788</v>
      </c>
      <c r="Q35" s="1030">
        <f>($J$9+$J$10)*'ARP Timing'!I$16</f>
        <v>3.077788</v>
      </c>
      <c r="R35" s="1030">
        <f>($J$9+$J$10)*'ARP Timing'!J$16</f>
        <v>3.077788</v>
      </c>
      <c r="S35" s="1030">
        <f>($J$9+$J$10)*'ARP Timing'!K$16</f>
        <v>3.077788</v>
      </c>
      <c r="T35" s="1030">
        <f>($J$9+$J$10)*'ARP Timing'!L$16</f>
        <v>3.077788</v>
      </c>
      <c r="U35" s="1030">
        <f>($J$9+$J$10)*'ARP Timing'!M$16</f>
        <v>3.077788</v>
      </c>
      <c r="V35" s="1030">
        <f>($J$9+$J$10)*'ARP Timing'!N$16</f>
        <v>2.9835699999999998</v>
      </c>
    </row>
    <row r="36" spans="1:23" x14ac:dyDescent="0.35">
      <c r="A36" s="1030">
        <v>2023</v>
      </c>
      <c r="B36" s="33" t="s">
        <v>240</v>
      </c>
      <c r="C36" s="1075"/>
      <c r="H36" s="1075"/>
      <c r="K36" s="1030">
        <f>($K$9+$K$10)*'ARP Timing'!B$16</f>
        <v>4.3968400000000001</v>
      </c>
      <c r="L36" s="1030">
        <f>($K$9+$K$10)*'ARP Timing'!C$16</f>
        <v>4.3968400000000001</v>
      </c>
      <c r="M36" s="1030">
        <f>($K$9+$K$10)*'ARP Timing'!D$16</f>
        <v>3.077788</v>
      </c>
      <c r="N36" s="1030">
        <f>($K$9+$K$10)*'ARP Timing'!E$16</f>
        <v>3.077788</v>
      </c>
      <c r="O36" s="1030">
        <f>($K$9+$K$10)*'ARP Timing'!F$16</f>
        <v>3.077788</v>
      </c>
      <c r="P36" s="1030">
        <f>($K$9+$K$10)*'ARP Timing'!G$16</f>
        <v>3.077788</v>
      </c>
      <c r="Q36" s="1030">
        <f>($K$9+$K$10)*'ARP Timing'!H$16</f>
        <v>3.077788</v>
      </c>
      <c r="R36" s="1030">
        <f>($K$9+$K$10)*'ARP Timing'!I$16</f>
        <v>3.077788</v>
      </c>
      <c r="S36" s="1030">
        <f>($K$9+$K$10)*'ARP Timing'!J$16</f>
        <v>3.077788</v>
      </c>
      <c r="T36" s="1030">
        <f>($K$9+$K$10)*'ARP Timing'!K$16</f>
        <v>3.077788</v>
      </c>
      <c r="U36" s="1030">
        <f>($K$9+$K$10)*'ARP Timing'!L$16</f>
        <v>3.077788</v>
      </c>
      <c r="V36" s="1030">
        <f>($K$9+$K$10)*'ARP Timing'!M$16</f>
        <v>3.077788</v>
      </c>
    </row>
    <row r="37" spans="1:23" x14ac:dyDescent="0.35">
      <c r="B37" s="33" t="s">
        <v>241</v>
      </c>
      <c r="C37" s="1075"/>
      <c r="H37" s="1075"/>
      <c r="L37" s="1030">
        <f>($L$9+$L$10)*'ARP Timing'!B$16</f>
        <v>4.3968400000000001</v>
      </c>
      <c r="M37" s="1030">
        <f>($L$9+$L$10)*'ARP Timing'!C$16</f>
        <v>4.3968400000000001</v>
      </c>
      <c r="N37" s="1030">
        <f>($L$9+$L$10)*'ARP Timing'!D$16</f>
        <v>3.077788</v>
      </c>
      <c r="O37" s="1030">
        <f>($L$9+$L$10)*'ARP Timing'!E$16</f>
        <v>3.077788</v>
      </c>
      <c r="P37" s="1030">
        <f>($L$9+$L$10)*'ARP Timing'!F$16</f>
        <v>3.077788</v>
      </c>
      <c r="Q37" s="1030">
        <f>($L$9+$L$10)*'ARP Timing'!G$16</f>
        <v>3.077788</v>
      </c>
      <c r="R37" s="1030">
        <f>($L$9+$L$10)*'ARP Timing'!H$16</f>
        <v>3.077788</v>
      </c>
      <c r="S37" s="1030">
        <f>($L$9+$L$10)*'ARP Timing'!I$16</f>
        <v>3.077788</v>
      </c>
      <c r="T37" s="1030">
        <f>($L$9+$L$10)*'ARP Timing'!J$16</f>
        <v>3.077788</v>
      </c>
      <c r="U37" s="1030">
        <f>($L$9+$L$10)*'ARP Timing'!K$16</f>
        <v>3.077788</v>
      </c>
      <c r="V37" s="1030">
        <f>($L$9+$L$10)*'ARP Timing'!L$16</f>
        <v>3.077788</v>
      </c>
    </row>
    <row r="38" spans="1:23" x14ac:dyDescent="0.35">
      <c r="B38" s="33" t="s">
        <v>331</v>
      </c>
      <c r="C38" s="1075"/>
      <c r="H38" s="1075"/>
      <c r="M38" s="1030">
        <f>($M$9+$M$10)*'ARP Timing'!B$16</f>
        <v>4.3968400000000001</v>
      </c>
      <c r="N38" s="1030">
        <f>($M$9+$M$10)*'ARP Timing'!C$16</f>
        <v>4.3968400000000001</v>
      </c>
      <c r="O38" s="1030">
        <f>($M$9+$M$10)*'ARP Timing'!D$16</f>
        <v>3.077788</v>
      </c>
      <c r="P38" s="1030">
        <f>($M$9+$M$10)*'ARP Timing'!E$16</f>
        <v>3.077788</v>
      </c>
      <c r="Q38" s="1030">
        <f>($M$9+$M$10)*'ARP Timing'!F$16</f>
        <v>3.077788</v>
      </c>
      <c r="R38" s="1030">
        <f>($M$9+$M$10)*'ARP Timing'!G$16</f>
        <v>3.077788</v>
      </c>
      <c r="S38" s="1030">
        <f>($M$9+$M$10)*'ARP Timing'!H$16</f>
        <v>3.077788</v>
      </c>
      <c r="T38" s="1030">
        <f>($M$9+$M$10)*'ARP Timing'!I$16</f>
        <v>3.077788</v>
      </c>
      <c r="U38" s="1030">
        <f>($M$9+$M$10)*'ARP Timing'!J$16</f>
        <v>3.077788</v>
      </c>
      <c r="V38" s="1030">
        <f>($M$9+$M$10)*'ARP Timing'!K$16</f>
        <v>3.077788</v>
      </c>
    </row>
    <row r="39" spans="1:23" x14ac:dyDescent="0.35">
      <c r="B39" s="33" t="s">
        <v>781</v>
      </c>
      <c r="C39" s="1075"/>
      <c r="H39" s="1075"/>
      <c r="N39" s="1030">
        <f>($N$9+$N$10)*'ARP Timing'!B$16</f>
        <v>2.9087800000000006</v>
      </c>
      <c r="O39" s="1030">
        <f>($N$9+$N$10)*'ARP Timing'!C$16</f>
        <v>2.9087800000000006</v>
      </c>
      <c r="P39" s="1030">
        <f>($N$9+$N$10)*'ARP Timing'!D$16</f>
        <v>2.036146</v>
      </c>
      <c r="Q39" s="1030">
        <f>($N$9+$N$10)*'ARP Timing'!E$16</f>
        <v>2.036146</v>
      </c>
      <c r="R39" s="1030">
        <f>($N$9+$N$10)*'ARP Timing'!F$16</f>
        <v>2.036146</v>
      </c>
      <c r="S39" s="1030">
        <f>($N$9+$N$10)*'ARP Timing'!G$16</f>
        <v>2.036146</v>
      </c>
      <c r="T39" s="1030">
        <f>($N$9+$N$10)*'ARP Timing'!H$16</f>
        <v>2.036146</v>
      </c>
      <c r="U39" s="1030">
        <f>($N$9+$N$10)*'ARP Timing'!I$16</f>
        <v>2.036146</v>
      </c>
      <c r="V39" s="1030">
        <f>($N$9+$N$10)*'ARP Timing'!J$16</f>
        <v>2.036146</v>
      </c>
    </row>
    <row r="40" spans="1:23" x14ac:dyDescent="0.35">
      <c r="A40" s="1030">
        <v>2024</v>
      </c>
      <c r="B40" s="33" t="s">
        <v>240</v>
      </c>
      <c r="C40" s="1075"/>
      <c r="H40" s="1075"/>
      <c r="O40" s="1030">
        <f>($O$9+$O$10)*'ARP Timing'!B$16</f>
        <v>2.9087800000000006</v>
      </c>
      <c r="P40" s="1030">
        <f>($O$9+$O$10)*'ARP Timing'!C$16</f>
        <v>2.9087800000000006</v>
      </c>
      <c r="Q40" s="1030">
        <f>($O$9+$O$10)*'ARP Timing'!D$16</f>
        <v>2.036146</v>
      </c>
      <c r="R40" s="1030">
        <f>($O$9+$O$10)*'ARP Timing'!E$16</f>
        <v>2.036146</v>
      </c>
      <c r="S40" s="1030">
        <f>($O$9+$O$10)*'ARP Timing'!F$16</f>
        <v>2.036146</v>
      </c>
      <c r="T40" s="1030">
        <f>($O$9+$O$10)*'ARP Timing'!G$16</f>
        <v>2.036146</v>
      </c>
      <c r="U40" s="1030">
        <f>($O$9+$O$10)*'ARP Timing'!H$16</f>
        <v>2.036146</v>
      </c>
      <c r="V40" s="1030">
        <f>($O$9+$O$10)*'ARP Timing'!I$16</f>
        <v>2.036146</v>
      </c>
    </row>
    <row r="41" spans="1:23" x14ac:dyDescent="0.35">
      <c r="B41" s="33" t="s">
        <v>241</v>
      </c>
      <c r="C41" s="1075"/>
      <c r="H41" s="1075"/>
      <c r="P41" s="1030">
        <f>($P$9+$P$10)*'ARP Timing'!B$16</f>
        <v>2.9087800000000006</v>
      </c>
      <c r="Q41" s="1030">
        <f>($P$9+$P$10)*'ARP Timing'!C$16</f>
        <v>2.9087800000000006</v>
      </c>
      <c r="R41" s="1030">
        <f>($P$9+$P$10)*'ARP Timing'!D$16</f>
        <v>2.036146</v>
      </c>
      <c r="S41" s="1030">
        <f>($P$9+$P$10)*'ARP Timing'!E$16</f>
        <v>2.036146</v>
      </c>
      <c r="T41" s="1030">
        <f>($P$9+$P$10)*'ARP Timing'!F$16</f>
        <v>2.036146</v>
      </c>
      <c r="U41" s="1030">
        <f>($P$9+$P$10)*'ARP Timing'!G$16</f>
        <v>2.036146</v>
      </c>
      <c r="V41" s="1030">
        <f>($P$9+$P$10)*'ARP Timing'!H$16</f>
        <v>2.036146</v>
      </c>
    </row>
    <row r="42" spans="1:23" x14ac:dyDescent="0.35">
      <c r="B42" s="33" t="s">
        <v>331</v>
      </c>
      <c r="C42" s="1075"/>
      <c r="H42" s="1075"/>
      <c r="Q42" s="1030">
        <f>($Q$9+$Q$10)*'ARP Timing'!B$16</f>
        <v>2.9087800000000006</v>
      </c>
      <c r="R42" s="1030">
        <f>($Q$9+$Q$10)*'ARP Timing'!C$16</f>
        <v>2.9087800000000006</v>
      </c>
      <c r="S42" s="1030">
        <f>($Q$9+$Q$10)*'ARP Timing'!D$16</f>
        <v>2.036146</v>
      </c>
      <c r="T42" s="1030">
        <f>($Q$9+$Q$10)*'ARP Timing'!E$16</f>
        <v>2.036146</v>
      </c>
      <c r="U42" s="1030">
        <f>($Q$9+$Q$10)*'ARP Timing'!F$16</f>
        <v>2.036146</v>
      </c>
      <c r="V42" s="1030">
        <f>($Q$9+$Q$10)*'ARP Timing'!G$16</f>
        <v>2.036146</v>
      </c>
    </row>
    <row r="43" spans="1:23" x14ac:dyDescent="0.35">
      <c r="B43" s="33" t="s">
        <v>781</v>
      </c>
      <c r="C43" s="1075"/>
      <c r="H43" s="1075"/>
      <c r="R43" s="1030">
        <f>($R$9+$R$10)*'ARP Timing'!B$16</f>
        <v>1.9374600000000002</v>
      </c>
      <c r="S43" s="1030">
        <f>($R$9+$R$10)*'ARP Timing'!C$16</f>
        <v>1.9374600000000002</v>
      </c>
      <c r="T43" s="1030">
        <f>($R$9+$R$10)*'ARP Timing'!D$16</f>
        <v>1.356222</v>
      </c>
      <c r="U43" s="1030">
        <f>($R$9+$R$10)*'ARP Timing'!E$16</f>
        <v>1.356222</v>
      </c>
      <c r="V43" s="1030">
        <f>($R$9+$R$10)*'ARP Timing'!F$16</f>
        <v>1.356222</v>
      </c>
    </row>
    <row r="44" spans="1:23" x14ac:dyDescent="0.35">
      <c r="S44" s="1030">
        <f>($S$9+$S$10)*'ARP Timing'!B$16</f>
        <v>1.9374600000000002</v>
      </c>
      <c r="T44" s="1030">
        <f>($S$9+$S$10)*'ARP Timing'!C$16</f>
        <v>1.9374600000000002</v>
      </c>
      <c r="U44" s="1030">
        <f>($S$9+$S$10)*'ARP Timing'!D$16</f>
        <v>1.356222</v>
      </c>
      <c r="V44" s="1030">
        <f>($S$9+$S$10)*'ARP Timing'!E$16</f>
        <v>1.356222</v>
      </c>
    </row>
    <row r="46" spans="1:23" x14ac:dyDescent="0.35">
      <c r="B46" s="1030" t="s">
        <v>782</v>
      </c>
      <c r="D46" s="109" t="s">
        <v>251</v>
      </c>
      <c r="E46" s="109" t="s">
        <v>180</v>
      </c>
      <c r="F46" s="109" t="s">
        <v>181</v>
      </c>
      <c r="G46" s="109" t="s">
        <v>182</v>
      </c>
      <c r="H46" s="109" t="s">
        <v>183</v>
      </c>
      <c r="I46" s="109" t="s">
        <v>184</v>
      </c>
      <c r="J46" s="109" t="s">
        <v>185</v>
      </c>
      <c r="K46" s="109" t="s">
        <v>186</v>
      </c>
      <c r="L46" s="109" t="s">
        <v>187</v>
      </c>
      <c r="M46" s="109" t="s">
        <v>188</v>
      </c>
      <c r="N46" s="109" t="s">
        <v>189</v>
      </c>
      <c r="O46" s="109" t="s">
        <v>190</v>
      </c>
      <c r="P46" s="109" t="s">
        <v>191</v>
      </c>
      <c r="Q46" s="109" t="s">
        <v>175</v>
      </c>
      <c r="R46" s="109" t="s">
        <v>176</v>
      </c>
      <c r="S46" s="109" t="s">
        <v>177</v>
      </c>
      <c r="T46" s="109" t="s">
        <v>770</v>
      </c>
      <c r="U46" s="109" t="s">
        <v>771</v>
      </c>
      <c r="V46" s="109" t="s">
        <v>772</v>
      </c>
    </row>
    <row r="47" spans="1:23" x14ac:dyDescent="0.35">
      <c r="B47" s="33"/>
      <c r="C47" s="1075" t="s">
        <v>312</v>
      </c>
      <c r="D47" s="1077">
        <f t="shared" ref="D47:U47" si="42">SUM(D48:D66)</f>
        <v>0</v>
      </c>
      <c r="E47" s="1077">
        <f t="shared" si="42"/>
        <v>0</v>
      </c>
      <c r="F47" s="1077">
        <f t="shared" si="42"/>
        <v>34.620851999999999</v>
      </c>
      <c r="G47" s="1077">
        <f t="shared" si="42"/>
        <v>50.996274799999995</v>
      </c>
      <c r="H47" s="1077">
        <f t="shared" si="42"/>
        <v>69.350031999999999</v>
      </c>
      <c r="I47" s="1077">
        <f t="shared" si="42"/>
        <v>79.295867999999999</v>
      </c>
      <c r="J47" s="1077">
        <f t="shared" si="42"/>
        <v>80.538927999999999</v>
      </c>
      <c r="K47" s="1077">
        <f t="shared" si="42"/>
        <v>80.122543199999996</v>
      </c>
      <c r="L47" s="1077">
        <f t="shared" si="42"/>
        <v>88.916719999999998</v>
      </c>
      <c r="M47" s="1077">
        <f t="shared" si="42"/>
        <v>92.213943999999998</v>
      </c>
      <c r="N47" s="1077">
        <f t="shared" si="42"/>
        <v>92.213943999999998</v>
      </c>
      <c r="O47" s="1077">
        <f t="shared" si="42"/>
        <v>94.213943999999998</v>
      </c>
      <c r="P47" s="1077">
        <f t="shared" si="42"/>
        <v>98.916719999999998</v>
      </c>
      <c r="Q47" s="1077">
        <f t="shared" si="42"/>
        <v>98.916719999999998</v>
      </c>
      <c r="R47" s="1077">
        <f t="shared" si="42"/>
        <v>99.081581199999988</v>
      </c>
      <c r="S47" s="1077">
        <f t="shared" si="42"/>
        <v>93.146578000000005</v>
      </c>
      <c r="T47" s="1077">
        <f t="shared" si="42"/>
        <v>86.552129999999991</v>
      </c>
      <c r="U47" s="1077">
        <f t="shared" si="42"/>
        <v>86.552129999999991</v>
      </c>
      <c r="V47" s="1077">
        <f>SUM(V48:V66)</f>
        <v>82.265738799999994</v>
      </c>
      <c r="W47" s="1030">
        <f>SUM(G47:V47)/4</f>
        <v>343.32344900000004</v>
      </c>
    </row>
    <row r="48" spans="1:23" x14ac:dyDescent="0.35">
      <c r="A48" s="1030">
        <v>2021</v>
      </c>
      <c r="B48" s="33" t="s">
        <v>780</v>
      </c>
      <c r="C48" s="1075"/>
      <c r="D48" s="1030">
        <f>($D$8)*'ARP Timing'!B17</f>
        <v>0</v>
      </c>
      <c r="E48" s="1030">
        <f>($D$8)*'ARP Timing'!C17</f>
        <v>0</v>
      </c>
      <c r="F48" s="1030">
        <f>($D$8)*'ARP Timing'!D17</f>
        <v>34.620851999999999</v>
      </c>
      <c r="G48" s="1030">
        <f>($D$8)*'ARP Timing'!E17</f>
        <v>45.996274799999995</v>
      </c>
      <c r="H48" s="1030">
        <f>($D$8)*'ARP Timing'!F17</f>
        <v>59.350031999999992</v>
      </c>
      <c r="I48" s="1030">
        <f>($D$8)*'ARP Timing'!G17</f>
        <v>64.295867999999999</v>
      </c>
      <c r="J48" s="1030">
        <f>($D$8)*'ARP Timing'!H17</f>
        <v>49.458359999999999</v>
      </c>
      <c r="K48" s="1030">
        <f>($D$8)*'ARP Timing'!I17</f>
        <v>49.458359999999999</v>
      </c>
      <c r="L48" s="1030">
        <f>($D$8)*'ARP Timing'!J17</f>
        <v>59.350031999999992</v>
      </c>
      <c r="M48" s="1030">
        <f>($D$8)*'ARP Timing'!K17</f>
        <v>59.350031999999992</v>
      </c>
      <c r="N48" s="1030">
        <f>($D$8)*'ARP Timing'!L17</f>
        <v>69.241703999999999</v>
      </c>
      <c r="O48" s="1030">
        <f>($D$8)*'ARP Timing'!M17</f>
        <v>69.241703999999999</v>
      </c>
      <c r="P48" s="1030">
        <f>($D$8)*'ARP Timing'!N17</f>
        <v>59.350031999999992</v>
      </c>
      <c r="Q48" s="1030">
        <f>($D$8)*'ARP Timing'!O17</f>
        <v>59.350031999999992</v>
      </c>
      <c r="R48" s="1030">
        <f>($D$8)*'ARP Timing'!P17</f>
        <v>52.920445199999989</v>
      </c>
      <c r="S48" s="1030">
        <f>($D$8)*'ARP Timing'!Q17</f>
        <v>46.985441999999992</v>
      </c>
      <c r="T48" s="1030">
        <f>($D$8)*'ARP Timing'!R17</f>
        <v>46.985441999999992</v>
      </c>
      <c r="U48" s="1030">
        <f>($D$8)*'ARP Timing'!S17</f>
        <v>46.985441999999992</v>
      </c>
      <c r="V48" s="1030">
        <f>($D$8)*'ARP Timing'!T17</f>
        <v>46.985441999999992</v>
      </c>
    </row>
    <row r="49" spans="1:22" x14ac:dyDescent="0.35">
      <c r="B49" s="33" t="s">
        <v>331</v>
      </c>
      <c r="C49" s="1075"/>
      <c r="E49" s="1030">
        <f>($E$8)*'ARP Timing'!B$17</f>
        <v>0</v>
      </c>
      <c r="F49" s="1030">
        <f>($E$8)*'ARP Timing'!C$16</f>
        <v>0</v>
      </c>
      <c r="G49" s="1030">
        <f>($E$8)*'ARP Timing'!D$16</f>
        <v>0</v>
      </c>
      <c r="H49" s="1030">
        <f>($E$8)*'ARP Timing'!E$16</f>
        <v>0</v>
      </c>
      <c r="I49" s="1030">
        <f>($E$8)*'ARP Timing'!F$16</f>
        <v>0</v>
      </c>
      <c r="J49" s="1030">
        <f>($E$8)*'ARP Timing'!G$16</f>
        <v>0</v>
      </c>
      <c r="K49" s="1030">
        <f>($E$8)*'ARP Timing'!H$16</f>
        <v>0</v>
      </c>
      <c r="L49" s="1030">
        <f>($E$8)*'ARP Timing'!I$16</f>
        <v>0</v>
      </c>
      <c r="M49" s="1030">
        <f>($E$8)*'ARP Timing'!J$16</f>
        <v>0</v>
      </c>
      <c r="N49" s="1030">
        <f>($E$8)*'ARP Timing'!K$16</f>
        <v>0</v>
      </c>
      <c r="O49" s="1030">
        <f>($E$8)*'ARP Timing'!L$16</f>
        <v>0</v>
      </c>
      <c r="P49" s="1030">
        <f>($E$8)*'ARP Timing'!M$16</f>
        <v>0</v>
      </c>
      <c r="Q49" s="1030">
        <f>($E$8)*'ARP Timing'!N$16</f>
        <v>0</v>
      </c>
      <c r="R49" s="1030">
        <f>($E$8)*'ARP Timing'!O$16</f>
        <v>0</v>
      </c>
      <c r="S49" s="1030">
        <f>($E$8)*'ARP Timing'!P$16</f>
        <v>0</v>
      </c>
      <c r="T49" s="1030">
        <f>($E$8)*'ARP Timing'!Q$16</f>
        <v>0</v>
      </c>
      <c r="U49" s="1030">
        <f>($E$8)*'ARP Timing'!R$16</f>
        <v>0</v>
      </c>
      <c r="V49" s="1030">
        <f>($E$8)*'ARP Timing'!S$16</f>
        <v>0</v>
      </c>
    </row>
    <row r="50" spans="1:22" x14ac:dyDescent="0.35">
      <c r="B50" s="33" t="s">
        <v>781</v>
      </c>
      <c r="C50" s="1075"/>
      <c r="F50" s="1030">
        <f>($F$8)*'ARP Timing'!C$17</f>
        <v>0</v>
      </c>
      <c r="G50" s="1030">
        <f>($F$8)*'ARP Timing'!D$17</f>
        <v>0</v>
      </c>
      <c r="H50" s="1030">
        <f>($F$8)*'ARP Timing'!E$17</f>
        <v>0</v>
      </c>
      <c r="I50" s="1030">
        <f>($F$8)*'ARP Timing'!F$17</f>
        <v>0</v>
      </c>
      <c r="J50" s="1030">
        <f>($F$8)*'ARP Timing'!G$17</f>
        <v>0</v>
      </c>
      <c r="K50" s="1030">
        <f>($F$8)*'ARP Timing'!H$17</f>
        <v>0</v>
      </c>
      <c r="L50" s="1030">
        <f>($F$8)*'ARP Timing'!I$17</f>
        <v>0</v>
      </c>
      <c r="M50" s="1030">
        <f>($F$8)*'ARP Timing'!J$17</f>
        <v>0</v>
      </c>
      <c r="N50" s="1030">
        <f>($F$8)*'ARP Timing'!K$17</f>
        <v>0</v>
      </c>
      <c r="O50" s="1030">
        <f>($F$8)*'ARP Timing'!L$17</f>
        <v>0</v>
      </c>
      <c r="P50" s="1030">
        <f>($F$8)*'ARP Timing'!M$17</f>
        <v>0</v>
      </c>
      <c r="Q50" s="1030">
        <f>($F$8)*'ARP Timing'!N$17</f>
        <v>0</v>
      </c>
      <c r="R50" s="1030">
        <f>($F$8)*'ARP Timing'!O$17</f>
        <v>0</v>
      </c>
      <c r="S50" s="1030">
        <f>($F$8)*'ARP Timing'!P$17</f>
        <v>0</v>
      </c>
      <c r="T50" s="1030">
        <f>($F$8)*'ARP Timing'!Q$17</f>
        <v>0</v>
      </c>
      <c r="U50" s="1030">
        <f>($F$8)*'ARP Timing'!R$17</f>
        <v>0</v>
      </c>
      <c r="V50" s="1030">
        <f>($F$8)*'ARP Timing'!S$17</f>
        <v>0</v>
      </c>
    </row>
    <row r="51" spans="1:22" x14ac:dyDescent="0.35">
      <c r="A51" s="1030">
        <v>2022</v>
      </c>
      <c r="B51" s="33" t="s">
        <v>240</v>
      </c>
      <c r="C51" s="1075"/>
      <c r="G51" s="1030">
        <f>($G$8)*'ARP Timing'!D$17</f>
        <v>0</v>
      </c>
      <c r="H51" s="1030">
        <f>($G$8)*'ARP Timing'!E$17</f>
        <v>0</v>
      </c>
      <c r="I51" s="1030">
        <f>($G$8)*'ARP Timing'!F$17</f>
        <v>0</v>
      </c>
      <c r="J51" s="1030">
        <f>($G$8)*'ARP Timing'!G$17</f>
        <v>0</v>
      </c>
      <c r="K51" s="1030">
        <f>($G$8)*'ARP Timing'!H$17</f>
        <v>0</v>
      </c>
      <c r="L51" s="1030">
        <f>($G$8)*'ARP Timing'!I$17</f>
        <v>0</v>
      </c>
      <c r="M51" s="1030">
        <f>($G$8)*'ARP Timing'!J$17</f>
        <v>0</v>
      </c>
      <c r="N51" s="1030">
        <f>($G$8)*'ARP Timing'!K$17</f>
        <v>0</v>
      </c>
      <c r="O51" s="1030">
        <f>($G$8)*'ARP Timing'!L$17</f>
        <v>0</v>
      </c>
      <c r="P51" s="1030">
        <f>($G$8)*'ARP Timing'!M$17</f>
        <v>0</v>
      </c>
      <c r="Q51" s="1030">
        <f>($G$8)*'ARP Timing'!N$17</f>
        <v>0</v>
      </c>
      <c r="R51" s="1030">
        <f>($G$8)*'ARP Timing'!O$17</f>
        <v>0</v>
      </c>
      <c r="S51" s="1030">
        <f>($G$8)*'ARP Timing'!P$17</f>
        <v>0</v>
      </c>
      <c r="T51" s="1030">
        <f>($G$8)*'ARP Timing'!Q$17</f>
        <v>0</v>
      </c>
      <c r="U51" s="1030">
        <f>($G$8)*'ARP Timing'!R$17</f>
        <v>0</v>
      </c>
      <c r="V51" s="1030">
        <f>($G$8)*'ARP Timing'!S$17</f>
        <v>0</v>
      </c>
    </row>
    <row r="52" spans="1:22" x14ac:dyDescent="0.35">
      <c r="B52" s="33" t="s">
        <v>241</v>
      </c>
      <c r="C52" s="1075"/>
      <c r="H52" s="1030">
        <f>($H$8)*'ARP Timing'!B$17</f>
        <v>0</v>
      </c>
      <c r="I52" s="1030">
        <f>($H$8)*'ARP Timing'!C$17</f>
        <v>0</v>
      </c>
      <c r="J52" s="1030">
        <f>($H$8)*'ARP Timing'!D$17</f>
        <v>23.080568000000003</v>
      </c>
      <c r="K52" s="1030">
        <f>($H$8)*'ARP Timing'!E$17</f>
        <v>30.6641832</v>
      </c>
      <c r="L52" s="1030">
        <f>($H$8)*'ARP Timing'!F$17</f>
        <v>39.566687999999999</v>
      </c>
      <c r="M52" s="1030">
        <f>($H$8)*'ARP Timing'!G$17</f>
        <v>42.863911999999999</v>
      </c>
      <c r="N52" s="1030">
        <f>($H$8)*'ARP Timing'!H$17</f>
        <v>32.972239999999999</v>
      </c>
      <c r="O52" s="1030">
        <f>($H$8)*'ARP Timing'!I$17</f>
        <v>32.972239999999999</v>
      </c>
      <c r="P52" s="1030">
        <f>($H$8)*'ARP Timing'!J$17</f>
        <v>39.566687999999999</v>
      </c>
      <c r="Q52" s="1030">
        <f>($H$8)*'ARP Timing'!K$17</f>
        <v>39.566687999999999</v>
      </c>
      <c r="R52" s="1030">
        <f>($H$8)*'ARP Timing'!L$17</f>
        <v>46.161136000000006</v>
      </c>
      <c r="S52" s="1030">
        <f>($H$8)*'ARP Timing'!M$17</f>
        <v>46.161136000000006</v>
      </c>
      <c r="T52" s="1030">
        <f>($H$8)*'ARP Timing'!N$17</f>
        <v>39.566687999999999</v>
      </c>
      <c r="U52" s="1030">
        <f>($H$8)*'ARP Timing'!O$17</f>
        <v>39.566687999999999</v>
      </c>
      <c r="V52" s="1030">
        <f>($H$8)*'ARP Timing'!P$17</f>
        <v>35.280296800000002</v>
      </c>
    </row>
    <row r="53" spans="1:22" x14ac:dyDescent="0.35">
      <c r="B53" s="33" t="s">
        <v>331</v>
      </c>
      <c r="C53" s="1075"/>
      <c r="H53" s="1075"/>
      <c r="I53" s="1030">
        <f>($I$8)*'ARP Timing'!B$17</f>
        <v>0</v>
      </c>
      <c r="J53" s="1030">
        <f>($I$8)*'ARP Timing'!C$17</f>
        <v>0</v>
      </c>
      <c r="K53" s="1030">
        <f>($I$8)*'ARP Timing'!D$17</f>
        <v>0</v>
      </c>
      <c r="L53" s="1030">
        <f>($I$8)*'ARP Timing'!E$17</f>
        <v>0</v>
      </c>
      <c r="M53" s="1030">
        <f>($I$8)*'ARP Timing'!F$17</f>
        <v>0</v>
      </c>
      <c r="N53" s="1030">
        <f>($I$8)*'ARP Timing'!G$17</f>
        <v>0</v>
      </c>
      <c r="O53" s="1030">
        <f>($I$8)*'ARP Timing'!H$17</f>
        <v>0</v>
      </c>
      <c r="P53" s="1030">
        <f>($I$8)*'ARP Timing'!I$17</f>
        <v>0</v>
      </c>
      <c r="Q53" s="1030">
        <f>($I$8)*'ARP Timing'!J$17</f>
        <v>0</v>
      </c>
      <c r="R53" s="1030">
        <f>($I$8)*'ARP Timing'!K$17</f>
        <v>0</v>
      </c>
      <c r="S53" s="1030">
        <f>($I$8)*'ARP Timing'!L$17</f>
        <v>0</v>
      </c>
      <c r="T53" s="1030">
        <f>($I$8)*'ARP Timing'!M$17</f>
        <v>0</v>
      </c>
      <c r="U53" s="1030">
        <f>($I$8)*'ARP Timing'!N$17</f>
        <v>0</v>
      </c>
      <c r="V53" s="1030">
        <f>($I$8)*'ARP Timing'!O$17</f>
        <v>0</v>
      </c>
    </row>
    <row r="54" spans="1:22" x14ac:dyDescent="0.35">
      <c r="B54" s="33" t="s">
        <v>781</v>
      </c>
      <c r="C54" s="1075"/>
      <c r="H54" s="1075"/>
    </row>
    <row r="55" spans="1:22" x14ac:dyDescent="0.35">
      <c r="A55" s="1030">
        <v>2023</v>
      </c>
      <c r="B55" s="33" t="s">
        <v>240</v>
      </c>
      <c r="C55" s="1075"/>
      <c r="H55" s="1075"/>
    </row>
    <row r="56" spans="1:22" x14ac:dyDescent="0.35">
      <c r="B56" s="33" t="s">
        <v>241</v>
      </c>
      <c r="C56" s="1075"/>
      <c r="H56" s="1075"/>
    </row>
    <row r="57" spans="1:22" x14ac:dyDescent="0.35">
      <c r="B57" s="33" t="s">
        <v>331</v>
      </c>
      <c r="C57" s="1075"/>
      <c r="H57" s="1075"/>
    </row>
    <row r="58" spans="1:22" x14ac:dyDescent="0.35">
      <c r="B58" s="33" t="s">
        <v>781</v>
      </c>
      <c r="C58" s="1075"/>
      <c r="H58" s="1075"/>
    </row>
    <row r="59" spans="1:22" x14ac:dyDescent="0.35">
      <c r="A59" s="1030">
        <v>2024</v>
      </c>
      <c r="B59" s="33" t="s">
        <v>240</v>
      </c>
      <c r="C59" s="1075"/>
      <c r="H59" s="1075"/>
    </row>
    <row r="60" spans="1:22" x14ac:dyDescent="0.35">
      <c r="B60" s="33" t="s">
        <v>241</v>
      </c>
      <c r="C60" s="1075"/>
      <c r="H60" s="1075"/>
    </row>
    <row r="61" spans="1:22" x14ac:dyDescent="0.35">
      <c r="B61" s="33" t="s">
        <v>331</v>
      </c>
      <c r="C61" s="1075"/>
      <c r="H61" s="1075"/>
    </row>
    <row r="62" spans="1:22" x14ac:dyDescent="0.35">
      <c r="B62" s="33" t="s">
        <v>781</v>
      </c>
      <c r="C62" s="1075"/>
      <c r="H62" s="1075"/>
    </row>
    <row r="63" spans="1:22" x14ac:dyDescent="0.35">
      <c r="A63" t="s">
        <v>898</v>
      </c>
      <c r="B63" s="33"/>
      <c r="C63" s="1075"/>
      <c r="G63">
        <v>5</v>
      </c>
      <c r="H63" s="1075">
        <v>10</v>
      </c>
      <c r="I63">
        <v>15</v>
      </c>
      <c r="J63">
        <v>8</v>
      </c>
      <c r="K63">
        <v>0</v>
      </c>
      <c r="L63">
        <v>-10</v>
      </c>
      <c r="M63">
        <v>-10</v>
      </c>
      <c r="N63">
        <v>-10</v>
      </c>
      <c r="O63">
        <v>-8</v>
      </c>
    </row>
    <row r="64" spans="1:22" x14ac:dyDescent="0.35">
      <c r="B64" s="33"/>
      <c r="C64" s="1075"/>
      <c r="H64" s="1075"/>
    </row>
    <row r="65" spans="2:24" x14ac:dyDescent="0.35">
      <c r="B65" s="33"/>
      <c r="C65" s="1075"/>
      <c r="H65" s="1075"/>
    </row>
    <row r="66" spans="2:24" x14ac:dyDescent="0.35">
      <c r="B66" s="33"/>
      <c r="C66" s="1075"/>
      <c r="H66" s="1075"/>
    </row>
    <row r="67" spans="2:24" x14ac:dyDescent="0.35">
      <c r="B67" s="33"/>
      <c r="C67" s="1075"/>
      <c r="H67" s="1075"/>
    </row>
    <row r="68" spans="2:24" x14ac:dyDescent="0.35">
      <c r="B68" s="33"/>
      <c r="C68" s="1075"/>
      <c r="H68" s="1075"/>
    </row>
    <row r="69" spans="2:24" x14ac:dyDescent="0.35">
      <c r="B69" s="33"/>
      <c r="C69" s="1075"/>
      <c r="H69" s="1075"/>
    </row>
    <row r="70" spans="2:24" x14ac:dyDescent="0.35">
      <c r="B70" s="33"/>
      <c r="C70" s="1075"/>
      <c r="H70" s="1075"/>
    </row>
    <row r="71" spans="2:24" x14ac:dyDescent="0.35">
      <c r="B71" s="33"/>
      <c r="C71" s="1075"/>
      <c r="H71" s="1075"/>
    </row>
    <row r="72" spans="2:24" x14ac:dyDescent="0.35">
      <c r="B72" s="33"/>
      <c r="C72" s="1075"/>
      <c r="H72" s="1075"/>
    </row>
    <row r="73" spans="2:24" x14ac:dyDescent="0.35">
      <c r="B73" s="33" t="s">
        <v>783</v>
      </c>
      <c r="C73" s="1073">
        <v>2021</v>
      </c>
      <c r="D73" s="1073">
        <v>2022</v>
      </c>
      <c r="E73" s="1073">
        <v>2023</v>
      </c>
      <c r="F73" s="1073">
        <v>2024</v>
      </c>
      <c r="G73" s="1073">
        <v>2025</v>
      </c>
      <c r="H73" s="1075"/>
    </row>
    <row r="74" spans="2:24" x14ac:dyDescent="0.35">
      <c r="B74" s="33" t="s">
        <v>680</v>
      </c>
      <c r="C74" s="1078">
        <f t="shared" ref="C74:C85" si="43">SUM(C4:E4)/4</f>
        <v>0.77600000000001046</v>
      </c>
      <c r="D74" s="1078">
        <f t="shared" ref="D74:D85" si="44">SUM(F4:I4)/4</f>
        <v>19.719000000000005</v>
      </c>
      <c r="E74" s="1078">
        <f t="shared" ref="E74:E85" si="45">SUM(J4:M4)/4</f>
        <v>1.4159999999999999</v>
      </c>
      <c r="F74" s="1078">
        <f t="shared" ref="F74:F85" si="46">SUM(N4:Q4)/4</f>
        <v>1.4790000000000001</v>
      </c>
      <c r="G74" s="1078">
        <f t="shared" ref="G74:G85" si="47">SUM(R4:U4)/4</f>
        <v>1.63</v>
      </c>
    </row>
    <row r="75" spans="2:24" x14ac:dyDescent="0.35">
      <c r="B75" s="33" t="s">
        <v>681</v>
      </c>
      <c r="C75" s="1078">
        <f t="shared" si="43"/>
        <v>19.722000000000016</v>
      </c>
      <c r="D75" s="1078">
        <f t="shared" si="44"/>
        <v>52.756999999999998</v>
      </c>
      <c r="E75" s="1078">
        <f t="shared" si="45"/>
        <v>12</v>
      </c>
      <c r="F75" s="1078">
        <f t="shared" si="46"/>
        <v>4.2219999999999995</v>
      </c>
      <c r="G75" s="1078">
        <f t="shared" si="47"/>
        <v>2.3719999999999999</v>
      </c>
      <c r="H75" s="1075"/>
    </row>
    <row r="76" spans="2:24" x14ac:dyDescent="0.35">
      <c r="B76" s="33" t="s">
        <v>52</v>
      </c>
      <c r="C76" s="1078">
        <f t="shared" si="43"/>
        <v>81.643000000000001</v>
      </c>
      <c r="D76" s="1078">
        <f t="shared" si="44"/>
        <v>110.24799999999999</v>
      </c>
      <c r="E76" s="1078">
        <f t="shared" si="45"/>
        <v>12.726000000000001</v>
      </c>
      <c r="F76" s="1078">
        <f t="shared" si="46"/>
        <v>1.365</v>
      </c>
      <c r="G76" s="1078">
        <f t="shared" si="47"/>
        <v>-0.90100000000000025</v>
      </c>
      <c r="H76" s="1075"/>
      <c r="O76" s="33"/>
      <c r="P76" s="33"/>
      <c r="Q76" s="33"/>
      <c r="R76" s="33"/>
      <c r="S76" s="1079"/>
      <c r="T76" s="1079"/>
      <c r="U76" s="1079"/>
      <c r="V76" s="14"/>
      <c r="W76" s="33"/>
      <c r="X76" s="33"/>
    </row>
    <row r="77" spans="2:24" x14ac:dyDescent="0.35">
      <c r="B77" s="33" t="s">
        <v>131</v>
      </c>
      <c r="C77" s="1078">
        <f t="shared" si="43"/>
        <v>7.798</v>
      </c>
      <c r="D77" s="1078">
        <f t="shared" si="44"/>
        <v>7.9489999999999998</v>
      </c>
      <c r="E77" s="1078">
        <f t="shared" si="45"/>
        <v>4.7519999999999998</v>
      </c>
      <c r="F77" s="1078">
        <f t="shared" si="46"/>
        <v>4.637999999999999</v>
      </c>
      <c r="G77" s="1078">
        <f t="shared" si="47"/>
        <v>1.8800000000000001</v>
      </c>
      <c r="H77" s="1075"/>
    </row>
    <row r="78" spans="2:24" x14ac:dyDescent="0.35">
      <c r="B78" s="1076" t="s">
        <v>348</v>
      </c>
      <c r="C78" s="1078">
        <f t="shared" si="43"/>
        <v>247.29179999999997</v>
      </c>
      <c r="D78" s="1078">
        <f t="shared" si="44"/>
        <v>164.8612</v>
      </c>
      <c r="E78" s="1078">
        <f t="shared" si="45"/>
        <v>0</v>
      </c>
      <c r="F78" s="1078">
        <f t="shared" si="46"/>
        <v>0</v>
      </c>
      <c r="G78" s="1078">
        <f t="shared" si="47"/>
        <v>0</v>
      </c>
      <c r="H78" s="1075"/>
      <c r="R78" s="1043"/>
      <c r="S78" s="1043"/>
    </row>
    <row r="79" spans="2:24" x14ac:dyDescent="0.35">
      <c r="B79" s="1076" t="s">
        <v>150</v>
      </c>
      <c r="C79" s="1078">
        <f t="shared" si="43"/>
        <v>12.347</v>
      </c>
      <c r="D79" s="1078">
        <f t="shared" si="44"/>
        <v>46.79</v>
      </c>
      <c r="E79" s="1078">
        <f t="shared" si="45"/>
        <v>38.595999999999997</v>
      </c>
      <c r="F79" s="1078">
        <f t="shared" si="46"/>
        <v>31.911000000000001</v>
      </c>
      <c r="G79" s="1078">
        <f t="shared" si="47"/>
        <v>23.099</v>
      </c>
      <c r="H79" s="1075"/>
      <c r="R79" s="1043"/>
      <c r="S79" s="1043"/>
    </row>
    <row r="80" spans="2:24" x14ac:dyDescent="0.35">
      <c r="B80" s="1076" t="s">
        <v>364</v>
      </c>
      <c r="C80" s="1078">
        <f t="shared" si="43"/>
        <v>29.628</v>
      </c>
      <c r="D80" s="1078">
        <f t="shared" si="44"/>
        <v>35.671000000000006</v>
      </c>
      <c r="E80" s="1078">
        <f t="shared" si="45"/>
        <v>24.216000000000001</v>
      </c>
      <c r="F80" s="1078">
        <f t="shared" si="46"/>
        <v>9.6430000000000007</v>
      </c>
      <c r="G80" s="1078">
        <f t="shared" si="47"/>
        <v>4.5789999999999997</v>
      </c>
      <c r="H80" s="1075"/>
      <c r="R80" s="1043"/>
      <c r="S80" s="1043"/>
    </row>
    <row r="81" spans="2:19" x14ac:dyDescent="0.35">
      <c r="B81" s="14" t="s">
        <v>159</v>
      </c>
      <c r="C81" s="1078">
        <f t="shared" si="43"/>
        <v>25.75</v>
      </c>
      <c r="D81" s="1078">
        <f t="shared" si="44"/>
        <v>0</v>
      </c>
      <c r="E81" s="1078">
        <f t="shared" si="45"/>
        <v>0</v>
      </c>
      <c r="F81" s="1078">
        <f t="shared" si="46"/>
        <v>0</v>
      </c>
      <c r="G81" s="1078">
        <f t="shared" si="47"/>
        <v>0</v>
      </c>
      <c r="H81" s="1075"/>
      <c r="R81" s="1043"/>
      <c r="S81" s="1043"/>
    </row>
    <row r="82" spans="2:19" x14ac:dyDescent="0.35">
      <c r="B82" s="33" t="s">
        <v>109</v>
      </c>
      <c r="C82" s="1078">
        <f t="shared" si="43"/>
        <v>31.939</v>
      </c>
      <c r="D82" s="1078">
        <f t="shared" si="44"/>
        <v>56.413000000000004</v>
      </c>
      <c r="E82" s="1078">
        <f t="shared" si="45"/>
        <v>15.652999999999999</v>
      </c>
      <c r="F82" s="1078">
        <f t="shared" si="46"/>
        <v>3.9320000000000004</v>
      </c>
      <c r="G82" s="1078">
        <f t="shared" si="47"/>
        <v>-0.74299999999999988</v>
      </c>
      <c r="R82" s="1043"/>
      <c r="S82" s="1043"/>
    </row>
    <row r="83" spans="2:19" x14ac:dyDescent="0.35">
      <c r="B83" s="1030" t="s">
        <v>774</v>
      </c>
      <c r="C83" s="1078">
        <f t="shared" si="43"/>
        <v>1.02</v>
      </c>
      <c r="D83" s="1078">
        <f t="shared" si="44"/>
        <v>1.5299999999999998</v>
      </c>
      <c r="E83" s="1078">
        <f t="shared" si="45"/>
        <v>0</v>
      </c>
      <c r="F83" s="1078">
        <f t="shared" si="46"/>
        <v>0</v>
      </c>
      <c r="G83" s="1078">
        <f t="shared" si="47"/>
        <v>0</v>
      </c>
      <c r="R83" s="1043"/>
      <c r="S83" s="1043"/>
    </row>
    <row r="84" spans="2:19" x14ac:dyDescent="0.35">
      <c r="B84" s="1030" t="s">
        <v>775</v>
      </c>
      <c r="C84" s="1078">
        <f t="shared" si="43"/>
        <v>0.67999999999999994</v>
      </c>
      <c r="D84" s="1078">
        <f t="shared" si="44"/>
        <v>1.02</v>
      </c>
      <c r="E84" s="1078">
        <f t="shared" si="45"/>
        <v>0</v>
      </c>
      <c r="F84" s="1078">
        <f t="shared" si="46"/>
        <v>0</v>
      </c>
      <c r="G84" s="1078">
        <f t="shared" si="47"/>
        <v>0</v>
      </c>
      <c r="R84" s="1043"/>
      <c r="S84" s="1043"/>
    </row>
    <row r="85" spans="2:19" x14ac:dyDescent="0.35">
      <c r="B85" s="1030" t="s">
        <v>473</v>
      </c>
      <c r="C85" s="1078">
        <f t="shared" si="43"/>
        <v>1.6999999999999997</v>
      </c>
      <c r="D85" s="1078">
        <f t="shared" si="44"/>
        <v>2.5499999999999998</v>
      </c>
      <c r="E85" s="1078">
        <f t="shared" si="45"/>
        <v>0</v>
      </c>
      <c r="F85" s="1078">
        <f t="shared" si="46"/>
        <v>0</v>
      </c>
      <c r="G85" s="1078">
        <f t="shared" si="47"/>
        <v>0</v>
      </c>
      <c r="R85" s="1043"/>
      <c r="S85" s="1043"/>
    </row>
    <row r="86" spans="2:19" x14ac:dyDescent="0.35">
      <c r="C86" s="1073">
        <v>2021</v>
      </c>
      <c r="D86" s="1073">
        <v>2022</v>
      </c>
      <c r="E86" s="1073">
        <v>2023</v>
      </c>
      <c r="F86" s="1073">
        <v>2024</v>
      </c>
      <c r="G86" s="1073">
        <v>2025</v>
      </c>
      <c r="R86" s="1043"/>
      <c r="S86" s="1043"/>
    </row>
    <row r="87" spans="2:19" x14ac:dyDescent="0.35">
      <c r="B87" s="1030" t="s">
        <v>784</v>
      </c>
      <c r="C87" s="1077">
        <f>SUM(C83:C85)</f>
        <v>3.3999999999999995</v>
      </c>
      <c r="D87" s="1077">
        <f t="shared" ref="D87:G87" si="48">SUM(D83:D85)</f>
        <v>5.0999999999999996</v>
      </c>
      <c r="E87" s="1077">
        <f t="shared" si="48"/>
        <v>0</v>
      </c>
      <c r="F87" s="1077">
        <f t="shared" si="48"/>
        <v>0</v>
      </c>
      <c r="G87" s="1077">
        <f t="shared" si="48"/>
        <v>0</v>
      </c>
      <c r="R87" s="1043"/>
      <c r="S87" s="1043"/>
    </row>
    <row r="90" spans="2:19" x14ac:dyDescent="0.35">
      <c r="B90" s="1030" t="s">
        <v>680</v>
      </c>
      <c r="C90" s="1078">
        <v>26.636000000000024</v>
      </c>
      <c r="D90" s="1078">
        <v>98.978999999999999</v>
      </c>
      <c r="E90" s="1078">
        <v>2.1159999999999997</v>
      </c>
      <c r="F90" s="1078">
        <v>2.1789999999999998</v>
      </c>
      <c r="G90" s="1078">
        <v>2.33</v>
      </c>
      <c r="H90" s="1078"/>
      <c r="I90" s="1078"/>
      <c r="J90" s="1078"/>
      <c r="K90" s="1078"/>
      <c r="L90" s="1078"/>
      <c r="M90" s="1078"/>
    </row>
    <row r="91" spans="2:19" x14ac:dyDescent="0.35">
      <c r="B91" s="1030" t="s">
        <v>681</v>
      </c>
      <c r="C91" s="1078">
        <v>47.722000000000016</v>
      </c>
      <c r="D91" s="1078">
        <v>52.756999999999998</v>
      </c>
      <c r="E91" s="1078">
        <v>12</v>
      </c>
      <c r="F91" s="1078">
        <v>4.2219999999999995</v>
      </c>
      <c r="G91" s="1078">
        <v>2.3719999999999999</v>
      </c>
      <c r="H91" s="1078"/>
      <c r="I91" s="1078"/>
      <c r="J91" s="1078"/>
      <c r="K91" s="1078"/>
      <c r="L91" s="1078"/>
      <c r="M91" s="1078"/>
    </row>
    <row r="92" spans="2:19" x14ac:dyDescent="0.35">
      <c r="B92" s="1030" t="s">
        <v>52</v>
      </c>
      <c r="C92" s="1078">
        <v>81.842999999999989</v>
      </c>
      <c r="D92" s="1078">
        <v>110.24799999999999</v>
      </c>
      <c r="E92" s="1078">
        <v>12.726000000000001</v>
      </c>
      <c r="F92" s="1078">
        <v>1.365</v>
      </c>
      <c r="G92" s="1078">
        <v>-0.90100000000000025</v>
      </c>
      <c r="H92" s="1078"/>
      <c r="I92" s="1078"/>
      <c r="J92" s="1078"/>
      <c r="K92" s="1078"/>
      <c r="L92" s="1078"/>
      <c r="M92" s="1078"/>
    </row>
    <row r="93" spans="2:19" x14ac:dyDescent="0.35">
      <c r="B93" s="1030" t="s">
        <v>131</v>
      </c>
      <c r="C93" s="1078">
        <v>7.798</v>
      </c>
      <c r="D93" s="1078">
        <v>7.9489999999999998</v>
      </c>
      <c r="E93" s="1078">
        <v>4.7519999999999998</v>
      </c>
      <c r="F93" s="1078">
        <v>4.637999999999999</v>
      </c>
      <c r="G93" s="1078">
        <v>1.8800000000000001</v>
      </c>
      <c r="H93" s="1078"/>
      <c r="I93" s="1078"/>
      <c r="J93" s="1078"/>
      <c r="K93" s="1078"/>
      <c r="L93" s="1078"/>
      <c r="M93" s="1078"/>
    </row>
    <row r="94" spans="2:19" x14ac:dyDescent="0.35">
      <c r="B94" s="1030" t="s">
        <v>348</v>
      </c>
      <c r="C94" s="1078">
        <v>283.95749999999998</v>
      </c>
      <c r="D94" s="1078">
        <v>77.092500000000001</v>
      </c>
      <c r="E94" s="1078">
        <v>1</v>
      </c>
      <c r="F94" s="1078">
        <v>0</v>
      </c>
      <c r="G94" s="1078">
        <v>0</v>
      </c>
      <c r="H94" s="1078"/>
      <c r="I94" s="1078"/>
      <c r="J94" s="1078"/>
      <c r="K94" s="1078"/>
      <c r="L94" s="1078"/>
      <c r="M94" s="1078"/>
    </row>
    <row r="95" spans="2:19" x14ac:dyDescent="0.35">
      <c r="B95" s="1030" t="s">
        <v>150</v>
      </c>
      <c r="C95" s="1078">
        <v>12.347</v>
      </c>
      <c r="D95" s="1078">
        <v>46.79</v>
      </c>
      <c r="E95" s="1078">
        <v>38.595999999999997</v>
      </c>
      <c r="F95" s="1078">
        <v>31.911000000000001</v>
      </c>
      <c r="G95" s="1078">
        <v>23.099</v>
      </c>
      <c r="H95" s="1078"/>
      <c r="I95" s="1078"/>
      <c r="J95" s="1078"/>
      <c r="K95" s="1078"/>
      <c r="L95" s="1078"/>
      <c r="M95" s="1078"/>
    </row>
    <row r="96" spans="2:19" x14ac:dyDescent="0.35">
      <c r="B96" s="1030" t="s">
        <v>364</v>
      </c>
      <c r="C96" s="1078">
        <v>2.286</v>
      </c>
      <c r="D96" s="1078">
        <v>4.6049999999999995</v>
      </c>
      <c r="E96" s="1078">
        <v>1.349</v>
      </c>
      <c r="F96" s="1078">
        <v>0.441</v>
      </c>
      <c r="G96" s="1078">
        <v>0.313</v>
      </c>
      <c r="H96" s="1078"/>
      <c r="I96" s="1078"/>
      <c r="J96" s="1078"/>
      <c r="K96" s="1078"/>
      <c r="L96" s="1078"/>
      <c r="M96" s="1078"/>
    </row>
    <row r="97" spans="2:13" x14ac:dyDescent="0.35">
      <c r="B97" s="1030" t="s">
        <v>159</v>
      </c>
      <c r="C97" s="1078">
        <v>25.75</v>
      </c>
      <c r="D97" s="1078">
        <v>0</v>
      </c>
      <c r="E97" s="1078">
        <v>0</v>
      </c>
      <c r="F97" s="1078">
        <v>0</v>
      </c>
      <c r="G97" s="1078">
        <v>0</v>
      </c>
      <c r="H97" s="1078"/>
      <c r="I97" s="1078"/>
      <c r="J97" s="1078"/>
      <c r="K97" s="1078"/>
      <c r="L97" s="1078"/>
      <c r="M97" s="1078"/>
    </row>
    <row r="98" spans="2:13" x14ac:dyDescent="0.35">
      <c r="B98" s="1030" t="s">
        <v>109</v>
      </c>
      <c r="C98" s="1078">
        <v>60.441000000000003</v>
      </c>
      <c r="D98" s="1078">
        <v>91.678999999999988</v>
      </c>
      <c r="E98" s="1078">
        <v>41.220000000000006</v>
      </c>
      <c r="F98" s="1078">
        <v>14.004000000000003</v>
      </c>
      <c r="G98" s="1078">
        <v>3.8530000000000006</v>
      </c>
      <c r="H98" s="1078"/>
      <c r="I98" s="1078"/>
      <c r="J98" s="1078"/>
      <c r="K98" s="1078"/>
      <c r="L98" s="1078"/>
      <c r="M98" s="1078"/>
    </row>
    <row r="99" spans="2:13" x14ac:dyDescent="0.35">
      <c r="C99" s="1073">
        <v>3.4</v>
      </c>
      <c r="D99" s="1073">
        <v>5.0999999999999996</v>
      </c>
      <c r="E99" s="1073">
        <v>0</v>
      </c>
      <c r="F99" s="1073">
        <v>0</v>
      </c>
    </row>
  </sheetData>
  <pageMargins left="0.7" right="0.7" top="0.75" bottom="0.75" header="0.3" footer="0.3"/>
  <pageSetup paperSize="9" orientation="portrait" horizontalDpi="300" verticalDpi="300"/>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L252"/>
  <sheetViews>
    <sheetView workbookViewId="0"/>
  </sheetViews>
  <sheetFormatPr defaultColWidth="11.453125" defaultRowHeight="14.5" x14ac:dyDescent="0.35"/>
  <sheetData>
    <row r="1" spans="1:12" x14ac:dyDescent="0.35">
      <c r="A1" s="74" t="s">
        <v>1448</v>
      </c>
      <c r="B1" s="74" t="s">
        <v>1449</v>
      </c>
      <c r="C1" s="74" t="s">
        <v>1450</v>
      </c>
      <c r="D1" s="74" t="s">
        <v>1451</v>
      </c>
      <c r="E1" s="74" t="s">
        <v>1452</v>
      </c>
      <c r="F1" s="74" t="s">
        <v>1453</v>
      </c>
      <c r="G1" s="74" t="s">
        <v>933</v>
      </c>
      <c r="H1" s="74" t="s">
        <v>934</v>
      </c>
      <c r="I1" s="74" t="s">
        <v>935</v>
      </c>
      <c r="J1" s="74" t="s">
        <v>936</v>
      </c>
      <c r="K1" s="74" t="s">
        <v>937</v>
      </c>
      <c r="L1" s="74" t="s">
        <v>938</v>
      </c>
    </row>
    <row r="2" spans="1:12" x14ac:dyDescent="0.35">
      <c r="A2">
        <v>4.5079018442711401E-2</v>
      </c>
      <c r="B2">
        <v>5.3878515900577198E-2</v>
      </c>
      <c r="C2">
        <v>8.2063006909154398E-2</v>
      </c>
      <c r="D2">
        <v>0.104421067414309</v>
      </c>
      <c r="E2" t="s">
        <v>1454</v>
      </c>
      <c r="F2" t="s">
        <v>1455</v>
      </c>
      <c r="G2">
        <v>13.106999999999999</v>
      </c>
      <c r="H2">
        <v>1.9913023575188999E-2</v>
      </c>
      <c r="I2">
        <v>16.824999999999999</v>
      </c>
      <c r="J2">
        <v>2.51411589895989E-2</v>
      </c>
      <c r="K2" t="s">
        <v>939</v>
      </c>
      <c r="L2" t="s">
        <v>940</v>
      </c>
    </row>
    <row r="3" spans="1:12" x14ac:dyDescent="0.35">
      <c r="A3">
        <v>4.5079018442711401E-2</v>
      </c>
      <c r="B3">
        <v>5.3878515900577198E-2</v>
      </c>
      <c r="C3">
        <v>8.2063006909154398E-2</v>
      </c>
      <c r="D3">
        <v>0.104421067414309</v>
      </c>
      <c r="E3" t="s">
        <v>1456</v>
      </c>
      <c r="F3" t="s">
        <v>1455</v>
      </c>
      <c r="G3">
        <v>13.368</v>
      </c>
      <c r="H3">
        <v>1.9913023575188999E-2</v>
      </c>
      <c r="I3">
        <v>17.248000000000001</v>
      </c>
      <c r="J3">
        <v>2.51411589895989E-2</v>
      </c>
      <c r="K3" t="s">
        <v>941</v>
      </c>
      <c r="L3" t="s">
        <v>940</v>
      </c>
    </row>
    <row r="4" spans="1:12" x14ac:dyDescent="0.35">
      <c r="A4">
        <v>3.9419555818651898E-2</v>
      </c>
      <c r="B4">
        <v>6.9938689583740596E-2</v>
      </c>
      <c r="C4">
        <v>7.2508506661211405E-2</v>
      </c>
      <c r="D4">
        <v>7.9737360467493398E-2</v>
      </c>
      <c r="E4" t="s">
        <v>1457</v>
      </c>
      <c r="F4" t="s">
        <v>1455</v>
      </c>
      <c r="G4">
        <v>13.603999999999999</v>
      </c>
      <c r="H4">
        <v>1.7654099341711402E-2</v>
      </c>
      <c r="I4">
        <v>17.582000000000001</v>
      </c>
      <c r="J4">
        <v>1.9364564007421099E-2</v>
      </c>
      <c r="K4" t="s">
        <v>942</v>
      </c>
      <c r="L4" t="s">
        <v>940</v>
      </c>
    </row>
    <row r="5" spans="1:12" x14ac:dyDescent="0.35">
      <c r="A5">
        <v>5.2824828770235303E-2</v>
      </c>
      <c r="B5">
        <v>5.1823422551402501E-2</v>
      </c>
      <c r="C5">
        <v>6.9052453854286294E-2</v>
      </c>
      <c r="D5">
        <v>0.10539397910227</v>
      </c>
      <c r="E5" t="s">
        <v>1458</v>
      </c>
      <c r="F5" t="s">
        <v>1455</v>
      </c>
      <c r="G5">
        <v>13.833</v>
      </c>
      <c r="H5">
        <v>1.6833284328138898E-2</v>
      </c>
      <c r="I5">
        <v>18.027999999999999</v>
      </c>
      <c r="J5">
        <v>2.5366852462745899E-2</v>
      </c>
      <c r="K5" t="s">
        <v>943</v>
      </c>
      <c r="L5" t="s">
        <v>940</v>
      </c>
    </row>
    <row r="6" spans="1:12" x14ac:dyDescent="0.35">
      <c r="A6">
        <v>3.85286878692137E-2</v>
      </c>
      <c r="B6">
        <v>0.132788480581229</v>
      </c>
      <c r="C6">
        <v>0.10231116414477499</v>
      </c>
      <c r="D6">
        <v>6.9175988166702701E-2</v>
      </c>
      <c r="E6" t="s">
        <v>1459</v>
      </c>
      <c r="F6" t="s">
        <v>1455</v>
      </c>
      <c r="G6">
        <v>14.173999999999999</v>
      </c>
      <c r="H6">
        <v>2.4651196414371399E-2</v>
      </c>
      <c r="I6">
        <v>18.332000000000001</v>
      </c>
      <c r="J6">
        <v>1.6862658087419598E-2</v>
      </c>
      <c r="K6" t="s">
        <v>944</v>
      </c>
      <c r="L6" t="s">
        <v>940</v>
      </c>
    </row>
    <row r="7" spans="1:12" x14ac:dyDescent="0.35">
      <c r="A7">
        <v>4.6230845754161802E-2</v>
      </c>
      <c r="B7">
        <v>7.6806429060699302E-2</v>
      </c>
      <c r="C7">
        <v>7.6908368677740299E-2</v>
      </c>
      <c r="D7">
        <v>6.5481053360561203E-2</v>
      </c>
      <c r="E7" t="s">
        <v>1460</v>
      </c>
      <c r="F7" t="s">
        <v>1455</v>
      </c>
      <c r="G7">
        <v>14.439</v>
      </c>
      <c r="H7">
        <v>1.8696204317764999E-2</v>
      </c>
      <c r="I7">
        <v>18.625</v>
      </c>
      <c r="J7">
        <v>1.59829805804057E-2</v>
      </c>
      <c r="K7" t="s">
        <v>945</v>
      </c>
      <c r="L7" t="s">
        <v>940</v>
      </c>
    </row>
    <row r="8" spans="1:12" x14ac:dyDescent="0.35">
      <c r="A8">
        <v>4.0000704948734103E-2</v>
      </c>
      <c r="B8">
        <v>5.9184461037305798E-2</v>
      </c>
      <c r="C8">
        <v>6.1773509542664397E-2</v>
      </c>
      <c r="D8">
        <v>4.4315280925248897E-2</v>
      </c>
      <c r="E8" t="s">
        <v>1461</v>
      </c>
      <c r="F8" t="s">
        <v>1455</v>
      </c>
      <c r="G8">
        <v>14.657</v>
      </c>
      <c r="H8">
        <v>1.5097998476348899E-2</v>
      </c>
      <c r="I8">
        <v>18.827999999999999</v>
      </c>
      <c r="J8">
        <v>1.0899328859060401E-2</v>
      </c>
      <c r="K8" t="s">
        <v>946</v>
      </c>
      <c r="L8" t="s">
        <v>940</v>
      </c>
    </row>
    <row r="9" spans="1:12" x14ac:dyDescent="0.35">
      <c r="A9">
        <v>2.5035607973723999E-2</v>
      </c>
      <c r="B9">
        <v>8.3819893360376693E-2</v>
      </c>
      <c r="C9">
        <v>3.6793688078589702E-2</v>
      </c>
      <c r="D9">
        <v>7.0854524877743894E-2</v>
      </c>
      <c r="E9" t="s">
        <v>1462</v>
      </c>
      <c r="F9" t="s">
        <v>1455</v>
      </c>
      <c r="G9">
        <v>14.79</v>
      </c>
      <c r="H9">
        <v>9.0741625162038507E-3</v>
      </c>
      <c r="I9">
        <v>19.152999999999999</v>
      </c>
      <c r="J9">
        <v>1.7261525387720401E-2</v>
      </c>
      <c r="K9" t="s">
        <v>947</v>
      </c>
      <c r="L9" t="s">
        <v>940</v>
      </c>
    </row>
    <row r="10" spans="1:12" x14ac:dyDescent="0.35">
      <c r="A10">
        <v>4.2906681103859E-2</v>
      </c>
      <c r="B10">
        <v>0.175097239288524</v>
      </c>
      <c r="C10">
        <v>0.10446834522691199</v>
      </c>
      <c r="D10">
        <v>5.2157088254066501E-2</v>
      </c>
      <c r="E10" t="s">
        <v>1463</v>
      </c>
      <c r="F10" t="s">
        <v>1455</v>
      </c>
      <c r="G10">
        <v>15.162000000000001</v>
      </c>
      <c r="H10">
        <v>2.5152129817444399E-2</v>
      </c>
      <c r="I10">
        <v>19.398</v>
      </c>
      <c r="J10">
        <v>1.27917297551299E-2</v>
      </c>
      <c r="K10" t="s">
        <v>948</v>
      </c>
      <c r="L10" t="s">
        <v>940</v>
      </c>
    </row>
    <row r="11" spans="1:12" x14ac:dyDescent="0.35">
      <c r="A11">
        <v>2.3157030840978501E-2</v>
      </c>
      <c r="B11">
        <v>4.0963848741786497E-2</v>
      </c>
      <c r="C11">
        <v>5.35423244430666E-2</v>
      </c>
      <c r="D11">
        <v>2.83404365976123E-2</v>
      </c>
      <c r="E11" t="s">
        <v>1464</v>
      </c>
      <c r="F11" t="s">
        <v>1455</v>
      </c>
      <c r="G11">
        <v>15.361000000000001</v>
      </c>
      <c r="H11">
        <v>1.3124917557050499E-2</v>
      </c>
      <c r="I11">
        <v>19.533999999999999</v>
      </c>
      <c r="J11">
        <v>7.0110320651612899E-3</v>
      </c>
      <c r="K11" t="s">
        <v>949</v>
      </c>
      <c r="L11" t="s">
        <v>940</v>
      </c>
    </row>
    <row r="12" spans="1:12" x14ac:dyDescent="0.35">
      <c r="A12">
        <v>3.55986781186481E-2</v>
      </c>
      <c r="B12">
        <v>3.3186191278740597E-2</v>
      </c>
      <c r="C12">
        <v>6.3703129067968198E-2</v>
      </c>
      <c r="D12">
        <v>5.6658506033298299E-2</v>
      </c>
      <c r="E12" t="s">
        <v>1465</v>
      </c>
      <c r="F12" t="s">
        <v>1455</v>
      </c>
      <c r="G12">
        <v>15.6</v>
      </c>
      <c r="H12">
        <v>1.5558882885228701E-2</v>
      </c>
      <c r="I12">
        <v>19.805</v>
      </c>
      <c r="J12">
        <v>1.38732466468721E-2</v>
      </c>
      <c r="K12" t="s">
        <v>950</v>
      </c>
      <c r="L12" t="s">
        <v>940</v>
      </c>
    </row>
    <row r="13" spans="1:12" x14ac:dyDescent="0.35">
      <c r="A13">
        <v>3.3109052200751603E-2</v>
      </c>
      <c r="B13">
        <v>8.9944620716435594E-2</v>
      </c>
      <c r="C13">
        <v>5.0679215853917103E-2</v>
      </c>
      <c r="D13">
        <v>7.6848944278385095E-2</v>
      </c>
      <c r="E13" t="s">
        <v>1466</v>
      </c>
      <c r="F13" t="s">
        <v>1455</v>
      </c>
      <c r="G13">
        <v>15.794</v>
      </c>
      <c r="H13">
        <v>1.2435897435897601E-2</v>
      </c>
      <c r="I13">
        <v>20.175000000000001</v>
      </c>
      <c r="J13">
        <v>1.8682150971976799E-2</v>
      </c>
      <c r="K13" t="s">
        <v>951</v>
      </c>
      <c r="L13" t="s">
        <v>940</v>
      </c>
    </row>
    <row r="14" spans="1:12" x14ac:dyDescent="0.35">
      <c r="A14">
        <v>4.91014015888558E-2</v>
      </c>
      <c r="B14">
        <v>6.5908483031781095E-2</v>
      </c>
      <c r="C14">
        <v>8.1389738888574495E-2</v>
      </c>
      <c r="D14">
        <v>7.93845743471608E-2</v>
      </c>
      <c r="E14" t="s">
        <v>1467</v>
      </c>
      <c r="F14" t="s">
        <v>1455</v>
      </c>
      <c r="G14">
        <v>16.106000000000002</v>
      </c>
      <c r="H14">
        <v>1.9754337090034199E-2</v>
      </c>
      <c r="I14">
        <v>20.564</v>
      </c>
      <c r="J14">
        <v>1.9281288723668001E-2</v>
      </c>
      <c r="K14" t="s">
        <v>952</v>
      </c>
      <c r="L14" t="s">
        <v>940</v>
      </c>
    </row>
    <row r="15" spans="1:12" x14ac:dyDescent="0.35">
      <c r="A15">
        <v>7.9177652454341899E-2</v>
      </c>
      <c r="B15">
        <v>7.1493559288280994E-2</v>
      </c>
      <c r="C15">
        <v>6.9283063617710403E-2</v>
      </c>
      <c r="D15">
        <v>8.6922582910256702E-2</v>
      </c>
      <c r="E15" t="s">
        <v>1468</v>
      </c>
      <c r="F15" t="s">
        <v>1455</v>
      </c>
      <c r="G15">
        <v>16.378</v>
      </c>
      <c r="H15">
        <v>1.68881162299763E-2</v>
      </c>
      <c r="I15">
        <v>20.997</v>
      </c>
      <c r="J15">
        <v>2.1056214744213299E-2</v>
      </c>
      <c r="K15" t="s">
        <v>953</v>
      </c>
      <c r="L15" t="s">
        <v>940</v>
      </c>
    </row>
    <row r="16" spans="1:12" x14ac:dyDescent="0.35">
      <c r="A16">
        <v>7.4767520593947104E-2</v>
      </c>
      <c r="B16">
        <v>8.5362600720222198E-2</v>
      </c>
      <c r="C16">
        <v>4.7217464684975501E-2</v>
      </c>
      <c r="D16">
        <v>8.4062519785650797E-2</v>
      </c>
      <c r="E16" t="s">
        <v>1469</v>
      </c>
      <c r="F16" t="s">
        <v>1455</v>
      </c>
      <c r="G16">
        <v>16.568000000000001</v>
      </c>
      <c r="H16">
        <v>1.1600928074246E-2</v>
      </c>
      <c r="I16">
        <v>21.425000000000001</v>
      </c>
      <c r="J16">
        <v>2.03838643615755E-2</v>
      </c>
      <c r="K16" t="s">
        <v>954</v>
      </c>
      <c r="L16" t="s">
        <v>940</v>
      </c>
    </row>
    <row r="17" spans="1:12" x14ac:dyDescent="0.35">
      <c r="A17">
        <v>8.4354048501589896E-2</v>
      </c>
      <c r="B17">
        <v>8.8313277531109999E-2</v>
      </c>
      <c r="C17">
        <v>6.8825586736247696E-2</v>
      </c>
      <c r="D17">
        <v>0.111750672708145</v>
      </c>
      <c r="E17" t="s">
        <v>1470</v>
      </c>
      <c r="F17" t="s">
        <v>1455</v>
      </c>
      <c r="G17">
        <v>16.846</v>
      </c>
      <c r="H17">
        <v>1.6779333655238898E-2</v>
      </c>
      <c r="I17">
        <v>22</v>
      </c>
      <c r="J17">
        <v>2.68378063010501E-2</v>
      </c>
      <c r="K17" t="s">
        <v>955</v>
      </c>
      <c r="L17" t="s">
        <v>940</v>
      </c>
    </row>
    <row r="18" spans="1:12" x14ac:dyDescent="0.35">
      <c r="A18">
        <v>0.124536540877934</v>
      </c>
      <c r="B18">
        <v>4.1616768277239702E-2</v>
      </c>
      <c r="C18">
        <v>0.100709384145876</v>
      </c>
      <c r="D18">
        <v>0.19875533747763099</v>
      </c>
      <c r="E18" t="s">
        <v>1471</v>
      </c>
      <c r="F18" t="s">
        <v>1455</v>
      </c>
      <c r="G18">
        <v>17.254999999999999</v>
      </c>
      <c r="H18">
        <v>2.42787605366259E-2</v>
      </c>
      <c r="I18">
        <v>23.02</v>
      </c>
      <c r="J18">
        <v>4.6363636363636399E-2</v>
      </c>
      <c r="K18" t="s">
        <v>956</v>
      </c>
      <c r="L18" t="s">
        <v>940</v>
      </c>
    </row>
    <row r="19" spans="1:12" x14ac:dyDescent="0.35">
      <c r="A19">
        <v>0.118186339709689</v>
      </c>
      <c r="B19">
        <v>7.4336480554695494E-2</v>
      </c>
      <c r="C19">
        <v>0.111980004946894</v>
      </c>
      <c r="D19">
        <v>0.27614966476000502</v>
      </c>
      <c r="E19" t="s">
        <v>1472</v>
      </c>
      <c r="F19" t="s">
        <v>1455</v>
      </c>
      <c r="G19">
        <v>17.719000000000001</v>
      </c>
      <c r="H19">
        <v>2.68907563025211E-2</v>
      </c>
      <c r="I19">
        <v>24.466999999999999</v>
      </c>
      <c r="J19">
        <v>6.2858384013900995E-2</v>
      </c>
      <c r="K19" t="s">
        <v>957</v>
      </c>
      <c r="L19" t="s">
        <v>940</v>
      </c>
    </row>
    <row r="20" spans="1:12" x14ac:dyDescent="0.35">
      <c r="A20">
        <v>0.112285409166716</v>
      </c>
      <c r="B20">
        <v>0.121923532437656</v>
      </c>
      <c r="C20">
        <v>0.119951580753957</v>
      </c>
      <c r="D20">
        <v>0.28126959643585903</v>
      </c>
      <c r="E20" t="s">
        <v>1473</v>
      </c>
      <c r="F20" t="s">
        <v>1455</v>
      </c>
      <c r="G20">
        <v>18.228000000000002</v>
      </c>
      <c r="H20">
        <v>2.8726226084993398E-2</v>
      </c>
      <c r="I20">
        <v>26.030999999999999</v>
      </c>
      <c r="J20">
        <v>6.3922834838762405E-2</v>
      </c>
      <c r="K20" t="s">
        <v>958</v>
      </c>
      <c r="L20" t="s">
        <v>940</v>
      </c>
    </row>
    <row r="21" spans="1:12" x14ac:dyDescent="0.35">
      <c r="A21">
        <v>0.10564888426900799</v>
      </c>
      <c r="B21">
        <v>0.139689749601554</v>
      </c>
      <c r="C21">
        <v>0.10861792322335199</v>
      </c>
      <c r="D21">
        <v>0.17691984955710299</v>
      </c>
      <c r="E21" t="s">
        <v>1474</v>
      </c>
      <c r="F21" t="s">
        <v>1455</v>
      </c>
      <c r="G21">
        <v>18.704000000000001</v>
      </c>
      <c r="H21">
        <v>2.6113671274961399E-2</v>
      </c>
      <c r="I21">
        <v>27.113</v>
      </c>
      <c r="J21">
        <v>4.15658253620683E-2</v>
      </c>
      <c r="K21" t="s">
        <v>959</v>
      </c>
      <c r="L21" t="s">
        <v>940</v>
      </c>
    </row>
    <row r="22" spans="1:12" x14ac:dyDescent="0.35">
      <c r="A22">
        <v>7.7418031911128199E-2</v>
      </c>
      <c r="B22">
        <v>7.47377264200315E-2</v>
      </c>
      <c r="C22">
        <v>8.2414004288707196E-2</v>
      </c>
      <c r="D22">
        <v>8.77241949354641E-2</v>
      </c>
      <c r="E22" t="s">
        <v>1475</v>
      </c>
      <c r="F22" t="s">
        <v>1455</v>
      </c>
      <c r="G22">
        <v>19.077999999999999</v>
      </c>
      <c r="H22">
        <v>1.99957228400343E-2</v>
      </c>
      <c r="I22">
        <v>27.689</v>
      </c>
      <c r="J22">
        <v>2.1244421495223698E-2</v>
      </c>
      <c r="K22" t="s">
        <v>960</v>
      </c>
      <c r="L22" t="s">
        <v>940</v>
      </c>
    </row>
    <row r="23" spans="1:12" x14ac:dyDescent="0.35">
      <c r="A23">
        <v>5.00188837807687E-2</v>
      </c>
      <c r="B23">
        <v>5.9076854521070303E-2</v>
      </c>
      <c r="C23">
        <v>9.99907756879512E-2</v>
      </c>
      <c r="D23">
        <v>1.9938623083631101E-2</v>
      </c>
      <c r="E23" t="s">
        <v>1476</v>
      </c>
      <c r="F23" t="s">
        <v>1455</v>
      </c>
      <c r="G23">
        <v>19.538</v>
      </c>
      <c r="H23">
        <v>2.4111542090365898E-2</v>
      </c>
      <c r="I23">
        <v>27.826000000000001</v>
      </c>
      <c r="J23">
        <v>4.9478132110223304E-3</v>
      </c>
      <c r="K23" t="s">
        <v>961</v>
      </c>
      <c r="L23" t="s">
        <v>940</v>
      </c>
    </row>
    <row r="24" spans="1:12" x14ac:dyDescent="0.35">
      <c r="A24">
        <v>7.6956317974106001E-2</v>
      </c>
      <c r="B24">
        <v>5.5091330920863602E-2</v>
      </c>
      <c r="C24">
        <v>6.2847909413525901E-2</v>
      </c>
      <c r="D24">
        <v>1.2710174962932599E-2</v>
      </c>
      <c r="E24" t="s">
        <v>1477</v>
      </c>
      <c r="F24" t="s">
        <v>1455</v>
      </c>
      <c r="G24">
        <v>19.838000000000001</v>
      </c>
      <c r="H24">
        <v>1.5354693417954699E-2</v>
      </c>
      <c r="I24">
        <v>27.914000000000001</v>
      </c>
      <c r="J24">
        <v>3.16250988284339E-3</v>
      </c>
      <c r="K24" t="s">
        <v>962</v>
      </c>
      <c r="L24" t="s">
        <v>940</v>
      </c>
    </row>
    <row r="25" spans="1:12" x14ac:dyDescent="0.35">
      <c r="A25">
        <v>6.8882772668885706E-2</v>
      </c>
      <c r="B25">
        <v>9.5097426388938394E-2</v>
      </c>
      <c r="C25">
        <v>5.9557775023163499E-2</v>
      </c>
      <c r="D25">
        <v>2.4583979224767301E-2</v>
      </c>
      <c r="E25" t="s">
        <v>1478</v>
      </c>
      <c r="F25" t="s">
        <v>1455</v>
      </c>
      <c r="G25">
        <v>20.126999999999999</v>
      </c>
      <c r="H25">
        <v>1.45680008065328E-2</v>
      </c>
      <c r="I25">
        <v>28.084</v>
      </c>
      <c r="J25">
        <v>6.0901339829475499E-3</v>
      </c>
      <c r="K25" t="s">
        <v>963</v>
      </c>
      <c r="L25" t="s">
        <v>940</v>
      </c>
    </row>
    <row r="26" spans="1:12" x14ac:dyDescent="0.35">
      <c r="A26">
        <v>4.46796784787249E-2</v>
      </c>
      <c r="B26">
        <v>5.9702158874865199E-2</v>
      </c>
      <c r="C26">
        <v>5.3094918319799497E-2</v>
      </c>
      <c r="D26">
        <v>1.9800669277978002E-2</v>
      </c>
      <c r="E26" t="s">
        <v>1479</v>
      </c>
      <c r="F26" t="s">
        <v>1455</v>
      </c>
      <c r="G26">
        <v>20.388999999999999</v>
      </c>
      <c r="H26">
        <v>1.30173398916877E-2</v>
      </c>
      <c r="I26">
        <v>28.222000000000001</v>
      </c>
      <c r="J26">
        <v>4.91382993875522E-3</v>
      </c>
      <c r="K26" t="s">
        <v>964</v>
      </c>
      <c r="L26" t="s">
        <v>940</v>
      </c>
    </row>
    <row r="27" spans="1:12" x14ac:dyDescent="0.35">
      <c r="A27">
        <v>3.3979822161052303E-2</v>
      </c>
      <c r="B27">
        <v>3.3961135638896502E-2</v>
      </c>
      <c r="C27">
        <v>5.3215140717762302E-2</v>
      </c>
      <c r="D27">
        <v>3.4743180507705002E-2</v>
      </c>
      <c r="E27" t="s">
        <v>1480</v>
      </c>
      <c r="F27" t="s">
        <v>1455</v>
      </c>
      <c r="G27">
        <v>20.655000000000001</v>
      </c>
      <c r="H27">
        <v>1.3046250429153101E-2</v>
      </c>
      <c r="I27">
        <v>28.463999999999999</v>
      </c>
      <c r="J27">
        <v>8.5748706682728902E-3</v>
      </c>
      <c r="K27" t="s">
        <v>965</v>
      </c>
      <c r="L27" t="s">
        <v>940</v>
      </c>
    </row>
    <row r="28" spans="1:12" x14ac:dyDescent="0.35">
      <c r="A28">
        <v>6.2157602764701697E-2</v>
      </c>
      <c r="B28">
        <v>4.6572413553721298E-2</v>
      </c>
      <c r="C28">
        <v>3.5515485276211803E-2</v>
      </c>
      <c r="D28">
        <v>8.7412684077270396E-3</v>
      </c>
      <c r="E28" t="s">
        <v>1481</v>
      </c>
      <c r="F28" t="s">
        <v>1455</v>
      </c>
      <c r="G28">
        <v>20.835999999999999</v>
      </c>
      <c r="H28">
        <v>8.7630113773904394E-3</v>
      </c>
      <c r="I28">
        <v>28.526</v>
      </c>
      <c r="J28">
        <v>2.17818999437891E-3</v>
      </c>
      <c r="K28" t="s">
        <v>966</v>
      </c>
      <c r="L28" t="s">
        <v>940</v>
      </c>
    </row>
    <row r="29" spans="1:12" x14ac:dyDescent="0.35">
      <c r="A29">
        <v>6.4679796349943294E-2</v>
      </c>
      <c r="B29">
        <v>0.11140543202132699</v>
      </c>
      <c r="C29">
        <v>5.3847641567893498E-2</v>
      </c>
      <c r="D29">
        <v>2.7482019859727602E-2</v>
      </c>
      <c r="E29" t="s">
        <v>1482</v>
      </c>
      <c r="F29" t="s">
        <v>1455</v>
      </c>
      <c r="G29">
        <v>21.111000000000001</v>
      </c>
      <c r="H29">
        <v>1.31983106162412E-2</v>
      </c>
      <c r="I29">
        <v>28.72</v>
      </c>
      <c r="J29">
        <v>6.8008132931360902E-3</v>
      </c>
      <c r="K29" t="s">
        <v>967</v>
      </c>
      <c r="L29" t="s">
        <v>940</v>
      </c>
    </row>
    <row r="30" spans="1:12" x14ac:dyDescent="0.35">
      <c r="A30">
        <v>7.4088172350420103E-2</v>
      </c>
      <c r="B30">
        <v>5.7739458159661701E-2</v>
      </c>
      <c r="C30">
        <v>8.3796072481744796E-2</v>
      </c>
      <c r="D30">
        <v>5.2825931688943499E-2</v>
      </c>
      <c r="E30" t="s">
        <v>1483</v>
      </c>
      <c r="F30" t="s">
        <v>1455</v>
      </c>
      <c r="G30">
        <v>21.54</v>
      </c>
      <c r="H30">
        <v>2.0321159585050302E-2</v>
      </c>
      <c r="I30">
        <v>29.091999999999999</v>
      </c>
      <c r="J30">
        <v>1.2952646239554401E-2</v>
      </c>
      <c r="K30" t="s">
        <v>968</v>
      </c>
      <c r="L30" t="s">
        <v>940</v>
      </c>
    </row>
    <row r="31" spans="1:12" x14ac:dyDescent="0.35">
      <c r="A31">
        <v>7.0308632461715301E-2</v>
      </c>
      <c r="B31">
        <v>4.6296846180206901E-2</v>
      </c>
      <c r="C31">
        <v>8.1880476726010801E-2</v>
      </c>
      <c r="D31">
        <v>4.0048809702137603E-2</v>
      </c>
      <c r="E31" t="s">
        <v>1484</v>
      </c>
      <c r="F31" t="s">
        <v>1455</v>
      </c>
      <c r="G31">
        <v>21.968</v>
      </c>
      <c r="H31">
        <v>1.9870009285051001E-2</v>
      </c>
      <c r="I31">
        <v>29.379000000000001</v>
      </c>
      <c r="J31">
        <v>9.8652550529356696E-3</v>
      </c>
      <c r="K31" t="s">
        <v>969</v>
      </c>
      <c r="L31" t="s">
        <v>940</v>
      </c>
    </row>
    <row r="32" spans="1:12" x14ac:dyDescent="0.35">
      <c r="A32">
        <v>6.1553542794543503E-2</v>
      </c>
      <c r="B32">
        <v>1.98663105662467E-2</v>
      </c>
      <c r="C32">
        <v>7.3501873886998997E-2</v>
      </c>
      <c r="D32">
        <v>5.4874269706492597E-2</v>
      </c>
      <c r="E32" t="s">
        <v>1485</v>
      </c>
      <c r="F32" t="s">
        <v>1455</v>
      </c>
      <c r="G32">
        <v>22.361000000000001</v>
      </c>
      <c r="H32">
        <v>1.7889657683903801E-2</v>
      </c>
      <c r="I32">
        <v>29.774000000000001</v>
      </c>
      <c r="J32">
        <v>1.3444977705163501E-2</v>
      </c>
      <c r="K32" t="s">
        <v>970</v>
      </c>
      <c r="L32" t="s">
        <v>940</v>
      </c>
    </row>
    <row r="33" spans="1:12" x14ac:dyDescent="0.35">
      <c r="A33">
        <v>5.8025197908700303E-2</v>
      </c>
      <c r="B33">
        <v>0.12112082718011299</v>
      </c>
      <c r="C33">
        <v>7.5383891455237398E-2</v>
      </c>
      <c r="D33">
        <v>4.34111575180351E-2</v>
      </c>
      <c r="E33" t="s">
        <v>1486</v>
      </c>
      <c r="F33" t="s">
        <v>1455</v>
      </c>
      <c r="G33">
        <v>22.771000000000001</v>
      </c>
      <c r="H33">
        <v>1.83354948347569E-2</v>
      </c>
      <c r="I33">
        <v>30.091999999999999</v>
      </c>
      <c r="J33">
        <v>1.0680459461274799E-2</v>
      </c>
      <c r="K33" t="s">
        <v>971</v>
      </c>
      <c r="L33" t="s">
        <v>940</v>
      </c>
    </row>
    <row r="34" spans="1:12" x14ac:dyDescent="0.35">
      <c r="A34">
        <v>6.7326294927223501E-2</v>
      </c>
      <c r="B34">
        <v>4.65097292728067E-2</v>
      </c>
      <c r="C34">
        <v>5.9424238450433299E-2</v>
      </c>
      <c r="D34">
        <v>5.0510789433123801E-2</v>
      </c>
      <c r="E34" t="s">
        <v>1487</v>
      </c>
      <c r="F34" t="s">
        <v>1455</v>
      </c>
      <c r="G34">
        <v>23.102</v>
      </c>
      <c r="H34">
        <v>1.4536032673137E-2</v>
      </c>
      <c r="I34">
        <v>30.465</v>
      </c>
      <c r="J34">
        <v>1.23953210155523E-2</v>
      </c>
      <c r="K34" t="s">
        <v>972</v>
      </c>
      <c r="L34" t="s">
        <v>940</v>
      </c>
    </row>
    <row r="35" spans="1:12" x14ac:dyDescent="0.35">
      <c r="A35">
        <v>8.4675701203493298E-2</v>
      </c>
      <c r="B35">
        <v>8.09066486989478E-2</v>
      </c>
      <c r="C35">
        <v>6.5619276167123694E-2</v>
      </c>
      <c r="D35">
        <v>8.0997725857898203E-2</v>
      </c>
      <c r="E35" t="s">
        <v>1488</v>
      </c>
      <c r="F35" t="s">
        <v>1455</v>
      </c>
      <c r="G35">
        <v>23.472000000000001</v>
      </c>
      <c r="H35">
        <v>1.6015929356765699E-2</v>
      </c>
      <c r="I35">
        <v>31.064</v>
      </c>
      <c r="J35">
        <v>1.9661907106515601E-2</v>
      </c>
      <c r="K35" t="s">
        <v>973</v>
      </c>
      <c r="L35" t="s">
        <v>940</v>
      </c>
    </row>
    <row r="36" spans="1:12" x14ac:dyDescent="0.35">
      <c r="A36">
        <v>7.2050406034996906E-2</v>
      </c>
      <c r="B36">
        <v>6.8549166168664605E-2</v>
      </c>
      <c r="C36">
        <v>5.8500992246239197E-2</v>
      </c>
      <c r="D36">
        <v>7.8709215306017405E-2</v>
      </c>
      <c r="E36" t="s">
        <v>1489</v>
      </c>
      <c r="F36" t="s">
        <v>1455</v>
      </c>
      <c r="G36">
        <v>23.808</v>
      </c>
      <c r="H36">
        <v>1.4314928425357899E-2</v>
      </c>
      <c r="I36">
        <v>31.658000000000001</v>
      </c>
      <c r="J36">
        <v>1.9121813031161401E-2</v>
      </c>
      <c r="K36" t="s">
        <v>974</v>
      </c>
      <c r="L36" t="s">
        <v>940</v>
      </c>
    </row>
    <row r="37" spans="1:12" x14ac:dyDescent="0.35">
      <c r="A37">
        <v>7.7759817693589403E-2</v>
      </c>
      <c r="B37">
        <v>7.0826828171957498E-2</v>
      </c>
      <c r="C37">
        <v>5.4682260590980698E-2</v>
      </c>
      <c r="D37">
        <v>7.3455131593814296E-2</v>
      </c>
      <c r="E37" t="s">
        <v>1490</v>
      </c>
      <c r="F37" t="s">
        <v>1455</v>
      </c>
      <c r="G37">
        <v>24.126999999999999</v>
      </c>
      <c r="H37">
        <v>1.33988575268817E-2</v>
      </c>
      <c r="I37">
        <v>32.223999999999997</v>
      </c>
      <c r="J37">
        <v>1.78785772948384E-2</v>
      </c>
      <c r="K37" t="s">
        <v>975</v>
      </c>
      <c r="L37" t="s">
        <v>940</v>
      </c>
    </row>
    <row r="38" spans="1:12" x14ac:dyDescent="0.35">
      <c r="A38">
        <v>7.7602845525897898E-2</v>
      </c>
      <c r="B38">
        <v>7.5755853629737399E-2</v>
      </c>
      <c r="C38">
        <v>0.101819091447914</v>
      </c>
      <c r="D38">
        <v>8.5137769356933707E-2</v>
      </c>
      <c r="E38" t="s">
        <v>1491</v>
      </c>
      <c r="F38" t="s">
        <v>1455</v>
      </c>
      <c r="G38">
        <v>24.719000000000001</v>
      </c>
      <c r="H38">
        <v>2.4536825962614601E-2</v>
      </c>
      <c r="I38">
        <v>32.889000000000003</v>
      </c>
      <c r="J38">
        <v>2.0636792452830299E-2</v>
      </c>
      <c r="K38" t="s">
        <v>976</v>
      </c>
      <c r="L38" t="s">
        <v>940</v>
      </c>
    </row>
    <row r="39" spans="1:12" x14ac:dyDescent="0.35">
      <c r="A39">
        <v>0.113838252689951</v>
      </c>
      <c r="B39">
        <v>6.1815502695247999E-2</v>
      </c>
      <c r="C39">
        <v>9.0287471336475605E-2</v>
      </c>
      <c r="D39">
        <v>0.11311171886032199</v>
      </c>
      <c r="E39" t="s">
        <v>1492</v>
      </c>
      <c r="F39" t="s">
        <v>1455</v>
      </c>
      <c r="G39">
        <v>25.259</v>
      </c>
      <c r="H39">
        <v>2.18455439135887E-2</v>
      </c>
      <c r="I39">
        <v>33.781999999999996</v>
      </c>
      <c r="J39">
        <v>2.7151935297515601E-2</v>
      </c>
      <c r="K39" t="s">
        <v>977</v>
      </c>
      <c r="L39" t="s">
        <v>940</v>
      </c>
    </row>
    <row r="40" spans="1:12" x14ac:dyDescent="0.35">
      <c r="A40">
        <v>0.10293672514128201</v>
      </c>
      <c r="B40">
        <v>9.6664179784869297E-2</v>
      </c>
      <c r="C40">
        <v>0.148038402658868</v>
      </c>
      <c r="D40">
        <v>0.121960082107911</v>
      </c>
      <c r="E40" t="s">
        <v>1493</v>
      </c>
      <c r="F40" t="s">
        <v>1455</v>
      </c>
      <c r="G40">
        <v>26.146000000000001</v>
      </c>
      <c r="H40">
        <v>3.5116196207292602E-2</v>
      </c>
      <c r="I40">
        <v>34.768000000000001</v>
      </c>
      <c r="J40">
        <v>2.9187141081049101E-2</v>
      </c>
      <c r="K40" t="s">
        <v>978</v>
      </c>
      <c r="L40" t="s">
        <v>940</v>
      </c>
    </row>
    <row r="41" spans="1:12" x14ac:dyDescent="0.35">
      <c r="A41">
        <v>0.100470180706661</v>
      </c>
      <c r="B41">
        <v>9.1027084037313494E-2</v>
      </c>
      <c r="C41">
        <v>7.0641984000731503E-2</v>
      </c>
      <c r="D41">
        <v>0.118355060703055</v>
      </c>
      <c r="E41" t="s">
        <v>1494</v>
      </c>
      <c r="F41" t="s">
        <v>1455</v>
      </c>
      <c r="G41">
        <v>26.596</v>
      </c>
      <c r="H41">
        <v>1.7211045666641198E-2</v>
      </c>
      <c r="I41">
        <v>35.753999999999998</v>
      </c>
      <c r="J41">
        <v>2.83594109526E-2</v>
      </c>
      <c r="K41" t="s">
        <v>979</v>
      </c>
      <c r="L41" t="s">
        <v>940</v>
      </c>
    </row>
    <row r="42" spans="1:12" x14ac:dyDescent="0.35">
      <c r="A42">
        <v>0.12552467874009099</v>
      </c>
      <c r="B42">
        <v>8.1451601423466094E-2</v>
      </c>
      <c r="C42">
        <v>0.106909632651843</v>
      </c>
      <c r="D42">
        <v>0.113864763230328</v>
      </c>
      <c r="E42" t="s">
        <v>1495</v>
      </c>
      <c r="F42" t="s">
        <v>1455</v>
      </c>
      <c r="G42">
        <v>27.28</v>
      </c>
      <c r="H42">
        <v>2.5718153105730199E-2</v>
      </c>
      <c r="I42">
        <v>36.731000000000002</v>
      </c>
      <c r="J42">
        <v>2.7325613917324101E-2</v>
      </c>
      <c r="K42" t="s">
        <v>980</v>
      </c>
      <c r="L42" t="s">
        <v>940</v>
      </c>
    </row>
    <row r="43" spans="1:12" x14ac:dyDescent="0.35">
      <c r="A43">
        <v>0.101539889707692</v>
      </c>
      <c r="B43">
        <v>0.163874229132176</v>
      </c>
      <c r="C43">
        <v>0.11299973225785501</v>
      </c>
      <c r="D43">
        <v>0.119816075191493</v>
      </c>
      <c r="E43" t="s">
        <v>1496</v>
      </c>
      <c r="F43" t="s">
        <v>1455</v>
      </c>
      <c r="G43">
        <v>28.02</v>
      </c>
      <c r="H43">
        <v>2.7126099706744799E-2</v>
      </c>
      <c r="I43">
        <v>37.784999999999997</v>
      </c>
      <c r="J43">
        <v>2.8695107674715899E-2</v>
      </c>
      <c r="K43" t="s">
        <v>981</v>
      </c>
      <c r="L43" t="s">
        <v>940</v>
      </c>
    </row>
    <row r="44" spans="1:12" x14ac:dyDescent="0.35">
      <c r="A44">
        <v>9.6919062654431398E-2</v>
      </c>
      <c r="B44">
        <v>4.1150587007602997E-2</v>
      </c>
      <c r="C44">
        <v>0.115930396885483</v>
      </c>
      <c r="D44">
        <v>0.138106666956619</v>
      </c>
      <c r="E44" t="s">
        <v>1497</v>
      </c>
      <c r="F44" t="s">
        <v>1455</v>
      </c>
      <c r="G44">
        <v>28.798999999999999</v>
      </c>
      <c r="H44">
        <v>2.7801570306923699E-2</v>
      </c>
      <c r="I44">
        <v>39.027000000000001</v>
      </c>
      <c r="J44">
        <v>3.2870186581977198E-2</v>
      </c>
      <c r="K44" t="s">
        <v>982</v>
      </c>
      <c r="L44" t="s">
        <v>940</v>
      </c>
    </row>
    <row r="45" spans="1:12" x14ac:dyDescent="0.35">
      <c r="A45">
        <v>0.102667735598145</v>
      </c>
      <c r="B45">
        <v>0.12591483160208999</v>
      </c>
      <c r="C45">
        <v>0.11071312036879399</v>
      </c>
      <c r="D45">
        <v>0.12373918134004901</v>
      </c>
      <c r="E45" t="s">
        <v>1498</v>
      </c>
      <c r="F45" t="s">
        <v>1455</v>
      </c>
      <c r="G45">
        <v>29.565000000000001</v>
      </c>
      <c r="H45">
        <v>2.65981457689504E-2</v>
      </c>
      <c r="I45">
        <v>40.182000000000002</v>
      </c>
      <c r="J45">
        <v>2.9594895841340601E-2</v>
      </c>
      <c r="K45" t="s">
        <v>983</v>
      </c>
      <c r="L45" t="s">
        <v>940</v>
      </c>
    </row>
    <row r="46" spans="1:12" x14ac:dyDescent="0.35">
      <c r="A46">
        <v>0.107873886984393</v>
      </c>
      <c r="B46">
        <v>8.2350511297398302E-2</v>
      </c>
      <c r="C46">
        <v>0.14097064786198199</v>
      </c>
      <c r="D46">
        <v>0.118188584098933</v>
      </c>
      <c r="E46" t="s">
        <v>1499</v>
      </c>
      <c r="F46" t="s">
        <v>1455</v>
      </c>
      <c r="G46">
        <v>30.556000000000001</v>
      </c>
      <c r="H46">
        <v>3.3519364112971399E-2</v>
      </c>
      <c r="I46">
        <v>41.32</v>
      </c>
      <c r="J46">
        <v>2.8321138818376401E-2</v>
      </c>
      <c r="K46" t="s">
        <v>984</v>
      </c>
      <c r="L46" t="s">
        <v>940</v>
      </c>
    </row>
    <row r="47" spans="1:12" x14ac:dyDescent="0.35">
      <c r="A47">
        <v>6.8864078536554199E-2</v>
      </c>
      <c r="B47">
        <v>9.6264819656522296E-2</v>
      </c>
      <c r="C47">
        <v>8.6310442735713797E-2</v>
      </c>
      <c r="D47">
        <v>9.9129163647753094E-2</v>
      </c>
      <c r="E47" t="s">
        <v>1500</v>
      </c>
      <c r="F47" t="s">
        <v>1455</v>
      </c>
      <c r="G47">
        <v>31.195</v>
      </c>
      <c r="H47">
        <v>2.0912423092027701E-2</v>
      </c>
      <c r="I47">
        <v>42.308</v>
      </c>
      <c r="J47">
        <v>2.39109390125847E-2</v>
      </c>
      <c r="K47" t="s">
        <v>985</v>
      </c>
      <c r="L47" t="s">
        <v>940</v>
      </c>
    </row>
    <row r="48" spans="1:12" x14ac:dyDescent="0.35">
      <c r="A48">
        <v>6.7510216956085903E-2</v>
      </c>
      <c r="B48">
        <v>9.0754628296435505E-2</v>
      </c>
      <c r="C48">
        <v>4.8692861535788202E-2</v>
      </c>
      <c r="D48">
        <v>8.4524586959714404E-2</v>
      </c>
      <c r="E48" t="s">
        <v>1501</v>
      </c>
      <c r="F48" t="s">
        <v>1455</v>
      </c>
      <c r="G48">
        <v>31.568000000000001</v>
      </c>
      <c r="H48">
        <v>1.1957044398140699E-2</v>
      </c>
      <c r="I48">
        <v>43.174999999999997</v>
      </c>
      <c r="J48">
        <v>2.0492578235794499E-2</v>
      </c>
      <c r="K48" t="s">
        <v>986</v>
      </c>
      <c r="L48" t="s">
        <v>940</v>
      </c>
    </row>
    <row r="49" spans="1:12" x14ac:dyDescent="0.35">
      <c r="A49">
        <v>6.2684205945477106E-2</v>
      </c>
      <c r="B49">
        <v>7.8781408158281802E-2</v>
      </c>
      <c r="C49">
        <v>6.2752816594642893E-2</v>
      </c>
      <c r="D49">
        <v>7.3171075998094998E-2</v>
      </c>
      <c r="E49" t="s">
        <v>1502</v>
      </c>
      <c r="F49" t="s">
        <v>1455</v>
      </c>
      <c r="G49">
        <v>32.052</v>
      </c>
      <c r="H49">
        <v>1.53319817536746E-2</v>
      </c>
      <c r="I49">
        <v>43.944000000000003</v>
      </c>
      <c r="J49">
        <v>1.7811233352634799E-2</v>
      </c>
      <c r="K49" t="s">
        <v>987</v>
      </c>
      <c r="L49" t="s">
        <v>940</v>
      </c>
    </row>
    <row r="50" spans="1:12" x14ac:dyDescent="0.35">
      <c r="A50">
        <v>5.1825632418063497E-2</v>
      </c>
      <c r="B50">
        <v>6.5520529029189395E-2</v>
      </c>
      <c r="C50">
        <v>7.2002334651775995E-2</v>
      </c>
      <c r="D50">
        <v>5.7261419360111997E-2</v>
      </c>
      <c r="E50" t="s">
        <v>1503</v>
      </c>
      <c r="F50" t="s">
        <v>1455</v>
      </c>
      <c r="G50">
        <v>32.613999999999997</v>
      </c>
      <c r="H50">
        <v>1.7534007238237701E-2</v>
      </c>
      <c r="I50">
        <v>44.56</v>
      </c>
      <c r="J50">
        <v>1.40178408884035E-2</v>
      </c>
      <c r="K50" t="s">
        <v>988</v>
      </c>
      <c r="L50" t="s">
        <v>940</v>
      </c>
    </row>
    <row r="51" spans="1:12" x14ac:dyDescent="0.35">
      <c r="A51">
        <v>3.9076838958162399E-2</v>
      </c>
      <c r="B51">
        <v>8.1541548822787496E-2</v>
      </c>
      <c r="C51">
        <v>6.5317850608274997E-2</v>
      </c>
      <c r="D51">
        <v>6.8572049720328196E-2</v>
      </c>
      <c r="E51" t="s">
        <v>1504</v>
      </c>
      <c r="F51" t="s">
        <v>1455</v>
      </c>
      <c r="G51">
        <v>33.134</v>
      </c>
      <c r="H51">
        <v>1.5944073097442901E-2</v>
      </c>
      <c r="I51">
        <v>45.305</v>
      </c>
      <c r="J51">
        <v>1.6719030520646199E-2</v>
      </c>
      <c r="K51" t="s">
        <v>989</v>
      </c>
      <c r="L51" t="s">
        <v>940</v>
      </c>
    </row>
    <row r="52" spans="1:12" x14ac:dyDescent="0.35">
      <c r="A52">
        <v>6.4698202701339205E-2</v>
      </c>
      <c r="B52">
        <v>3.4072636599968002E-2</v>
      </c>
      <c r="C52">
        <v>6.8068638365729198E-2</v>
      </c>
      <c r="D52">
        <v>4.8078704643683703E-2</v>
      </c>
      <c r="E52" t="s">
        <v>1505</v>
      </c>
      <c r="F52" t="s">
        <v>1455</v>
      </c>
      <c r="G52">
        <v>33.683999999999997</v>
      </c>
      <c r="H52">
        <v>1.65992635963059E-2</v>
      </c>
      <c r="I52">
        <v>45.84</v>
      </c>
      <c r="J52">
        <v>1.1808851120185501E-2</v>
      </c>
      <c r="K52" t="s">
        <v>990</v>
      </c>
      <c r="L52" t="s">
        <v>940</v>
      </c>
    </row>
    <row r="53" spans="1:12" x14ac:dyDescent="0.35">
      <c r="A53">
        <v>4.4829664945906803E-2</v>
      </c>
      <c r="B53">
        <v>4.8009313734526098E-2</v>
      </c>
      <c r="C53">
        <v>6.1455443169872802E-2</v>
      </c>
      <c r="D53">
        <v>1.01606507354322E-2</v>
      </c>
      <c r="E53" t="s">
        <v>1506</v>
      </c>
      <c r="F53" t="s">
        <v>1455</v>
      </c>
      <c r="G53">
        <v>34.19</v>
      </c>
      <c r="H53">
        <v>1.5021968887305399E-2</v>
      </c>
      <c r="I53">
        <v>45.956000000000003</v>
      </c>
      <c r="J53">
        <v>2.5305410122164998E-3</v>
      </c>
      <c r="K53" t="s">
        <v>991</v>
      </c>
      <c r="L53" t="s">
        <v>940</v>
      </c>
    </row>
    <row r="54" spans="1:12" x14ac:dyDescent="0.35">
      <c r="A54">
        <v>3.3496613159939903E-2</v>
      </c>
      <c r="B54">
        <v>7.5539459294806698E-3</v>
      </c>
      <c r="C54">
        <v>3.4722196261408399E-2</v>
      </c>
      <c r="D54">
        <v>3.7479666516224701E-3</v>
      </c>
      <c r="E54" t="s">
        <v>1507</v>
      </c>
      <c r="F54" t="s">
        <v>1455</v>
      </c>
      <c r="G54">
        <v>34.482999999999997</v>
      </c>
      <c r="H54">
        <v>8.5697572389587008E-3</v>
      </c>
      <c r="I54">
        <v>45.999000000000002</v>
      </c>
      <c r="J54">
        <v>9.3567760466539696E-4</v>
      </c>
      <c r="K54" t="s">
        <v>992</v>
      </c>
      <c r="L54" t="s">
        <v>940</v>
      </c>
    </row>
    <row r="55" spans="1:12" x14ac:dyDescent="0.35">
      <c r="A55">
        <v>3.7100673423204902E-2</v>
      </c>
      <c r="B55">
        <v>3.1269437697415199E-2</v>
      </c>
      <c r="C55">
        <v>5.5765239502398901E-2</v>
      </c>
      <c r="D55">
        <v>-5.3805310591299397E-3</v>
      </c>
      <c r="E55" t="s">
        <v>1508</v>
      </c>
      <c r="F55" t="s">
        <v>1455</v>
      </c>
      <c r="G55">
        <v>34.954000000000001</v>
      </c>
      <c r="H55">
        <v>1.36589043876694E-2</v>
      </c>
      <c r="I55">
        <v>45.936999999999998</v>
      </c>
      <c r="J55">
        <v>-1.3478553881607299E-3</v>
      </c>
      <c r="K55" t="s">
        <v>993</v>
      </c>
      <c r="L55" t="s">
        <v>940</v>
      </c>
    </row>
    <row r="56" spans="1:12" x14ac:dyDescent="0.35">
      <c r="A56">
        <v>5.3607020035561601E-2</v>
      </c>
      <c r="B56">
        <v>4.5007889346835098E-2</v>
      </c>
      <c r="C56">
        <v>4.7632291898301399E-2</v>
      </c>
      <c r="D56">
        <v>2.2658930308778699E-3</v>
      </c>
      <c r="E56" t="s">
        <v>1509</v>
      </c>
      <c r="F56" t="s">
        <v>1455</v>
      </c>
      <c r="G56">
        <v>35.363</v>
      </c>
      <c r="H56">
        <v>1.17010928649082E-2</v>
      </c>
      <c r="I56">
        <v>45.963000000000001</v>
      </c>
      <c r="J56">
        <v>5.6599255502098899E-4</v>
      </c>
      <c r="K56" t="s">
        <v>994</v>
      </c>
      <c r="L56" t="s">
        <v>940</v>
      </c>
    </row>
    <row r="57" spans="1:12" x14ac:dyDescent="0.35">
      <c r="A57">
        <v>2.6644627827705498E-2</v>
      </c>
      <c r="B57">
        <v>2.64126969592136E-2</v>
      </c>
      <c r="C57">
        <v>3.7969215238040602E-2</v>
      </c>
      <c r="D57">
        <v>-1.13086488994096E-3</v>
      </c>
      <c r="E57" t="s">
        <v>1510</v>
      </c>
      <c r="F57" t="s">
        <v>1455</v>
      </c>
      <c r="G57">
        <v>35.694000000000003</v>
      </c>
      <c r="H57">
        <v>9.3600656052936805E-3</v>
      </c>
      <c r="I57">
        <v>45.95</v>
      </c>
      <c r="J57">
        <v>-2.82836194330227E-4</v>
      </c>
      <c r="K57" t="s">
        <v>995</v>
      </c>
      <c r="L57" t="s">
        <v>940</v>
      </c>
    </row>
    <row r="58" spans="1:12" x14ac:dyDescent="0.35">
      <c r="A58">
        <v>4.3935723897537297E-2</v>
      </c>
      <c r="B58">
        <v>5.28225710519643E-2</v>
      </c>
      <c r="C58">
        <v>7.2018998740306803E-2</v>
      </c>
      <c r="D58">
        <v>4.3596665649268101E-3</v>
      </c>
      <c r="E58" t="s">
        <v>1511</v>
      </c>
      <c r="F58" t="s">
        <v>1455</v>
      </c>
      <c r="G58">
        <v>36.32</v>
      </c>
      <c r="H58">
        <v>1.7537961562167099E-2</v>
      </c>
      <c r="I58">
        <v>46</v>
      </c>
      <c r="J58">
        <v>1.0881392818280499E-3</v>
      </c>
      <c r="K58" t="s">
        <v>996</v>
      </c>
      <c r="L58" t="s">
        <v>940</v>
      </c>
    </row>
    <row r="59" spans="1:12" x14ac:dyDescent="0.35">
      <c r="A59">
        <v>3.93022623248813E-2</v>
      </c>
      <c r="B59">
        <v>4.0487191821635002E-2</v>
      </c>
      <c r="C59">
        <v>4.4330796852368702E-2</v>
      </c>
      <c r="D59">
        <v>1.4249428601276599E-2</v>
      </c>
      <c r="E59" t="s">
        <v>1512</v>
      </c>
      <c r="F59" t="s">
        <v>1455</v>
      </c>
      <c r="G59">
        <v>36.716000000000001</v>
      </c>
      <c r="H59">
        <v>1.09030837004405E-2</v>
      </c>
      <c r="I59">
        <v>46.162999999999997</v>
      </c>
      <c r="J59">
        <v>3.5434782608694299E-3</v>
      </c>
      <c r="K59" t="s">
        <v>997</v>
      </c>
      <c r="L59" t="s">
        <v>940</v>
      </c>
    </row>
    <row r="60" spans="1:12" x14ac:dyDescent="0.35">
      <c r="A60">
        <v>3.1206818640470101E-2</v>
      </c>
      <c r="B60">
        <v>6.08178890509075E-2</v>
      </c>
      <c r="C60">
        <v>4.3619950255883798E-2</v>
      </c>
      <c r="D60">
        <v>1.29734153291148E-2</v>
      </c>
      <c r="E60" t="s">
        <v>1513</v>
      </c>
      <c r="F60" t="s">
        <v>1455</v>
      </c>
      <c r="G60">
        <v>37.11</v>
      </c>
      <c r="H60">
        <v>1.07310164505936E-2</v>
      </c>
      <c r="I60">
        <v>46.311999999999998</v>
      </c>
      <c r="J60">
        <v>3.22769317418703E-3</v>
      </c>
      <c r="K60" t="s">
        <v>998</v>
      </c>
      <c r="L60" t="s">
        <v>940</v>
      </c>
    </row>
    <row r="61" spans="1:12" x14ac:dyDescent="0.35">
      <c r="A61">
        <v>2.4937045869749999E-2</v>
      </c>
      <c r="B61">
        <v>5.0188195911601098E-2</v>
      </c>
      <c r="C61">
        <v>4.8053419713626901E-2</v>
      </c>
      <c r="D61">
        <v>8.1435979249952998E-3</v>
      </c>
      <c r="E61" t="s">
        <v>1514</v>
      </c>
      <c r="F61" t="s">
        <v>1455</v>
      </c>
      <c r="G61">
        <v>37.548000000000002</v>
      </c>
      <c r="H61">
        <v>1.1802748585286999E-2</v>
      </c>
      <c r="I61">
        <v>46.405999999999999</v>
      </c>
      <c r="J61">
        <v>2.0297115218517198E-3</v>
      </c>
      <c r="K61" t="s">
        <v>999</v>
      </c>
      <c r="L61" t="s">
        <v>940</v>
      </c>
    </row>
    <row r="62" spans="1:12" x14ac:dyDescent="0.35">
      <c r="A62">
        <v>4.8021891562025902E-2</v>
      </c>
      <c r="B62">
        <v>-1.5869949670850401E-2</v>
      </c>
      <c r="C62">
        <v>5.3895269710959599E-2</v>
      </c>
      <c r="D62">
        <v>2.2424648618448499E-2</v>
      </c>
      <c r="E62" t="s">
        <v>1515</v>
      </c>
      <c r="F62" t="s">
        <v>1455</v>
      </c>
      <c r="G62">
        <v>38.043999999999997</v>
      </c>
      <c r="H62">
        <v>1.3209758176201E-2</v>
      </c>
      <c r="I62">
        <v>46.664000000000001</v>
      </c>
      <c r="J62">
        <v>5.5596259104426799E-3</v>
      </c>
      <c r="K62" t="s">
        <v>1000</v>
      </c>
      <c r="L62" t="s">
        <v>940</v>
      </c>
    </row>
    <row r="63" spans="1:12" x14ac:dyDescent="0.35">
      <c r="A63">
        <v>3.2831975950411901E-2</v>
      </c>
      <c r="B63">
        <v>9.4485381047573203E-3</v>
      </c>
      <c r="C63">
        <v>4.6526948089148097E-2</v>
      </c>
      <c r="D63">
        <v>1.2400816449865701E-2</v>
      </c>
      <c r="E63" t="s">
        <v>1516</v>
      </c>
      <c r="F63" t="s">
        <v>1455</v>
      </c>
      <c r="G63">
        <v>38.478999999999999</v>
      </c>
      <c r="H63">
        <v>1.1434128903375E-2</v>
      </c>
      <c r="I63">
        <v>46.808</v>
      </c>
      <c r="J63">
        <v>3.0858906223212301E-3</v>
      </c>
      <c r="K63" t="s">
        <v>1001</v>
      </c>
      <c r="L63" t="s">
        <v>940</v>
      </c>
    </row>
    <row r="64" spans="1:12" x14ac:dyDescent="0.35">
      <c r="A64">
        <v>3.1711964087017402E-2</v>
      </c>
      <c r="B64">
        <v>2.1519541922931699E-2</v>
      </c>
      <c r="C64">
        <v>3.7630817464174598E-2</v>
      </c>
      <c r="D64">
        <v>1.6508679737656601E-2</v>
      </c>
      <c r="E64" t="s">
        <v>1517</v>
      </c>
      <c r="F64" t="s">
        <v>1455</v>
      </c>
      <c r="G64">
        <v>38.835999999999999</v>
      </c>
      <c r="H64">
        <v>9.2777878843004497E-3</v>
      </c>
      <c r="I64">
        <v>47</v>
      </c>
      <c r="J64">
        <v>4.1018629294138397E-3</v>
      </c>
      <c r="K64" t="s">
        <v>1002</v>
      </c>
      <c r="L64" t="s">
        <v>940</v>
      </c>
    </row>
    <row r="65" spans="1:12" x14ac:dyDescent="0.35">
      <c r="A65">
        <v>2.8237310351865798E-2</v>
      </c>
      <c r="B65">
        <v>2.6513418939119401E-2</v>
      </c>
      <c r="C65">
        <v>4.0884190168569902E-2</v>
      </c>
      <c r="D65">
        <v>2.40435812756121E-2</v>
      </c>
      <c r="E65" t="s">
        <v>1518</v>
      </c>
      <c r="F65" t="s">
        <v>1455</v>
      </c>
      <c r="G65">
        <v>39.226999999999997</v>
      </c>
      <c r="H65">
        <v>1.0067978164589601E-2</v>
      </c>
      <c r="I65">
        <v>47.28</v>
      </c>
      <c r="J65">
        <v>5.9574468085106204E-3</v>
      </c>
      <c r="K65" t="s">
        <v>1003</v>
      </c>
      <c r="L65" t="s">
        <v>940</v>
      </c>
    </row>
    <row r="66" spans="1:12" x14ac:dyDescent="0.35">
      <c r="A66">
        <v>2.86487834236928E-2</v>
      </c>
      <c r="B66">
        <v>-1.00878062845416E-2</v>
      </c>
      <c r="C66">
        <v>1.47648166353573E-2</v>
      </c>
      <c r="D66">
        <v>2.5106061305751201E-2</v>
      </c>
      <c r="E66" t="s">
        <v>1519</v>
      </c>
      <c r="F66" t="s">
        <v>1455</v>
      </c>
      <c r="G66">
        <v>39.371000000000002</v>
      </c>
      <c r="H66">
        <v>3.6709409335409201E-3</v>
      </c>
      <c r="I66">
        <v>47.573999999999998</v>
      </c>
      <c r="J66">
        <v>6.2182741116749698E-3</v>
      </c>
      <c r="K66" t="s">
        <v>1004</v>
      </c>
      <c r="L66" t="s">
        <v>940</v>
      </c>
    </row>
    <row r="67" spans="1:12" x14ac:dyDescent="0.35">
      <c r="A67">
        <v>-4.2153079272678803E-3</v>
      </c>
      <c r="B67">
        <v>-9.8843189037382002E-3</v>
      </c>
      <c r="C67">
        <v>1.2042523964300099E-2</v>
      </c>
      <c r="D67">
        <v>4.1753162692227598E-2</v>
      </c>
      <c r="E67" t="s">
        <v>1520</v>
      </c>
      <c r="F67" t="s">
        <v>1455</v>
      </c>
      <c r="G67">
        <v>39.488999999999997</v>
      </c>
      <c r="H67">
        <v>2.9971298671609401E-3</v>
      </c>
      <c r="I67">
        <v>48.063000000000002</v>
      </c>
      <c r="J67">
        <v>1.02787236725943E-2</v>
      </c>
      <c r="K67" t="s">
        <v>1005</v>
      </c>
      <c r="L67" t="s">
        <v>940</v>
      </c>
    </row>
    <row r="68" spans="1:12" x14ac:dyDescent="0.35">
      <c r="A68">
        <v>2.1224970793817698E-2</v>
      </c>
      <c r="B68">
        <v>5.6401548408471199E-3</v>
      </c>
      <c r="C68">
        <v>3.4679470629119601E-2</v>
      </c>
      <c r="D68">
        <v>3.6953475595025202E-2</v>
      </c>
      <c r="E68" t="s">
        <v>1521</v>
      </c>
      <c r="F68" t="s">
        <v>1455</v>
      </c>
      <c r="G68">
        <v>39.826999999999998</v>
      </c>
      <c r="H68">
        <v>8.5593456405581598E-3</v>
      </c>
      <c r="I68">
        <v>48.500999999999998</v>
      </c>
      <c r="J68">
        <v>9.1130391361338194E-3</v>
      </c>
      <c r="K68" t="s">
        <v>1006</v>
      </c>
      <c r="L68" t="s">
        <v>940</v>
      </c>
    </row>
    <row r="69" spans="1:12" x14ac:dyDescent="0.35">
      <c r="A69">
        <v>2.4413629868112598E-2</v>
      </c>
      <c r="B69">
        <v>4.55022354216461E-3</v>
      </c>
      <c r="C69">
        <v>5.3779833992726497E-2</v>
      </c>
      <c r="D69">
        <v>4.4006184582173501E-2</v>
      </c>
      <c r="E69" t="s">
        <v>1522</v>
      </c>
      <c r="F69" t="s">
        <v>1455</v>
      </c>
      <c r="G69">
        <v>40.351999999999997</v>
      </c>
      <c r="H69">
        <v>1.3182012202777E-2</v>
      </c>
      <c r="I69">
        <v>49.026000000000003</v>
      </c>
      <c r="J69">
        <v>1.08245190820808E-2</v>
      </c>
      <c r="K69" t="s">
        <v>1007</v>
      </c>
      <c r="L69" t="s">
        <v>940</v>
      </c>
    </row>
    <row r="70" spans="1:12" x14ac:dyDescent="0.35">
      <c r="A70">
        <v>3.8220568833408297E-2</v>
      </c>
      <c r="B70">
        <v>-6.8268953681047701E-3</v>
      </c>
      <c r="C70">
        <v>6.6318650583382599E-2</v>
      </c>
      <c r="D70">
        <v>2.5866237951436302E-2</v>
      </c>
      <c r="E70" t="s">
        <v>1523</v>
      </c>
      <c r="F70" t="s">
        <v>1455</v>
      </c>
      <c r="G70">
        <v>41.005000000000003</v>
      </c>
      <c r="H70">
        <v>1.61825931800159E-2</v>
      </c>
      <c r="I70">
        <v>49.34</v>
      </c>
      <c r="J70">
        <v>6.4047648186675897E-3</v>
      </c>
      <c r="K70" t="s">
        <v>1008</v>
      </c>
      <c r="L70" t="s">
        <v>940</v>
      </c>
    </row>
    <row r="71" spans="1:12" x14ac:dyDescent="0.35">
      <c r="A71">
        <v>3.9129087464599803E-2</v>
      </c>
      <c r="B71">
        <v>1.9164012541417402E-2</v>
      </c>
      <c r="C71">
        <v>5.3726223643289599E-2</v>
      </c>
      <c r="D71">
        <v>3.4070959420577702E-2</v>
      </c>
      <c r="E71" t="s">
        <v>1524</v>
      </c>
      <c r="F71" t="s">
        <v>1455</v>
      </c>
      <c r="G71">
        <v>41.545000000000002</v>
      </c>
      <c r="H71">
        <v>1.3169125716376E-2</v>
      </c>
      <c r="I71">
        <v>49.755000000000003</v>
      </c>
      <c r="J71">
        <v>8.4110255370895004E-3</v>
      </c>
      <c r="K71" t="s">
        <v>1009</v>
      </c>
      <c r="L71" t="s">
        <v>940</v>
      </c>
    </row>
    <row r="72" spans="1:12" x14ac:dyDescent="0.35">
      <c r="A72">
        <v>3.8454021368670203E-2</v>
      </c>
      <c r="B72">
        <v>2.9219770282175001E-2</v>
      </c>
      <c r="C72">
        <v>5.1713813262120399E-2</v>
      </c>
      <c r="D72">
        <v>3.6092988240003197E-2</v>
      </c>
      <c r="E72" t="s">
        <v>1525</v>
      </c>
      <c r="F72" t="s">
        <v>1455</v>
      </c>
      <c r="G72">
        <v>42.072000000000003</v>
      </c>
      <c r="H72">
        <v>1.2685040317727899E-2</v>
      </c>
      <c r="I72">
        <v>50.198</v>
      </c>
      <c r="J72">
        <v>8.9036277761027592E-3</v>
      </c>
      <c r="K72" t="s">
        <v>1010</v>
      </c>
      <c r="L72" t="s">
        <v>940</v>
      </c>
    </row>
    <row r="73" spans="1:12" x14ac:dyDescent="0.35">
      <c r="A73">
        <v>3.5013174112648898E-2</v>
      </c>
      <c r="B73">
        <v>8.3996255435596599E-3</v>
      </c>
      <c r="C73">
        <v>2.4659104438458999E-2</v>
      </c>
      <c r="D73">
        <v>2.13651369698558E-2</v>
      </c>
      <c r="E73" t="s">
        <v>1526</v>
      </c>
      <c r="F73" t="s">
        <v>1455</v>
      </c>
      <c r="G73">
        <v>42.329000000000001</v>
      </c>
      <c r="H73">
        <v>6.1085757748620103E-3</v>
      </c>
      <c r="I73">
        <v>50.463999999999999</v>
      </c>
      <c r="J73">
        <v>5.29901589704762E-3</v>
      </c>
      <c r="K73" t="s">
        <v>1011</v>
      </c>
      <c r="L73" t="s">
        <v>940</v>
      </c>
    </row>
    <row r="74" spans="1:12" x14ac:dyDescent="0.35">
      <c r="A74">
        <v>3.19577361885768E-2</v>
      </c>
      <c r="B74">
        <v>5.5666299963321703E-2</v>
      </c>
      <c r="C74">
        <v>1.7884305064996799E-2</v>
      </c>
      <c r="D74">
        <v>3.2571809116936898E-2</v>
      </c>
      <c r="E74" t="s">
        <v>1527</v>
      </c>
      <c r="F74" t="s">
        <v>1455</v>
      </c>
      <c r="G74">
        <v>42.517000000000003</v>
      </c>
      <c r="H74">
        <v>4.4413995133361101E-3</v>
      </c>
      <c r="I74">
        <v>50.87</v>
      </c>
      <c r="J74">
        <v>8.0453392517438899E-3</v>
      </c>
      <c r="K74" t="s">
        <v>1012</v>
      </c>
      <c r="L74" t="s">
        <v>940</v>
      </c>
    </row>
    <row r="75" spans="1:12" x14ac:dyDescent="0.35">
      <c r="A75">
        <v>4.4899260052234199E-2</v>
      </c>
      <c r="B75">
        <v>3.99278081765242E-2</v>
      </c>
      <c r="C75">
        <v>4.3789897152202203E-2</v>
      </c>
      <c r="D75">
        <v>2.2279292577718199E-2</v>
      </c>
      <c r="E75" t="s">
        <v>1528</v>
      </c>
      <c r="F75" t="s">
        <v>1455</v>
      </c>
      <c r="G75">
        <v>42.975000000000001</v>
      </c>
      <c r="H75">
        <v>1.0772161723545901E-2</v>
      </c>
      <c r="I75">
        <v>51.151000000000003</v>
      </c>
      <c r="J75">
        <v>5.5238844112444098E-3</v>
      </c>
      <c r="K75" t="s">
        <v>1013</v>
      </c>
      <c r="L75" t="s">
        <v>940</v>
      </c>
    </row>
    <row r="76" spans="1:12" x14ac:dyDescent="0.35">
      <c r="A76">
        <v>5.0215068802573502E-2</v>
      </c>
      <c r="B76">
        <v>2.3053377277420399E-2</v>
      </c>
      <c r="C76">
        <v>3.6032445200426998E-2</v>
      </c>
      <c r="D76">
        <v>2.6056753006691701E-2</v>
      </c>
      <c r="E76" t="s">
        <v>1529</v>
      </c>
      <c r="F76" t="s">
        <v>1455</v>
      </c>
      <c r="G76">
        <v>43.356999999999999</v>
      </c>
      <c r="H76">
        <v>8.8888888888889496E-3</v>
      </c>
      <c r="I76">
        <v>51.481000000000002</v>
      </c>
      <c r="J76">
        <v>6.45148677445206E-3</v>
      </c>
      <c r="K76" t="s">
        <v>1014</v>
      </c>
      <c r="L76" t="s">
        <v>940</v>
      </c>
    </row>
    <row r="77" spans="1:12" x14ac:dyDescent="0.35">
      <c r="A77">
        <v>4.1025346631292002E-2</v>
      </c>
      <c r="B77">
        <v>3.2561998713341901E-2</v>
      </c>
      <c r="C77">
        <v>5.2865449677459202E-2</v>
      </c>
      <c r="D77">
        <v>2.13020937510979E-2</v>
      </c>
      <c r="E77" t="s">
        <v>1530</v>
      </c>
      <c r="F77" t="s">
        <v>1455</v>
      </c>
      <c r="G77">
        <v>43.918999999999997</v>
      </c>
      <c r="H77">
        <v>1.29621514403671E-2</v>
      </c>
      <c r="I77">
        <v>51.753</v>
      </c>
      <c r="J77">
        <v>5.2835026514637101E-3</v>
      </c>
      <c r="K77" t="s">
        <v>1015</v>
      </c>
      <c r="L77" t="s">
        <v>940</v>
      </c>
    </row>
    <row r="78" spans="1:12" x14ac:dyDescent="0.35">
      <c r="A78">
        <v>4.6770164599538401E-2</v>
      </c>
      <c r="B78">
        <v>3.00519488200592E-2</v>
      </c>
      <c r="C78">
        <v>6.2050852369377699E-2</v>
      </c>
      <c r="D78">
        <v>1.9463013158635498E-2</v>
      </c>
      <c r="E78" t="s">
        <v>1531</v>
      </c>
      <c r="F78" t="s">
        <v>1455</v>
      </c>
      <c r="G78">
        <v>44.585000000000001</v>
      </c>
      <c r="H78">
        <v>1.5164279696714401E-2</v>
      </c>
      <c r="I78">
        <v>52.003</v>
      </c>
      <c r="J78">
        <v>4.8306378374200999E-3</v>
      </c>
      <c r="K78" t="s">
        <v>1016</v>
      </c>
      <c r="L78" t="s">
        <v>940</v>
      </c>
    </row>
    <row r="79" spans="1:12" x14ac:dyDescent="0.35">
      <c r="A79">
        <v>5.4994617531312101E-2</v>
      </c>
      <c r="B79">
        <v>2.9679316947533299E-2</v>
      </c>
      <c r="C79">
        <v>6.0821876360983101E-2</v>
      </c>
      <c r="D79">
        <v>3.2856918868300999E-2</v>
      </c>
      <c r="E79" t="s">
        <v>1532</v>
      </c>
      <c r="F79" t="s">
        <v>1455</v>
      </c>
      <c r="G79">
        <v>45.247999999999998</v>
      </c>
      <c r="H79">
        <v>1.48704721318829E-2</v>
      </c>
      <c r="I79">
        <v>52.424999999999997</v>
      </c>
      <c r="J79">
        <v>8.1149164471279196E-3</v>
      </c>
      <c r="K79" t="s">
        <v>1017</v>
      </c>
      <c r="L79" t="s">
        <v>940</v>
      </c>
    </row>
    <row r="80" spans="1:12" x14ac:dyDescent="0.35">
      <c r="A80">
        <v>2.3822978628153201E-2</v>
      </c>
      <c r="B80">
        <v>2.0057150963272801E-2</v>
      </c>
      <c r="C80">
        <v>3.9922896172757301E-2</v>
      </c>
      <c r="D80">
        <v>3.0012482573731999E-2</v>
      </c>
      <c r="E80" t="s">
        <v>1533</v>
      </c>
      <c r="F80" t="s">
        <v>1455</v>
      </c>
      <c r="G80">
        <v>45.692999999999998</v>
      </c>
      <c r="H80">
        <v>9.8346888260254506E-3</v>
      </c>
      <c r="I80">
        <v>52.814</v>
      </c>
      <c r="J80">
        <v>7.4201239866476002E-3</v>
      </c>
      <c r="K80" t="s">
        <v>1018</v>
      </c>
      <c r="L80" t="s">
        <v>940</v>
      </c>
    </row>
    <row r="81" spans="1:12" x14ac:dyDescent="0.35">
      <c r="A81">
        <v>3.1803231650019199E-2</v>
      </c>
      <c r="B81">
        <v>1.4432124176051201E-2</v>
      </c>
      <c r="C81">
        <v>6.0046453160524503E-2</v>
      </c>
      <c r="D81">
        <v>2.2222434897181301E-2</v>
      </c>
      <c r="E81" t="s">
        <v>1534</v>
      </c>
      <c r="F81" t="s">
        <v>1455</v>
      </c>
      <c r="G81">
        <v>46.363999999999997</v>
      </c>
      <c r="H81">
        <v>1.46849626857506E-2</v>
      </c>
      <c r="I81">
        <v>53.104999999999997</v>
      </c>
      <c r="J81">
        <v>5.5099026773204303E-3</v>
      </c>
      <c r="K81" t="s">
        <v>1019</v>
      </c>
      <c r="L81" t="s">
        <v>940</v>
      </c>
    </row>
    <row r="82" spans="1:12" x14ac:dyDescent="0.35">
      <c r="A82">
        <v>5.92740793130948E-2</v>
      </c>
      <c r="B82">
        <v>2.8330647899498702E-2</v>
      </c>
      <c r="C82">
        <v>6.4935137330784501E-2</v>
      </c>
      <c r="D82">
        <v>2.9085137772108E-2</v>
      </c>
      <c r="E82" t="s">
        <v>1535</v>
      </c>
      <c r="F82" t="s">
        <v>1455</v>
      </c>
      <c r="G82">
        <v>47.098999999999997</v>
      </c>
      <c r="H82">
        <v>1.5852816840652199E-2</v>
      </c>
      <c r="I82">
        <v>53.487000000000002</v>
      </c>
      <c r="J82">
        <v>7.1932962997835999E-3</v>
      </c>
      <c r="K82" t="s">
        <v>1020</v>
      </c>
      <c r="L82" t="s">
        <v>940</v>
      </c>
    </row>
    <row r="83" spans="1:12" x14ac:dyDescent="0.35">
      <c r="A83">
        <v>3.6833081072387398E-2</v>
      </c>
      <c r="B83">
        <v>7.0464261662823505E-2</v>
      </c>
      <c r="C83">
        <v>4.34077415784246E-2</v>
      </c>
      <c r="D83">
        <v>3.5768290293157798E-2</v>
      </c>
      <c r="E83" t="s">
        <v>1536</v>
      </c>
      <c r="F83" t="s">
        <v>1455</v>
      </c>
      <c r="G83">
        <v>47.601999999999997</v>
      </c>
      <c r="H83">
        <v>1.0679632263954599E-2</v>
      </c>
      <c r="I83">
        <v>53.959000000000003</v>
      </c>
      <c r="J83">
        <v>8.8245741955990092E-3</v>
      </c>
      <c r="K83" t="s">
        <v>1021</v>
      </c>
      <c r="L83" t="s">
        <v>940</v>
      </c>
    </row>
    <row r="84" spans="1:12" x14ac:dyDescent="0.35">
      <c r="A84">
        <v>5.1769155239957503E-2</v>
      </c>
      <c r="B84">
        <v>5.3870047588526803E-3</v>
      </c>
      <c r="C84">
        <v>5.9429132401131797E-2</v>
      </c>
      <c r="D84">
        <v>3.9413809912278698E-2</v>
      </c>
      <c r="E84" t="s">
        <v>1537</v>
      </c>
      <c r="F84" t="s">
        <v>1455</v>
      </c>
      <c r="G84">
        <v>48.293999999999997</v>
      </c>
      <c r="H84">
        <v>1.4537204319146299E-2</v>
      </c>
      <c r="I84">
        <v>54.482999999999997</v>
      </c>
      <c r="J84">
        <v>9.7110769287791499E-3</v>
      </c>
      <c r="K84" t="s">
        <v>1022</v>
      </c>
      <c r="L84" t="s">
        <v>940</v>
      </c>
    </row>
    <row r="85" spans="1:12" x14ac:dyDescent="0.35">
      <c r="A85">
        <v>5.3985249536158401E-2</v>
      </c>
      <c r="B85">
        <v>4.8480456964960797E-2</v>
      </c>
      <c r="C85">
        <v>7.7879333039596599E-2</v>
      </c>
      <c r="D85">
        <v>1.0688095589023601E-2</v>
      </c>
      <c r="E85" t="s">
        <v>1538</v>
      </c>
      <c r="F85" t="s">
        <v>1455</v>
      </c>
      <c r="G85">
        <v>49.207999999999998</v>
      </c>
      <c r="H85">
        <v>1.8925746469540702E-2</v>
      </c>
      <c r="I85">
        <v>54.628</v>
      </c>
      <c r="J85">
        <v>2.66138061413668E-3</v>
      </c>
      <c r="K85" t="s">
        <v>1023</v>
      </c>
      <c r="L85" t="s">
        <v>940</v>
      </c>
    </row>
    <row r="86" spans="1:12" x14ac:dyDescent="0.35">
      <c r="A86">
        <v>2.1158982786186002E-2</v>
      </c>
      <c r="B86">
        <v>3.6386290478485302E-2</v>
      </c>
      <c r="C86">
        <v>1.91574066493869E-2</v>
      </c>
      <c r="D86">
        <v>7.9315148019272197E-3</v>
      </c>
      <c r="E86" t="s">
        <v>1539</v>
      </c>
      <c r="F86" t="s">
        <v>1455</v>
      </c>
      <c r="G86">
        <v>49.442</v>
      </c>
      <c r="H86">
        <v>4.7553243375060301E-3</v>
      </c>
      <c r="I86">
        <v>54.735999999999997</v>
      </c>
      <c r="J86">
        <v>1.9770081276999601E-3</v>
      </c>
      <c r="K86" t="s">
        <v>1024</v>
      </c>
      <c r="L86" t="s">
        <v>940</v>
      </c>
    </row>
    <row r="87" spans="1:12" x14ac:dyDescent="0.35">
      <c r="A87">
        <v>2.2052154501282398E-2</v>
      </c>
      <c r="B87">
        <v>1.9883287825612099E-2</v>
      </c>
      <c r="C87">
        <v>2.5316754451185201E-2</v>
      </c>
      <c r="D87">
        <v>2.0767815828135701E-2</v>
      </c>
      <c r="E87" t="s">
        <v>1540</v>
      </c>
      <c r="F87" t="s">
        <v>1455</v>
      </c>
      <c r="G87">
        <v>49.752000000000002</v>
      </c>
      <c r="H87">
        <v>6.2699728975366097E-3</v>
      </c>
      <c r="I87">
        <v>55.018000000000001</v>
      </c>
      <c r="J87">
        <v>5.1520023384976597E-3</v>
      </c>
      <c r="K87" t="s">
        <v>1025</v>
      </c>
      <c r="L87" t="s">
        <v>940</v>
      </c>
    </row>
    <row r="88" spans="1:12" x14ac:dyDescent="0.35">
      <c r="A88">
        <v>2.7438615126695699E-2</v>
      </c>
      <c r="B88">
        <v>5.2374465161812503E-2</v>
      </c>
      <c r="C88">
        <v>3.8739820782161899E-2</v>
      </c>
      <c r="D88">
        <v>1.0657034721188501E-2</v>
      </c>
      <c r="E88" t="s">
        <v>1541</v>
      </c>
      <c r="F88" t="s">
        <v>1455</v>
      </c>
      <c r="G88">
        <v>50.226999999999997</v>
      </c>
      <c r="H88">
        <v>9.5473548802056402E-3</v>
      </c>
      <c r="I88">
        <v>55.164000000000001</v>
      </c>
      <c r="J88">
        <v>2.6536769784435399E-3</v>
      </c>
      <c r="K88" t="s">
        <v>1026</v>
      </c>
      <c r="L88" t="s">
        <v>940</v>
      </c>
    </row>
    <row r="89" spans="1:12" x14ac:dyDescent="0.35">
      <c r="A89">
        <v>2.9370792816648401E-2</v>
      </c>
      <c r="B89">
        <v>4.1076934031538899E-2</v>
      </c>
      <c r="C89">
        <v>4.6254885206873202E-2</v>
      </c>
      <c r="D89">
        <v>-9.9690396175571294E-3</v>
      </c>
      <c r="E89" t="s">
        <v>1542</v>
      </c>
      <c r="F89" t="s">
        <v>1455</v>
      </c>
      <c r="G89">
        <v>50.798000000000002</v>
      </c>
      <c r="H89">
        <v>1.13683875206563E-2</v>
      </c>
      <c r="I89">
        <v>55.026000000000003</v>
      </c>
      <c r="J89">
        <v>-2.5016314988035599E-3</v>
      </c>
      <c r="K89" t="s">
        <v>1027</v>
      </c>
      <c r="L89" t="s">
        <v>940</v>
      </c>
    </row>
    <row r="90" spans="1:12" x14ac:dyDescent="0.35">
      <c r="A90">
        <v>2.5261592124571599E-2</v>
      </c>
      <c r="B90">
        <v>5.8581566563336001E-3</v>
      </c>
      <c r="C90">
        <v>3.8335869645315497E-2</v>
      </c>
      <c r="D90">
        <v>-1.04267601108922E-2</v>
      </c>
      <c r="E90" t="s">
        <v>1543</v>
      </c>
      <c r="F90" t="s">
        <v>1455</v>
      </c>
      <c r="G90">
        <v>51.277999999999999</v>
      </c>
      <c r="H90">
        <v>9.4491909130280903E-3</v>
      </c>
      <c r="I90">
        <v>54.881999999999998</v>
      </c>
      <c r="J90">
        <v>-2.61694471704299E-3</v>
      </c>
      <c r="K90" t="s">
        <v>1028</v>
      </c>
      <c r="L90" t="s">
        <v>940</v>
      </c>
    </row>
    <row r="91" spans="1:12" x14ac:dyDescent="0.35">
      <c r="A91">
        <v>2.6883329197386899E-2</v>
      </c>
      <c r="B91">
        <v>1.4672046081608801E-2</v>
      </c>
      <c r="C91">
        <v>5.5488923116520997E-2</v>
      </c>
      <c r="D91">
        <v>1.90848323659343E-2</v>
      </c>
      <c r="E91" t="s">
        <v>1544</v>
      </c>
      <c r="F91" t="s">
        <v>1455</v>
      </c>
      <c r="G91">
        <v>51.975000000000001</v>
      </c>
      <c r="H91">
        <v>1.35925738133313E-2</v>
      </c>
      <c r="I91">
        <v>55.142000000000003</v>
      </c>
      <c r="J91">
        <v>4.7374366823367299E-3</v>
      </c>
      <c r="K91" t="s">
        <v>1029</v>
      </c>
      <c r="L91" t="s">
        <v>940</v>
      </c>
    </row>
    <row r="92" spans="1:12" x14ac:dyDescent="0.35">
      <c r="A92">
        <v>2.57889573012124E-2</v>
      </c>
      <c r="B92">
        <v>3.5352763805176303E-2</v>
      </c>
      <c r="C92">
        <v>3.4689577494526398E-2</v>
      </c>
      <c r="D92">
        <v>8.1492648352745594E-3</v>
      </c>
      <c r="E92" t="s">
        <v>1545</v>
      </c>
      <c r="F92" t="s">
        <v>1455</v>
      </c>
      <c r="G92">
        <v>52.42</v>
      </c>
      <c r="H92">
        <v>8.5618085618086592E-3</v>
      </c>
      <c r="I92">
        <v>55.253999999999998</v>
      </c>
      <c r="J92">
        <v>2.03111965470959E-3</v>
      </c>
      <c r="K92" t="s">
        <v>1030</v>
      </c>
      <c r="L92" t="s">
        <v>940</v>
      </c>
    </row>
    <row r="93" spans="1:12" x14ac:dyDescent="0.35">
      <c r="A93">
        <v>2.8170464275272301E-2</v>
      </c>
      <c r="B93">
        <v>2.5395981622951001E-2</v>
      </c>
      <c r="C93">
        <v>2.9547347848341E-2</v>
      </c>
      <c r="D93">
        <v>1.8368205985927599E-2</v>
      </c>
      <c r="E93" t="s">
        <v>1546</v>
      </c>
      <c r="F93" t="s">
        <v>1455</v>
      </c>
      <c r="G93">
        <v>52.802999999999997</v>
      </c>
      <c r="H93">
        <v>7.3063716138877001E-3</v>
      </c>
      <c r="I93">
        <v>55.506</v>
      </c>
      <c r="J93">
        <v>4.5607557823867896E-3</v>
      </c>
      <c r="K93" t="s">
        <v>1031</v>
      </c>
      <c r="L93" t="s">
        <v>940</v>
      </c>
    </row>
    <row r="94" spans="1:12" x14ac:dyDescent="0.35">
      <c r="A94">
        <v>2.40619409805858E-2</v>
      </c>
      <c r="B94">
        <v>9.9983702538513092E-3</v>
      </c>
      <c r="C94">
        <v>2.2073085991106502E-2</v>
      </c>
      <c r="D94">
        <v>3.0096377482488099E-2</v>
      </c>
      <c r="E94" t="s">
        <v>1547</v>
      </c>
      <c r="F94" t="s">
        <v>1455</v>
      </c>
      <c r="G94">
        <v>53.091999999999999</v>
      </c>
      <c r="H94">
        <v>5.4731738726967504E-3</v>
      </c>
      <c r="I94">
        <v>55.918999999999997</v>
      </c>
      <c r="J94">
        <v>7.4406370482469298E-3</v>
      </c>
      <c r="K94" t="s">
        <v>1032</v>
      </c>
      <c r="L94" t="s">
        <v>940</v>
      </c>
    </row>
    <row r="95" spans="1:12" x14ac:dyDescent="0.35">
      <c r="A95">
        <v>2.70873737268695E-2</v>
      </c>
      <c r="B95">
        <v>1.7716185249098602E-2</v>
      </c>
      <c r="C95">
        <v>2.3867747826854101E-2</v>
      </c>
      <c r="D95">
        <v>2.3524161594785199E-2</v>
      </c>
      <c r="E95" t="s">
        <v>1548</v>
      </c>
      <c r="F95" t="s">
        <v>1455</v>
      </c>
      <c r="G95">
        <v>53.405999999999999</v>
      </c>
      <c r="H95">
        <v>5.91426203571155E-3</v>
      </c>
      <c r="I95">
        <v>56.244999999999997</v>
      </c>
      <c r="J95">
        <v>5.8298610490172802E-3</v>
      </c>
      <c r="K95" t="s">
        <v>1033</v>
      </c>
      <c r="L95" t="s">
        <v>940</v>
      </c>
    </row>
    <row r="96" spans="1:12" x14ac:dyDescent="0.35">
      <c r="A96">
        <v>1.7542540867755401E-2</v>
      </c>
      <c r="B96">
        <v>2.9283418694515902E-2</v>
      </c>
      <c r="C96">
        <v>1.3096071782226999E-2</v>
      </c>
      <c r="D96">
        <v>4.0598599880798903E-3</v>
      </c>
      <c r="E96" t="s">
        <v>1549</v>
      </c>
      <c r="F96" t="s">
        <v>1455</v>
      </c>
      <c r="G96">
        <v>53.58</v>
      </c>
      <c r="H96">
        <v>3.2580608920345102E-3</v>
      </c>
      <c r="I96">
        <v>56.302</v>
      </c>
      <c r="J96">
        <v>1.01342341541466E-3</v>
      </c>
      <c r="K96" t="s">
        <v>1034</v>
      </c>
      <c r="L96" t="s">
        <v>940</v>
      </c>
    </row>
    <row r="97" spans="1:12" x14ac:dyDescent="0.35">
      <c r="A97">
        <v>2.3240038949048102E-2</v>
      </c>
      <c r="B97">
        <v>3.6370296177081797E-2</v>
      </c>
      <c r="C97">
        <v>2.0612838101556001E-2</v>
      </c>
      <c r="D97">
        <v>1.8816279960193898E-2</v>
      </c>
      <c r="E97" t="s">
        <v>1550</v>
      </c>
      <c r="F97" t="s">
        <v>1455</v>
      </c>
      <c r="G97">
        <v>53.853999999999999</v>
      </c>
      <c r="H97">
        <v>5.1138484509145599E-3</v>
      </c>
      <c r="I97">
        <v>56.564999999999998</v>
      </c>
      <c r="J97">
        <v>4.6712372562254202E-3</v>
      </c>
      <c r="K97" t="s">
        <v>1035</v>
      </c>
      <c r="L97" t="s">
        <v>940</v>
      </c>
    </row>
    <row r="98" spans="1:12" x14ac:dyDescent="0.35">
      <c r="A98">
        <v>1.4387423449919501E-2</v>
      </c>
      <c r="B98">
        <v>1.8449816517922799E-2</v>
      </c>
      <c r="C98">
        <v>3.3921123111567301E-2</v>
      </c>
      <c r="D98">
        <v>2.9526755688726598E-2</v>
      </c>
      <c r="E98" t="s">
        <v>1551</v>
      </c>
      <c r="F98" t="s">
        <v>1455</v>
      </c>
      <c r="G98">
        <v>54.305</v>
      </c>
      <c r="H98">
        <v>8.3744940023024999E-3</v>
      </c>
      <c r="I98">
        <v>56.978000000000002</v>
      </c>
      <c r="J98">
        <v>7.3013347476356101E-3</v>
      </c>
      <c r="K98" t="s">
        <v>1036</v>
      </c>
      <c r="L98" t="s">
        <v>940</v>
      </c>
    </row>
    <row r="99" spans="1:12" x14ac:dyDescent="0.35">
      <c r="A99">
        <v>2.2496438657089599E-2</v>
      </c>
      <c r="B99">
        <v>3.3991498444716703E-2</v>
      </c>
      <c r="C99">
        <v>2.3479894269272002E-2</v>
      </c>
      <c r="D99">
        <v>1.7453105874537699E-2</v>
      </c>
      <c r="E99" t="s">
        <v>1552</v>
      </c>
      <c r="F99" t="s">
        <v>1455</v>
      </c>
      <c r="G99">
        <v>54.621000000000002</v>
      </c>
      <c r="H99">
        <v>5.8189853604639899E-3</v>
      </c>
      <c r="I99">
        <v>57.225000000000001</v>
      </c>
      <c r="J99">
        <v>4.3350064937344203E-3</v>
      </c>
      <c r="K99" t="s">
        <v>1037</v>
      </c>
      <c r="L99" t="s">
        <v>940</v>
      </c>
    </row>
    <row r="100" spans="1:12" x14ac:dyDescent="0.35">
      <c r="A100">
        <v>2.90726218207682E-2</v>
      </c>
      <c r="B100">
        <v>2.3185974053502999E-2</v>
      </c>
      <c r="C100">
        <v>3.5391871305663798E-2</v>
      </c>
      <c r="D100">
        <v>3.5482240520336501E-2</v>
      </c>
      <c r="E100" t="s">
        <v>1553</v>
      </c>
      <c r="F100" t="s">
        <v>1455</v>
      </c>
      <c r="G100">
        <v>55.097999999999999</v>
      </c>
      <c r="H100">
        <v>8.7329049266764401E-3</v>
      </c>
      <c r="I100">
        <v>57.725999999999999</v>
      </c>
      <c r="J100">
        <v>8.7549148099605994E-3</v>
      </c>
      <c r="K100" t="s">
        <v>1038</v>
      </c>
      <c r="L100" t="s">
        <v>940</v>
      </c>
    </row>
    <row r="101" spans="1:12" x14ac:dyDescent="0.35">
      <c r="A101">
        <v>1.88663260541506E-2</v>
      </c>
      <c r="B101">
        <v>3.3254108726641599E-2</v>
      </c>
      <c r="C101">
        <v>3.4634574022881899E-2</v>
      </c>
      <c r="D101">
        <v>3.3748767658719397E-2</v>
      </c>
      <c r="E101" t="s">
        <v>1554</v>
      </c>
      <c r="F101" t="s">
        <v>1455</v>
      </c>
      <c r="G101">
        <v>55.569000000000003</v>
      </c>
      <c r="H101">
        <v>8.5484046607862095E-3</v>
      </c>
      <c r="I101">
        <v>58.207000000000001</v>
      </c>
      <c r="J101">
        <v>8.3324671725046907E-3</v>
      </c>
      <c r="K101" t="s">
        <v>1039</v>
      </c>
      <c r="L101" t="s">
        <v>940</v>
      </c>
    </row>
    <row r="102" spans="1:12" x14ac:dyDescent="0.35">
      <c r="A102">
        <v>1.9752209109685798E-2</v>
      </c>
      <c r="B102">
        <v>3.4122786590531799E-2</v>
      </c>
      <c r="C102">
        <v>1.8555272424330301E-2</v>
      </c>
      <c r="D102">
        <v>4.0528253340275301E-2</v>
      </c>
      <c r="E102" t="s">
        <v>1555</v>
      </c>
      <c r="F102" t="s">
        <v>1455</v>
      </c>
      <c r="G102">
        <v>55.825000000000003</v>
      </c>
      <c r="H102">
        <v>4.6068851337977001E-3</v>
      </c>
      <c r="I102">
        <v>58.787999999999997</v>
      </c>
      <c r="J102">
        <v>9.9816173312487991E-3</v>
      </c>
      <c r="K102" t="s">
        <v>1040</v>
      </c>
      <c r="L102" t="s">
        <v>940</v>
      </c>
    </row>
    <row r="103" spans="1:12" x14ac:dyDescent="0.35">
      <c r="A103">
        <v>2.3426148348960799E-2</v>
      </c>
      <c r="B103">
        <v>2.6924495262994098E-2</v>
      </c>
      <c r="C103">
        <v>3.10950653969519E-2</v>
      </c>
      <c r="D103">
        <v>2.8884969324625399E-2</v>
      </c>
      <c r="E103" t="s">
        <v>1556</v>
      </c>
      <c r="F103" t="s">
        <v>1455</v>
      </c>
      <c r="G103">
        <v>56.253999999999998</v>
      </c>
      <c r="H103">
        <v>7.6847290640393896E-3</v>
      </c>
      <c r="I103">
        <v>59.207999999999998</v>
      </c>
      <c r="J103">
        <v>7.1443151663605998E-3</v>
      </c>
      <c r="K103" t="s">
        <v>1041</v>
      </c>
      <c r="L103" t="s">
        <v>940</v>
      </c>
    </row>
    <row r="104" spans="1:12" x14ac:dyDescent="0.35">
      <c r="A104">
        <v>1.6481276503132601E-2</v>
      </c>
      <c r="B104">
        <v>2.0844963333619401E-2</v>
      </c>
      <c r="C104">
        <v>1.5303746558651399E-2</v>
      </c>
      <c r="D104">
        <v>2.2275298720186399E-2</v>
      </c>
      <c r="E104" t="s">
        <v>1557</v>
      </c>
      <c r="F104" t="s">
        <v>1455</v>
      </c>
      <c r="G104">
        <v>56.468000000000004</v>
      </c>
      <c r="H104">
        <v>3.8041739254097702E-3</v>
      </c>
      <c r="I104">
        <v>59.534999999999997</v>
      </c>
      <c r="J104">
        <v>5.5229023104985701E-3</v>
      </c>
      <c r="K104" t="s">
        <v>1042</v>
      </c>
      <c r="L104" t="s">
        <v>940</v>
      </c>
    </row>
    <row r="105" spans="1:12" x14ac:dyDescent="0.35">
      <c r="A105">
        <v>1.77105887350755E-2</v>
      </c>
      <c r="B105">
        <v>5.6392491810183902E-2</v>
      </c>
      <c r="C105">
        <v>1.3670147091618101E-2</v>
      </c>
      <c r="D105">
        <v>2.3245190160411201E-2</v>
      </c>
      <c r="E105" t="s">
        <v>1558</v>
      </c>
      <c r="F105" t="s">
        <v>1455</v>
      </c>
      <c r="G105">
        <v>56.66</v>
      </c>
      <c r="H105">
        <v>3.4001558404759299E-3</v>
      </c>
      <c r="I105">
        <v>59.878</v>
      </c>
      <c r="J105">
        <v>5.7613168724279804E-3</v>
      </c>
      <c r="K105" t="s">
        <v>1043</v>
      </c>
      <c r="L105" t="s">
        <v>940</v>
      </c>
    </row>
    <row r="106" spans="1:12" x14ac:dyDescent="0.35">
      <c r="A106">
        <v>2.24149830534284E-2</v>
      </c>
      <c r="B106">
        <v>9.43340099661172E-3</v>
      </c>
      <c r="C106">
        <v>4.4785324127958097E-2</v>
      </c>
      <c r="D106">
        <v>2.1616654614663E-2</v>
      </c>
      <c r="E106" t="s">
        <v>1559</v>
      </c>
      <c r="F106" t="s">
        <v>1455</v>
      </c>
      <c r="G106">
        <v>57.283999999999999</v>
      </c>
      <c r="H106">
        <v>1.1013060360042499E-2</v>
      </c>
      <c r="I106">
        <v>60.198999999999998</v>
      </c>
      <c r="J106">
        <v>5.3609004976786804E-3</v>
      </c>
      <c r="K106" t="s">
        <v>1044</v>
      </c>
      <c r="L106" t="s">
        <v>940</v>
      </c>
    </row>
    <row r="107" spans="1:12" x14ac:dyDescent="0.35">
      <c r="A107">
        <v>2.7006131410312901E-2</v>
      </c>
      <c r="B107">
        <v>-2.1272525988481301E-2</v>
      </c>
      <c r="C107">
        <v>5.7381634098421204E-3</v>
      </c>
      <c r="D107">
        <v>4.4593389946305803E-3</v>
      </c>
      <c r="E107" t="s">
        <v>1560</v>
      </c>
      <c r="F107" t="s">
        <v>1455</v>
      </c>
      <c r="G107">
        <v>57.366</v>
      </c>
      <c r="H107">
        <v>1.4314642832204999E-3</v>
      </c>
      <c r="I107">
        <v>60.265999999999998</v>
      </c>
      <c r="J107">
        <v>1.1129752985929999E-3</v>
      </c>
      <c r="K107" t="s">
        <v>1045</v>
      </c>
      <c r="L107" t="s">
        <v>940</v>
      </c>
    </row>
    <row r="108" spans="1:12" x14ac:dyDescent="0.35">
      <c r="A108">
        <v>1.7195373350960198E-2</v>
      </c>
      <c r="B108">
        <v>2.3444846886997699E-2</v>
      </c>
      <c r="C108">
        <v>2.6760970425558899E-2</v>
      </c>
      <c r="D108">
        <v>1.9993530620905801E-2</v>
      </c>
      <c r="E108" t="s">
        <v>1561</v>
      </c>
      <c r="F108" t="s">
        <v>1455</v>
      </c>
      <c r="G108">
        <v>57.746000000000002</v>
      </c>
      <c r="H108">
        <v>6.62413276156615E-3</v>
      </c>
      <c r="I108">
        <v>60.564999999999998</v>
      </c>
      <c r="J108">
        <v>4.9613380678989998E-3</v>
      </c>
      <c r="K108" t="s">
        <v>1046</v>
      </c>
      <c r="L108" t="s">
        <v>940</v>
      </c>
    </row>
    <row r="109" spans="1:12" x14ac:dyDescent="0.35">
      <c r="A109">
        <v>2.7544322225657499E-2</v>
      </c>
      <c r="B109">
        <v>1.3803868113502E-2</v>
      </c>
      <c r="C109">
        <v>3.2814056779429501E-2</v>
      </c>
      <c r="D109">
        <v>1.3007743413415899E-2</v>
      </c>
      <c r="E109" t="s">
        <v>1562</v>
      </c>
      <c r="F109" t="s">
        <v>1455</v>
      </c>
      <c r="G109">
        <v>58.213999999999999</v>
      </c>
      <c r="H109">
        <v>8.1044574515982699E-3</v>
      </c>
      <c r="I109">
        <v>60.761000000000003</v>
      </c>
      <c r="J109">
        <v>3.2361925204327201E-3</v>
      </c>
      <c r="K109" t="s">
        <v>1047</v>
      </c>
      <c r="L109" t="s">
        <v>940</v>
      </c>
    </row>
    <row r="110" spans="1:12" x14ac:dyDescent="0.35">
      <c r="A110">
        <v>1.7773223680601899E-2</v>
      </c>
      <c r="B110">
        <v>1.36962800731413E-2</v>
      </c>
      <c r="C110">
        <v>2.76992412803541E-2</v>
      </c>
      <c r="D110">
        <v>2.2772194889475902E-2</v>
      </c>
      <c r="E110" t="s">
        <v>1563</v>
      </c>
      <c r="F110" t="s">
        <v>1455</v>
      </c>
      <c r="G110">
        <v>58.613</v>
      </c>
      <c r="H110">
        <v>6.8540213694301402E-3</v>
      </c>
      <c r="I110">
        <v>61.103999999999999</v>
      </c>
      <c r="J110">
        <v>5.6450683826796402E-3</v>
      </c>
      <c r="K110" t="s">
        <v>1048</v>
      </c>
      <c r="L110" t="s">
        <v>940</v>
      </c>
    </row>
    <row r="111" spans="1:12" x14ac:dyDescent="0.35">
      <c r="A111">
        <v>1.0067171002752701E-2</v>
      </c>
      <c r="B111">
        <v>2.65913479501769E-2</v>
      </c>
      <c r="C111">
        <v>9.5884799897107999E-3</v>
      </c>
      <c r="D111">
        <v>2.7578432526699701E-2</v>
      </c>
      <c r="E111" t="s">
        <v>1564</v>
      </c>
      <c r="F111" t="s">
        <v>1455</v>
      </c>
      <c r="G111">
        <v>58.753</v>
      </c>
      <c r="H111">
        <v>2.3885486154948698E-3</v>
      </c>
      <c r="I111">
        <v>61.521000000000001</v>
      </c>
      <c r="J111">
        <v>6.8244304791831301E-3</v>
      </c>
      <c r="K111" t="s">
        <v>1049</v>
      </c>
      <c r="L111" t="s">
        <v>940</v>
      </c>
    </row>
    <row r="112" spans="1:12" x14ac:dyDescent="0.35">
      <c r="A112">
        <v>1.05839184448571E-2</v>
      </c>
      <c r="B112">
        <v>9.2223862003817398E-3</v>
      </c>
      <c r="C112">
        <v>1.9268623425193102E-2</v>
      </c>
      <c r="D112">
        <v>1.0181522541022199E-2</v>
      </c>
      <c r="E112" t="s">
        <v>1565</v>
      </c>
      <c r="F112" t="s">
        <v>1455</v>
      </c>
      <c r="G112">
        <v>59.033999999999999</v>
      </c>
      <c r="H112">
        <v>4.7827344986639498E-3</v>
      </c>
      <c r="I112">
        <v>61.677</v>
      </c>
      <c r="J112">
        <v>2.5357195104109801E-3</v>
      </c>
      <c r="K112" t="s">
        <v>1050</v>
      </c>
      <c r="L112" t="s">
        <v>940</v>
      </c>
    </row>
    <row r="113" spans="1:12" x14ac:dyDescent="0.35">
      <c r="A113">
        <v>1.26121897911931E-2</v>
      </c>
      <c r="B113">
        <v>2.8333969394931401E-2</v>
      </c>
      <c r="C113">
        <v>3.3061309623051399E-2</v>
      </c>
      <c r="D113">
        <v>2.5996696664996499E-2</v>
      </c>
      <c r="E113" t="s">
        <v>1566</v>
      </c>
      <c r="F113" t="s">
        <v>1455</v>
      </c>
      <c r="G113">
        <v>59.515999999999998</v>
      </c>
      <c r="H113">
        <v>8.1647863942813093E-3</v>
      </c>
      <c r="I113">
        <v>62.073999999999998</v>
      </c>
      <c r="J113">
        <v>6.4367592457479396E-3</v>
      </c>
      <c r="K113" t="s">
        <v>1051</v>
      </c>
      <c r="L113" t="s">
        <v>940</v>
      </c>
    </row>
    <row r="114" spans="1:12" x14ac:dyDescent="0.35">
      <c r="A114">
        <v>3.2090280398078302E-4</v>
      </c>
      <c r="B114">
        <v>-1.66473304304918E-2</v>
      </c>
      <c r="C114">
        <v>6.3326118015940604E-3</v>
      </c>
      <c r="D114">
        <v>1.3539104320199301E-3</v>
      </c>
      <c r="E114" t="s">
        <v>1567</v>
      </c>
      <c r="F114" t="s">
        <v>1455</v>
      </c>
      <c r="G114">
        <v>59.61</v>
      </c>
      <c r="H114">
        <v>1.57940721822714E-3</v>
      </c>
      <c r="I114">
        <v>62.094999999999999</v>
      </c>
      <c r="J114">
        <v>3.3830589296646201E-4</v>
      </c>
      <c r="K114" t="s">
        <v>1052</v>
      </c>
      <c r="L114" t="s">
        <v>940</v>
      </c>
    </row>
    <row r="115" spans="1:12" x14ac:dyDescent="0.35">
      <c r="A115">
        <v>7.2384308298694099E-3</v>
      </c>
      <c r="B115">
        <v>2.5981704959145799E-2</v>
      </c>
      <c r="C115">
        <v>2.14418814289523E-2</v>
      </c>
      <c r="D115">
        <v>2.5146473935451202E-3</v>
      </c>
      <c r="E115" t="s">
        <v>1568</v>
      </c>
      <c r="F115" t="s">
        <v>1455</v>
      </c>
      <c r="G115">
        <v>59.927</v>
      </c>
      <c r="H115">
        <v>5.3178996812615099E-3</v>
      </c>
      <c r="I115">
        <v>62.134</v>
      </c>
      <c r="J115">
        <v>6.2806989290598004E-4</v>
      </c>
      <c r="K115" t="s">
        <v>1053</v>
      </c>
      <c r="L115" t="s">
        <v>940</v>
      </c>
    </row>
    <row r="116" spans="1:12" x14ac:dyDescent="0.35">
      <c r="A116">
        <v>1.2387156771827E-2</v>
      </c>
      <c r="B116">
        <v>2.6407820145390601E-2</v>
      </c>
      <c r="C116">
        <v>3.1605845001569703E-2</v>
      </c>
      <c r="D116">
        <v>2.4885302644445099E-2</v>
      </c>
      <c r="E116" t="s">
        <v>1569</v>
      </c>
      <c r="F116" t="s">
        <v>1455</v>
      </c>
      <c r="G116">
        <v>60.395000000000003</v>
      </c>
      <c r="H116">
        <v>7.8095015602317498E-3</v>
      </c>
      <c r="I116">
        <v>62.517000000000003</v>
      </c>
      <c r="J116">
        <v>6.1640969517495802E-3</v>
      </c>
      <c r="K116" t="s">
        <v>1054</v>
      </c>
      <c r="L116" t="s">
        <v>940</v>
      </c>
    </row>
    <row r="117" spans="1:12" x14ac:dyDescent="0.35">
      <c r="A117">
        <v>1.0631455336088899E-2</v>
      </c>
      <c r="B117">
        <v>1.29075602616771E-2</v>
      </c>
      <c r="C117">
        <v>3.6519198475668799E-2</v>
      </c>
      <c r="D117">
        <v>2.2777873103542599E-2</v>
      </c>
      <c r="E117" t="s">
        <v>1570</v>
      </c>
      <c r="F117" t="s">
        <v>1455</v>
      </c>
      <c r="G117">
        <v>60.939</v>
      </c>
      <c r="H117">
        <v>9.0073681596158899E-3</v>
      </c>
      <c r="I117">
        <v>62.87</v>
      </c>
      <c r="J117">
        <v>5.6464641617479704E-3</v>
      </c>
      <c r="K117" t="s">
        <v>1055</v>
      </c>
      <c r="L117" t="s">
        <v>940</v>
      </c>
    </row>
    <row r="118" spans="1:12" x14ac:dyDescent="0.35">
      <c r="A118">
        <v>7.8778546175835001E-3</v>
      </c>
      <c r="B118">
        <v>1.19346323256166E-2</v>
      </c>
      <c r="C118">
        <v>3.4639204699016303E-2</v>
      </c>
      <c r="D118">
        <v>1.61297394114919E-2</v>
      </c>
      <c r="E118" t="s">
        <v>1571</v>
      </c>
      <c r="F118" t="s">
        <v>1455</v>
      </c>
      <c r="G118">
        <v>61.46</v>
      </c>
      <c r="H118">
        <v>8.5495331396971998E-3</v>
      </c>
      <c r="I118">
        <v>63.122</v>
      </c>
      <c r="J118">
        <v>4.0082710354700799E-3</v>
      </c>
      <c r="K118" t="s">
        <v>1056</v>
      </c>
      <c r="L118" t="s">
        <v>940</v>
      </c>
    </row>
    <row r="119" spans="1:12" x14ac:dyDescent="0.35">
      <c r="A119">
        <v>2.2971603454798002E-2</v>
      </c>
      <c r="B119">
        <v>3.4068264295770097E-2</v>
      </c>
      <c r="C119">
        <v>6.1370356227924201E-2</v>
      </c>
      <c r="D119">
        <v>2.99883116478201E-2</v>
      </c>
      <c r="E119" t="s">
        <v>1572</v>
      </c>
      <c r="F119" t="s">
        <v>1455</v>
      </c>
      <c r="G119">
        <v>62.381999999999998</v>
      </c>
      <c r="H119">
        <v>1.5001627074519901E-2</v>
      </c>
      <c r="I119">
        <v>63.59</v>
      </c>
      <c r="J119">
        <v>7.4142137448116596E-3</v>
      </c>
      <c r="K119" t="s">
        <v>1057</v>
      </c>
      <c r="L119" t="s">
        <v>940</v>
      </c>
    </row>
    <row r="120" spans="1:12" x14ac:dyDescent="0.35">
      <c r="A120">
        <v>2.21977740334749E-2</v>
      </c>
      <c r="B120">
        <v>3.6824162588046098E-2</v>
      </c>
      <c r="C120">
        <v>5.6562220210462498E-2</v>
      </c>
      <c r="D120">
        <v>1.6964868305367399E-2</v>
      </c>
      <c r="E120" t="s">
        <v>1573</v>
      </c>
      <c r="F120" t="s">
        <v>1455</v>
      </c>
      <c r="G120">
        <v>63.246000000000002</v>
      </c>
      <c r="H120">
        <v>1.3850149081466E-2</v>
      </c>
      <c r="I120">
        <v>63.857999999999997</v>
      </c>
      <c r="J120">
        <v>4.2144991350840898E-3</v>
      </c>
      <c r="K120" t="s">
        <v>1058</v>
      </c>
      <c r="L120" t="s">
        <v>940</v>
      </c>
    </row>
    <row r="121" spans="1:12" x14ac:dyDescent="0.35">
      <c r="A121">
        <v>2.4473399596212499E-2</v>
      </c>
      <c r="B121">
        <v>5.00811045761866E-2</v>
      </c>
      <c r="C121">
        <v>4.9726482376824199E-2</v>
      </c>
      <c r="D121">
        <v>3.4513513517111301E-2</v>
      </c>
      <c r="E121" t="s">
        <v>1574</v>
      </c>
      <c r="F121" t="s">
        <v>1455</v>
      </c>
      <c r="G121">
        <v>64.018000000000001</v>
      </c>
      <c r="H121">
        <v>1.2206305537109099E-2</v>
      </c>
      <c r="I121">
        <v>64.402000000000001</v>
      </c>
      <c r="J121">
        <v>8.5189013122866104E-3</v>
      </c>
      <c r="K121" t="s">
        <v>1059</v>
      </c>
      <c r="L121" t="s">
        <v>940</v>
      </c>
    </row>
    <row r="122" spans="1:12" x14ac:dyDescent="0.35">
      <c r="A122">
        <v>3.2886107964122897E-2</v>
      </c>
      <c r="B122">
        <v>3.9540884737924602E-2</v>
      </c>
      <c r="C122">
        <v>5.7040318663066601E-2</v>
      </c>
      <c r="D122">
        <v>3.2054289459933799E-2</v>
      </c>
      <c r="E122" t="s">
        <v>1575</v>
      </c>
      <c r="F122" t="s">
        <v>1455</v>
      </c>
      <c r="G122">
        <v>64.912000000000006</v>
      </c>
      <c r="H122">
        <v>1.3964822393701899E-2</v>
      </c>
      <c r="I122">
        <v>64.912000000000006</v>
      </c>
      <c r="J122">
        <v>7.9190087264371396E-3</v>
      </c>
      <c r="K122" t="s">
        <v>1060</v>
      </c>
      <c r="L122" t="s">
        <v>940</v>
      </c>
    </row>
    <row r="123" spans="1:12" x14ac:dyDescent="0.35">
      <c r="A123">
        <v>1.9193585341739101E-2</v>
      </c>
      <c r="B123">
        <v>1.5459188057563401E-2</v>
      </c>
      <c r="C123">
        <v>4.2438786901308999E-2</v>
      </c>
      <c r="D123">
        <v>4.6322155050911397E-2</v>
      </c>
      <c r="E123" t="s">
        <v>1576</v>
      </c>
      <c r="F123" t="s">
        <v>1455</v>
      </c>
      <c r="G123">
        <v>65.59</v>
      </c>
      <c r="H123">
        <v>1.0444910032043399E-2</v>
      </c>
      <c r="I123">
        <v>65.650999999999996</v>
      </c>
      <c r="J123">
        <v>1.13846438254868E-2</v>
      </c>
      <c r="K123" t="s">
        <v>1061</v>
      </c>
      <c r="L123" t="s">
        <v>940</v>
      </c>
    </row>
    <row r="124" spans="1:12" x14ac:dyDescent="0.35">
      <c r="A124">
        <v>2.6053548554263901E-2</v>
      </c>
      <c r="B124">
        <v>2.8949345820011199E-2</v>
      </c>
      <c r="C124">
        <v>4.7728620369875199E-2</v>
      </c>
      <c r="D124">
        <v>2.6457667912965801E-2</v>
      </c>
      <c r="E124" t="s">
        <v>1577</v>
      </c>
      <c r="F124" t="s">
        <v>1455</v>
      </c>
      <c r="G124">
        <v>66.358999999999995</v>
      </c>
      <c r="H124">
        <v>1.1724348223814501E-2</v>
      </c>
      <c r="I124">
        <v>66.081000000000003</v>
      </c>
      <c r="J124">
        <v>6.5497859895509202E-3</v>
      </c>
      <c r="K124" t="s">
        <v>1062</v>
      </c>
      <c r="L124" t="s">
        <v>940</v>
      </c>
    </row>
    <row r="125" spans="1:12" x14ac:dyDescent="0.35">
      <c r="A125">
        <v>2.2816932316492001E-2</v>
      </c>
      <c r="B125">
        <v>1.82242710503548E-2</v>
      </c>
      <c r="C125">
        <v>5.7499642478727998E-2</v>
      </c>
      <c r="D125">
        <v>2.3755596803619598E-2</v>
      </c>
      <c r="E125" t="s">
        <v>1578</v>
      </c>
      <c r="F125" t="s">
        <v>1455</v>
      </c>
      <c r="G125">
        <v>67.293000000000006</v>
      </c>
      <c r="H125">
        <v>1.40749559215783E-2</v>
      </c>
      <c r="I125">
        <v>66.47</v>
      </c>
      <c r="J125">
        <v>5.8867147894250396E-3</v>
      </c>
      <c r="K125" t="s">
        <v>1063</v>
      </c>
      <c r="L125" t="s">
        <v>940</v>
      </c>
    </row>
    <row r="126" spans="1:12" x14ac:dyDescent="0.35">
      <c r="A126">
        <v>2.9937016463394299E-2</v>
      </c>
      <c r="B126">
        <v>6.8223280329673397E-3</v>
      </c>
      <c r="C126">
        <v>5.4456520671492398E-2</v>
      </c>
      <c r="D126">
        <v>2.4902004743710501E-2</v>
      </c>
      <c r="E126" t="s">
        <v>1579</v>
      </c>
      <c r="F126" t="s">
        <v>1455</v>
      </c>
      <c r="G126">
        <v>68.191000000000003</v>
      </c>
      <c r="H126">
        <v>1.33446272272004E-2</v>
      </c>
      <c r="I126">
        <v>66.88</v>
      </c>
      <c r="J126">
        <v>6.16819617872721E-3</v>
      </c>
      <c r="K126" t="s">
        <v>1064</v>
      </c>
      <c r="L126" t="s">
        <v>940</v>
      </c>
    </row>
    <row r="127" spans="1:12" x14ac:dyDescent="0.35">
      <c r="A127">
        <v>1.8884884410707199E-2</v>
      </c>
      <c r="B127">
        <v>2.1198789662036002E-2</v>
      </c>
      <c r="C127">
        <v>1.7060457300781501E-2</v>
      </c>
      <c r="D127">
        <v>1.0326833438175601E-2</v>
      </c>
      <c r="E127" t="s">
        <v>1580</v>
      </c>
      <c r="F127" t="s">
        <v>1455</v>
      </c>
      <c r="G127">
        <v>68.48</v>
      </c>
      <c r="H127">
        <v>4.2380959364138899E-3</v>
      </c>
      <c r="I127">
        <v>67.052000000000007</v>
      </c>
      <c r="J127">
        <v>2.5717703349283898E-3</v>
      </c>
      <c r="K127" t="s">
        <v>1065</v>
      </c>
      <c r="L127" t="s">
        <v>940</v>
      </c>
    </row>
    <row r="128" spans="1:12" x14ac:dyDescent="0.35">
      <c r="A128">
        <v>2.0085104332627801E-3</v>
      </c>
      <c r="B128">
        <v>2.5873085754739799E-2</v>
      </c>
      <c r="C128">
        <v>1.0084643678167899E-2</v>
      </c>
      <c r="D128">
        <v>1.25865662000337E-2</v>
      </c>
      <c r="E128" t="s">
        <v>1581</v>
      </c>
      <c r="F128" t="s">
        <v>1455</v>
      </c>
      <c r="G128">
        <v>68.652000000000001</v>
      </c>
      <c r="H128">
        <v>2.5116822429906999E-3</v>
      </c>
      <c r="I128">
        <v>67.262</v>
      </c>
      <c r="J128">
        <v>3.1318976316887502E-3</v>
      </c>
      <c r="K128" t="s">
        <v>1066</v>
      </c>
      <c r="L128" t="s">
        <v>940</v>
      </c>
    </row>
    <row r="129" spans="1:12" x14ac:dyDescent="0.35">
      <c r="A129">
        <v>1.65597149400032E-3</v>
      </c>
      <c r="B129">
        <v>2.61448943379867E-2</v>
      </c>
      <c r="C129">
        <v>4.4939487008062197E-3</v>
      </c>
      <c r="D129">
        <v>2.16417401943385E-2</v>
      </c>
      <c r="E129" t="s">
        <v>1582</v>
      </c>
      <c r="F129" t="s">
        <v>1455</v>
      </c>
      <c r="G129">
        <v>68.728999999999999</v>
      </c>
      <c r="H129">
        <v>1.1215987880905901E-3</v>
      </c>
      <c r="I129">
        <v>67.623000000000005</v>
      </c>
      <c r="J129">
        <v>5.3670720466236803E-3</v>
      </c>
      <c r="K129" t="s">
        <v>1067</v>
      </c>
      <c r="L129" t="s">
        <v>940</v>
      </c>
    </row>
    <row r="130" spans="1:12" x14ac:dyDescent="0.35">
      <c r="A130">
        <v>8.0448095256371293E-3</v>
      </c>
      <c r="B130">
        <v>2.6192779718551499E-2</v>
      </c>
      <c r="C130">
        <v>2.6210777008154801E-2</v>
      </c>
      <c r="D130">
        <v>1.77439998941584E-2</v>
      </c>
      <c r="E130" t="s">
        <v>1583</v>
      </c>
      <c r="F130" t="s">
        <v>1455</v>
      </c>
      <c r="G130">
        <v>69.174999999999997</v>
      </c>
      <c r="H130">
        <v>6.4892548996784401E-3</v>
      </c>
      <c r="I130">
        <v>67.921000000000006</v>
      </c>
      <c r="J130">
        <v>4.4067846738535801E-3</v>
      </c>
      <c r="K130" t="s">
        <v>1068</v>
      </c>
      <c r="L130" t="s">
        <v>940</v>
      </c>
    </row>
    <row r="131" spans="1:12" x14ac:dyDescent="0.35">
      <c r="A131">
        <v>2.9998743908273201E-2</v>
      </c>
      <c r="B131">
        <v>3.8349371649444103E-2</v>
      </c>
      <c r="C131">
        <v>3.99637104830428E-2</v>
      </c>
      <c r="D131">
        <v>2.19088618142655E-2</v>
      </c>
      <c r="E131" t="s">
        <v>1584</v>
      </c>
      <c r="F131" t="s">
        <v>1455</v>
      </c>
      <c r="G131">
        <v>69.855999999999995</v>
      </c>
      <c r="H131">
        <v>9.8445970365015293E-3</v>
      </c>
      <c r="I131">
        <v>68.290000000000006</v>
      </c>
      <c r="J131">
        <v>5.4327822028532599E-3</v>
      </c>
      <c r="K131" t="s">
        <v>1069</v>
      </c>
      <c r="L131" t="s">
        <v>940</v>
      </c>
    </row>
    <row r="132" spans="1:12" x14ac:dyDescent="0.35">
      <c r="A132">
        <v>2.0869776308943801E-2</v>
      </c>
      <c r="B132">
        <v>3.4801584391165798E-2</v>
      </c>
      <c r="C132">
        <v>3.3157579483975103E-2</v>
      </c>
      <c r="D132">
        <v>1.23573378485025E-2</v>
      </c>
      <c r="E132" t="s">
        <v>1585</v>
      </c>
      <c r="F132" t="s">
        <v>1455</v>
      </c>
      <c r="G132">
        <v>70.427999999999997</v>
      </c>
      <c r="H132">
        <v>8.1882730187814393E-3</v>
      </c>
      <c r="I132">
        <v>68.5</v>
      </c>
      <c r="J132">
        <v>3.07512080831729E-3</v>
      </c>
      <c r="K132" t="s">
        <v>1070</v>
      </c>
      <c r="L132" t="s">
        <v>940</v>
      </c>
    </row>
    <row r="133" spans="1:12" x14ac:dyDescent="0.35">
      <c r="A133">
        <v>1.8806157080279301E-2</v>
      </c>
      <c r="B133">
        <v>7.6203068975526894E-2</v>
      </c>
      <c r="C133">
        <v>4.04120889716926E-2</v>
      </c>
      <c r="D133">
        <v>6.9083360828583497E-3</v>
      </c>
      <c r="E133" t="s">
        <v>1586</v>
      </c>
      <c r="F133" t="s">
        <v>1455</v>
      </c>
      <c r="G133">
        <v>71.129000000000005</v>
      </c>
      <c r="H133">
        <v>9.9534276140171903E-3</v>
      </c>
      <c r="I133">
        <v>68.617999999999995</v>
      </c>
      <c r="J133">
        <v>1.7226277372262E-3</v>
      </c>
      <c r="K133" t="s">
        <v>1071</v>
      </c>
      <c r="L133" t="s">
        <v>940</v>
      </c>
    </row>
    <row r="134" spans="1:12" x14ac:dyDescent="0.35">
      <c r="A134">
        <v>3.0939531110064901E-2</v>
      </c>
      <c r="B134">
        <v>4.5343406532494003E-2</v>
      </c>
      <c r="C134">
        <v>6.4192818314913899E-2</v>
      </c>
      <c r="D134">
        <v>3.35839967225895E-2</v>
      </c>
      <c r="E134" t="s">
        <v>1587</v>
      </c>
      <c r="F134" t="s">
        <v>1455</v>
      </c>
      <c r="G134">
        <v>72.244</v>
      </c>
      <c r="H134">
        <v>1.5675744070632099E-2</v>
      </c>
      <c r="I134">
        <v>69.186999999999998</v>
      </c>
      <c r="J134">
        <v>8.2922848232243104E-3</v>
      </c>
      <c r="K134" t="s">
        <v>1072</v>
      </c>
      <c r="L134" t="s">
        <v>940</v>
      </c>
    </row>
    <row r="135" spans="1:12" x14ac:dyDescent="0.35">
      <c r="A135">
        <v>4.0077661469082298E-3</v>
      </c>
      <c r="B135">
        <v>2.8726975579467701E-2</v>
      </c>
      <c r="C135">
        <v>2.60483280529056E-3</v>
      </c>
      <c r="D135">
        <v>4.1691340309692997E-3</v>
      </c>
      <c r="E135" t="s">
        <v>1588</v>
      </c>
      <c r="F135" t="s">
        <v>1455</v>
      </c>
      <c r="G135">
        <v>72.290999999999997</v>
      </c>
      <c r="H135">
        <v>6.5057305797022703E-4</v>
      </c>
      <c r="I135">
        <v>69.259</v>
      </c>
      <c r="J135">
        <v>1.0406579270672001E-3</v>
      </c>
      <c r="K135" t="s">
        <v>1073</v>
      </c>
      <c r="L135" t="s">
        <v>940</v>
      </c>
    </row>
    <row r="136" spans="1:12" x14ac:dyDescent="0.35">
      <c r="A136">
        <v>2.6637470683258401E-2</v>
      </c>
      <c r="B136">
        <v>3.6701160751028999E-2</v>
      </c>
      <c r="C136">
        <v>3.2537484109284899E-2</v>
      </c>
      <c r="D136">
        <v>5.0920666130191998E-3</v>
      </c>
      <c r="E136" t="s">
        <v>1589</v>
      </c>
      <c r="F136" t="s">
        <v>1455</v>
      </c>
      <c r="G136">
        <v>72.872</v>
      </c>
      <c r="H136">
        <v>8.0369617241426994E-3</v>
      </c>
      <c r="I136">
        <v>69.346999999999994</v>
      </c>
      <c r="J136">
        <v>1.2705929915244299E-3</v>
      </c>
      <c r="K136" t="s">
        <v>1074</v>
      </c>
      <c r="L136" t="s">
        <v>940</v>
      </c>
    </row>
    <row r="137" spans="1:12" x14ac:dyDescent="0.35">
      <c r="A137">
        <v>1.9809591582912799E-2</v>
      </c>
      <c r="B137">
        <v>3.0297839189273201E-2</v>
      </c>
      <c r="C137">
        <v>3.6723057880070603E-2</v>
      </c>
      <c r="D137">
        <v>1.11208187291489E-2</v>
      </c>
      <c r="E137" t="s">
        <v>1590</v>
      </c>
      <c r="F137" t="s">
        <v>1455</v>
      </c>
      <c r="G137">
        <v>73.531999999999996</v>
      </c>
      <c r="H137">
        <v>9.0569766165331505E-3</v>
      </c>
      <c r="I137">
        <v>69.539000000000001</v>
      </c>
      <c r="J137">
        <v>2.7686850188184402E-3</v>
      </c>
      <c r="K137" t="s">
        <v>1075</v>
      </c>
      <c r="L137" t="s">
        <v>940</v>
      </c>
    </row>
    <row r="138" spans="1:12" x14ac:dyDescent="0.35">
      <c r="A138">
        <v>3.1204615634115699E-2</v>
      </c>
      <c r="B138">
        <v>3.4471201135703997E-2</v>
      </c>
      <c r="C138">
        <v>5.7672124037001303E-2</v>
      </c>
      <c r="D138">
        <v>2.6313046913832801E-2</v>
      </c>
      <c r="E138" t="s">
        <v>1591</v>
      </c>
      <c r="F138" t="s">
        <v>1455</v>
      </c>
      <c r="G138">
        <v>74.569999999999993</v>
      </c>
      <c r="H138">
        <v>1.41163031061307E-2</v>
      </c>
      <c r="I138">
        <v>69.992000000000004</v>
      </c>
      <c r="J138">
        <v>6.5143300881520504E-3</v>
      </c>
      <c r="K138" t="s">
        <v>1076</v>
      </c>
      <c r="L138" t="s">
        <v>940</v>
      </c>
    </row>
    <row r="139" spans="1:12" x14ac:dyDescent="0.35">
      <c r="A139">
        <v>2.7200294389546201E-2</v>
      </c>
      <c r="B139">
        <v>3.5181669062461299E-2</v>
      </c>
      <c r="C139">
        <v>5.42271951092188E-2</v>
      </c>
      <c r="D139">
        <v>7.5544557477534205E-2</v>
      </c>
      <c r="E139" t="s">
        <v>1592</v>
      </c>
      <c r="F139" t="s">
        <v>1455</v>
      </c>
      <c r="G139">
        <v>75.561000000000007</v>
      </c>
      <c r="H139">
        <v>1.3289526619284101E-2</v>
      </c>
      <c r="I139">
        <v>71.278000000000006</v>
      </c>
      <c r="J139">
        <v>1.8373528403245999E-2</v>
      </c>
      <c r="K139" t="s">
        <v>1077</v>
      </c>
      <c r="L139" t="s">
        <v>940</v>
      </c>
    </row>
    <row r="140" spans="1:12" x14ac:dyDescent="0.35">
      <c r="A140">
        <v>1.9813936050087699E-2</v>
      </c>
      <c r="B140">
        <v>3.71188179062025E-2</v>
      </c>
      <c r="C140">
        <v>5.5705667373545202E-2</v>
      </c>
      <c r="D140">
        <v>0.112118604043563</v>
      </c>
      <c r="E140" t="s">
        <v>1593</v>
      </c>
      <c r="F140" t="s">
        <v>1455</v>
      </c>
      <c r="G140">
        <v>76.591999999999999</v>
      </c>
      <c r="H140">
        <v>1.3644605021108799E-2</v>
      </c>
      <c r="I140">
        <v>73.197000000000003</v>
      </c>
      <c r="J140">
        <v>2.6922753163668899E-2</v>
      </c>
      <c r="K140" t="s">
        <v>1078</v>
      </c>
      <c r="L140" t="s">
        <v>940</v>
      </c>
    </row>
    <row r="141" spans="1:12" x14ac:dyDescent="0.35">
      <c r="A141">
        <v>3.4620969363609901E-2</v>
      </c>
      <c r="B141">
        <v>3.9499400752586601E-2</v>
      </c>
      <c r="C141">
        <v>6.4048552869122796E-2</v>
      </c>
      <c r="D141">
        <v>9.9586266592777403E-2</v>
      </c>
      <c r="E141" t="s">
        <v>1594</v>
      </c>
      <c r="F141" t="s">
        <v>1455</v>
      </c>
      <c r="G141">
        <v>77.790000000000006</v>
      </c>
      <c r="H141">
        <v>1.5641320242323099E-2</v>
      </c>
      <c r="I141">
        <v>74.954999999999998</v>
      </c>
      <c r="J141">
        <v>2.4017377761383699E-2</v>
      </c>
      <c r="K141" t="s">
        <v>1079</v>
      </c>
      <c r="L141" t="s">
        <v>940</v>
      </c>
    </row>
    <row r="142" spans="1:12" x14ac:dyDescent="0.35">
      <c r="A142">
        <v>2.34535899973984E-2</v>
      </c>
      <c r="B142">
        <v>5.3706890981395999E-2</v>
      </c>
      <c r="C142">
        <v>3.69057460702173E-2</v>
      </c>
      <c r="D142">
        <v>3.4210597371460802E-2</v>
      </c>
      <c r="E142" t="s">
        <v>1595</v>
      </c>
      <c r="F142" t="s">
        <v>1455</v>
      </c>
      <c r="G142">
        <v>78.498000000000005</v>
      </c>
      <c r="H142">
        <v>9.1014269186271406E-3</v>
      </c>
      <c r="I142">
        <v>75.587999999999994</v>
      </c>
      <c r="J142">
        <v>8.4450670402240694E-3</v>
      </c>
      <c r="K142" t="s">
        <v>1080</v>
      </c>
      <c r="L142" t="s">
        <v>940</v>
      </c>
    </row>
    <row r="143" spans="1:12" x14ac:dyDescent="0.35">
      <c r="A143">
        <v>2.5499802950129401E-2</v>
      </c>
      <c r="B143">
        <v>3.6566859174503898E-2</v>
      </c>
      <c r="C143">
        <v>4.6392177019789503E-2</v>
      </c>
      <c r="D143">
        <v>7.7400259900339399E-2</v>
      </c>
      <c r="E143" t="s">
        <v>1596</v>
      </c>
      <c r="F143" t="s">
        <v>1455</v>
      </c>
      <c r="G143">
        <v>79.393000000000001</v>
      </c>
      <c r="H143">
        <v>1.14015643710668E-2</v>
      </c>
      <c r="I143">
        <v>77.010000000000005</v>
      </c>
      <c r="J143">
        <v>1.8812509922210102E-2</v>
      </c>
      <c r="K143" t="s">
        <v>1081</v>
      </c>
      <c r="L143" t="s">
        <v>940</v>
      </c>
    </row>
    <row r="144" spans="1:12" x14ac:dyDescent="0.35">
      <c r="A144">
        <v>4.3914132970667798E-2</v>
      </c>
      <c r="B144">
        <v>4.2425430776049898E-2</v>
      </c>
      <c r="C144">
        <v>5.93159029125543E-2</v>
      </c>
      <c r="D144">
        <v>9.2099438138909306E-2</v>
      </c>
      <c r="E144" t="s">
        <v>1597</v>
      </c>
      <c r="F144" t="s">
        <v>1455</v>
      </c>
      <c r="G144">
        <v>80.545000000000002</v>
      </c>
      <c r="H144">
        <v>1.45100953484565E-2</v>
      </c>
      <c r="I144">
        <v>78.724999999999994</v>
      </c>
      <c r="J144">
        <v>2.2269835086352399E-2</v>
      </c>
      <c r="K144" t="s">
        <v>1082</v>
      </c>
      <c r="L144" t="s">
        <v>940</v>
      </c>
    </row>
    <row r="145" spans="1:12" x14ac:dyDescent="0.35">
      <c r="A145">
        <v>3.2225013743436802E-2</v>
      </c>
      <c r="B145">
        <v>2.9052051363888599E-2</v>
      </c>
      <c r="C145">
        <v>6.9322056053448003E-2</v>
      </c>
      <c r="D145">
        <v>5.6967190258747399E-2</v>
      </c>
      <c r="E145" t="s">
        <v>1598</v>
      </c>
      <c r="F145" t="s">
        <v>1455</v>
      </c>
      <c r="G145">
        <v>81.906000000000006</v>
      </c>
      <c r="H145">
        <v>1.68973865541002E-2</v>
      </c>
      <c r="I145">
        <v>79.822999999999993</v>
      </c>
      <c r="J145">
        <v>1.39472848523341E-2</v>
      </c>
      <c r="K145" t="s">
        <v>1083</v>
      </c>
      <c r="L145" t="s">
        <v>940</v>
      </c>
    </row>
    <row r="146" spans="1:12" x14ac:dyDescent="0.35">
      <c r="A146">
        <v>2.0935342800184199E-2</v>
      </c>
      <c r="B146">
        <v>3.4093201961780999E-2</v>
      </c>
      <c r="C146">
        <v>2.9725271896635399E-2</v>
      </c>
      <c r="D146">
        <v>2.50876168066392E-2</v>
      </c>
      <c r="E146" t="s">
        <v>1599</v>
      </c>
      <c r="F146" t="s">
        <v>1455</v>
      </c>
      <c r="G146">
        <v>82.507999999999996</v>
      </c>
      <c r="H146">
        <v>7.3498888970282604E-3</v>
      </c>
      <c r="I146">
        <v>80.319000000000003</v>
      </c>
      <c r="J146">
        <v>6.2137479172670301E-3</v>
      </c>
      <c r="K146" t="s">
        <v>1084</v>
      </c>
      <c r="L146" t="s">
        <v>940</v>
      </c>
    </row>
    <row r="147" spans="1:12" x14ac:dyDescent="0.35">
      <c r="A147">
        <v>3.5555363218846101E-2</v>
      </c>
      <c r="B147">
        <v>2.8135458399094499E-2</v>
      </c>
      <c r="C147">
        <v>5.61203132204302E-2</v>
      </c>
      <c r="D147">
        <v>9.1105361450751501E-2</v>
      </c>
      <c r="E147" t="s">
        <v>1600</v>
      </c>
      <c r="F147" t="s">
        <v>1455</v>
      </c>
      <c r="G147">
        <v>83.641999999999996</v>
      </c>
      <c r="H147">
        <v>1.37441217821301E-2</v>
      </c>
      <c r="I147">
        <v>82.088999999999999</v>
      </c>
      <c r="J147">
        <v>2.20371269562618E-2</v>
      </c>
      <c r="K147" t="s">
        <v>1085</v>
      </c>
      <c r="L147" t="s">
        <v>940</v>
      </c>
    </row>
    <row r="148" spans="1:12" x14ac:dyDescent="0.35">
      <c r="A148">
        <v>2.9090990484891902E-2</v>
      </c>
      <c r="B148">
        <v>2.9966625510563099E-2</v>
      </c>
      <c r="C148">
        <v>3.6843754178801799E-2</v>
      </c>
      <c r="D148">
        <v>5.6869734933791702E-2</v>
      </c>
      <c r="E148" t="s">
        <v>1601</v>
      </c>
      <c r="F148" t="s">
        <v>1455</v>
      </c>
      <c r="G148">
        <v>84.402000000000001</v>
      </c>
      <c r="H148">
        <v>9.0863441811530592E-3</v>
      </c>
      <c r="I148">
        <v>83.231999999999999</v>
      </c>
      <c r="J148">
        <v>1.39239118517707E-2</v>
      </c>
      <c r="K148" t="s">
        <v>1086</v>
      </c>
      <c r="L148" t="s">
        <v>940</v>
      </c>
    </row>
    <row r="149" spans="1:12" x14ac:dyDescent="0.35">
      <c r="A149">
        <v>-6.5707467210734897E-3</v>
      </c>
      <c r="B149">
        <v>2.09838687014814E-2</v>
      </c>
      <c r="C149">
        <v>3.0338463665483501E-2</v>
      </c>
      <c r="D149">
        <v>9.7213617262259494E-2</v>
      </c>
      <c r="E149" t="s">
        <v>1602</v>
      </c>
      <c r="F149" t="s">
        <v>1455</v>
      </c>
      <c r="G149">
        <v>85.034999999999997</v>
      </c>
      <c r="H149">
        <v>7.4998222790929603E-3</v>
      </c>
      <c r="I149">
        <v>85.185000000000002</v>
      </c>
      <c r="J149">
        <v>2.34645328719723E-2</v>
      </c>
      <c r="K149" t="s">
        <v>1087</v>
      </c>
      <c r="L149" t="s">
        <v>940</v>
      </c>
    </row>
    <row r="150" spans="1:12" x14ac:dyDescent="0.35">
      <c r="A150">
        <v>3.7059917165470399E-2</v>
      </c>
      <c r="B150">
        <v>3.4651107406359301E-2</v>
      </c>
      <c r="C150">
        <v>7.2299496950969405E-2</v>
      </c>
      <c r="D150">
        <v>0.104792955269219</v>
      </c>
      <c r="E150" t="s">
        <v>1603</v>
      </c>
      <c r="F150" t="s">
        <v>1455</v>
      </c>
      <c r="G150">
        <v>86.531999999999996</v>
      </c>
      <c r="H150">
        <v>1.7604515787616799E-2</v>
      </c>
      <c r="I150">
        <v>87.334000000000003</v>
      </c>
      <c r="J150">
        <v>2.5227446146622E-2</v>
      </c>
      <c r="K150" t="s">
        <v>1088</v>
      </c>
      <c r="L150" t="s">
        <v>940</v>
      </c>
    </row>
    <row r="151" spans="1:12" x14ac:dyDescent="0.35">
      <c r="A151">
        <v>3.4406916686266602E-2</v>
      </c>
      <c r="B151">
        <v>3.2361806516408201E-2</v>
      </c>
      <c r="C151">
        <v>4.4022069506022297E-2</v>
      </c>
      <c r="D151">
        <v>4.2476788274359099E-2</v>
      </c>
      <c r="E151" t="s">
        <v>1604</v>
      </c>
      <c r="F151" t="s">
        <v>1455</v>
      </c>
      <c r="G151">
        <v>87.468999999999994</v>
      </c>
      <c r="H151">
        <v>1.0828364073406401E-2</v>
      </c>
      <c r="I151">
        <v>88.247</v>
      </c>
      <c r="J151">
        <v>1.0454118670849799E-2</v>
      </c>
      <c r="K151" t="s">
        <v>1089</v>
      </c>
      <c r="L151" t="s">
        <v>940</v>
      </c>
    </row>
    <row r="152" spans="1:12" x14ac:dyDescent="0.35">
      <c r="A152">
        <v>2.2795387185985401E-2</v>
      </c>
      <c r="B152">
        <v>2.78463672712683E-2</v>
      </c>
      <c r="C152">
        <v>4.5480126137950501E-2</v>
      </c>
      <c r="D152">
        <v>3.9088464000031499E-2</v>
      </c>
      <c r="E152" t="s">
        <v>1605</v>
      </c>
      <c r="F152" t="s">
        <v>1455</v>
      </c>
      <c r="G152">
        <v>88.447000000000003</v>
      </c>
      <c r="H152">
        <v>1.11811041626177E-2</v>
      </c>
      <c r="I152">
        <v>89.096999999999994</v>
      </c>
      <c r="J152">
        <v>9.6320554806394992E-3</v>
      </c>
      <c r="K152" t="s">
        <v>1090</v>
      </c>
      <c r="L152" t="s">
        <v>940</v>
      </c>
    </row>
    <row r="153" spans="1:12" x14ac:dyDescent="0.35">
      <c r="A153">
        <v>4.1308326629664098E-2</v>
      </c>
      <c r="B153">
        <v>3.2459146974833902E-2</v>
      </c>
      <c r="C153">
        <v>6.2039731527971001E-2</v>
      </c>
      <c r="D153">
        <v>4.7886506250196997E-2</v>
      </c>
      <c r="E153" t="s">
        <v>1606</v>
      </c>
      <c r="F153" t="s">
        <v>1455</v>
      </c>
      <c r="G153">
        <v>89.787999999999997</v>
      </c>
      <c r="H153">
        <v>1.51616222144335E-2</v>
      </c>
      <c r="I153">
        <v>90.144999999999996</v>
      </c>
      <c r="J153">
        <v>1.1762461137861099E-2</v>
      </c>
      <c r="K153" t="s">
        <v>1091</v>
      </c>
      <c r="L153" t="s">
        <v>940</v>
      </c>
    </row>
    <row r="154" spans="1:12" x14ac:dyDescent="0.35">
      <c r="A154">
        <v>3.2954987594988598E-2</v>
      </c>
      <c r="B154">
        <v>3.4144429632388298E-2</v>
      </c>
      <c r="C154">
        <v>7.23147883586404E-2</v>
      </c>
      <c r="D154">
        <v>3.8436409888859401E-2</v>
      </c>
      <c r="E154" t="s">
        <v>1607</v>
      </c>
      <c r="F154" t="s">
        <v>1455</v>
      </c>
      <c r="G154">
        <v>91.369</v>
      </c>
      <c r="H154">
        <v>1.7608143627210901E-2</v>
      </c>
      <c r="I154">
        <v>90.998999999999995</v>
      </c>
      <c r="J154">
        <v>9.4736258250596207E-3</v>
      </c>
      <c r="K154" t="s">
        <v>1092</v>
      </c>
      <c r="L154" t="s">
        <v>940</v>
      </c>
    </row>
    <row r="155" spans="1:12" x14ac:dyDescent="0.35">
      <c r="A155">
        <v>3.9493950261418401E-2</v>
      </c>
      <c r="B155">
        <v>4.1602053152730099E-2</v>
      </c>
      <c r="C155">
        <v>6.3263019462217004E-2</v>
      </c>
      <c r="D155">
        <v>3.1126430511134499E-2</v>
      </c>
      <c r="E155" t="s">
        <v>1608</v>
      </c>
      <c r="F155" t="s">
        <v>1455</v>
      </c>
      <c r="G155">
        <v>92.781000000000006</v>
      </c>
      <c r="H155">
        <v>1.5453819129026301E-2</v>
      </c>
      <c r="I155">
        <v>91.698999999999998</v>
      </c>
      <c r="J155">
        <v>7.6923922240903497E-3</v>
      </c>
      <c r="K155" t="s">
        <v>1093</v>
      </c>
      <c r="L155" t="s">
        <v>940</v>
      </c>
    </row>
    <row r="156" spans="1:12" x14ac:dyDescent="0.35">
      <c r="A156">
        <v>4.3386852489040402E-2</v>
      </c>
      <c r="B156">
        <v>3.03408157550791E-2</v>
      </c>
      <c r="C156">
        <v>5.52136316684275E-2</v>
      </c>
      <c r="D156">
        <v>5.2701497522020399E-2</v>
      </c>
      <c r="E156" t="s">
        <v>1609</v>
      </c>
      <c r="F156" t="s">
        <v>1455</v>
      </c>
      <c r="G156">
        <v>94.036000000000001</v>
      </c>
      <c r="H156">
        <v>1.35264763259719E-2</v>
      </c>
      <c r="I156">
        <v>92.884</v>
      </c>
      <c r="J156">
        <v>1.29227145334192E-2</v>
      </c>
      <c r="K156" t="s">
        <v>1094</v>
      </c>
      <c r="L156" t="s">
        <v>940</v>
      </c>
    </row>
    <row r="157" spans="1:12" x14ac:dyDescent="0.35">
      <c r="A157">
        <v>-6.2360196436278902E-2</v>
      </c>
      <c r="B157">
        <v>-1.8917326805224201E-2</v>
      </c>
      <c r="C157">
        <v>-7.4155067193705196E-2</v>
      </c>
      <c r="D157">
        <v>7.5335045349203197E-2</v>
      </c>
      <c r="E157" t="s">
        <v>1610</v>
      </c>
      <c r="F157" t="s">
        <v>1455</v>
      </c>
      <c r="G157">
        <v>92.242000000000004</v>
      </c>
      <c r="H157">
        <v>-1.9077799991492599E-2</v>
      </c>
      <c r="I157">
        <v>94.585999999999999</v>
      </c>
      <c r="J157">
        <v>1.8323930924594199E-2</v>
      </c>
      <c r="K157" t="s">
        <v>1095</v>
      </c>
      <c r="L157" t="s">
        <v>940</v>
      </c>
    </row>
    <row r="158" spans="1:12" x14ac:dyDescent="0.35">
      <c r="A158">
        <v>-2.6731212813050201E-2</v>
      </c>
      <c r="B158">
        <v>-3.3135327897025703E-2</v>
      </c>
      <c r="C158">
        <v>-6.8462037949067106E-2</v>
      </c>
      <c r="D158">
        <v>2.5185264843212301E-2</v>
      </c>
      <c r="E158" t="s">
        <v>1611</v>
      </c>
      <c r="F158" t="s">
        <v>1455</v>
      </c>
      <c r="G158">
        <v>90.620999999999995</v>
      </c>
      <c r="H158">
        <v>-1.7573339693415201E-2</v>
      </c>
      <c r="I158">
        <v>95.176000000000002</v>
      </c>
      <c r="J158">
        <v>6.2377095976149403E-3</v>
      </c>
      <c r="K158" t="s">
        <v>1096</v>
      </c>
      <c r="L158" t="s">
        <v>940</v>
      </c>
    </row>
    <row r="159" spans="1:12" x14ac:dyDescent="0.35">
      <c r="A159">
        <v>1.6004255010514602E-2</v>
      </c>
      <c r="B159">
        <v>7.2471101838833497E-4</v>
      </c>
      <c r="C159">
        <v>1.9832196265286098E-2</v>
      </c>
      <c r="D159">
        <v>-3.4674689642026801E-2</v>
      </c>
      <c r="E159" t="s">
        <v>1612</v>
      </c>
      <c r="F159" t="s">
        <v>1455</v>
      </c>
      <c r="G159">
        <v>91.066999999999993</v>
      </c>
      <c r="H159">
        <v>4.9215965394333603E-3</v>
      </c>
      <c r="I159">
        <v>94.34</v>
      </c>
      <c r="J159">
        <v>-8.7837269899974108E-3</v>
      </c>
      <c r="K159" t="s">
        <v>1097</v>
      </c>
      <c r="L159" t="s">
        <v>940</v>
      </c>
    </row>
    <row r="160" spans="1:12" x14ac:dyDescent="0.35">
      <c r="A160">
        <v>2.78350080421834E-2</v>
      </c>
      <c r="B160">
        <v>1.22854862155337E-2</v>
      </c>
      <c r="C160">
        <v>3.47933032481611E-2</v>
      </c>
      <c r="D160">
        <v>-3.55556982427905E-2</v>
      </c>
      <c r="E160" t="s">
        <v>1613</v>
      </c>
      <c r="F160" t="s">
        <v>1455</v>
      </c>
      <c r="G160">
        <v>91.849000000000004</v>
      </c>
      <c r="H160">
        <v>8.5870842346844594E-3</v>
      </c>
      <c r="I160">
        <v>93.49</v>
      </c>
      <c r="J160">
        <v>-9.0099639601441996E-3</v>
      </c>
      <c r="K160" t="s">
        <v>1098</v>
      </c>
      <c r="L160" t="s">
        <v>940</v>
      </c>
    </row>
    <row r="161" spans="1:12" x14ac:dyDescent="0.35">
      <c r="A161">
        <v>3.1240948480233E-2</v>
      </c>
      <c r="B161">
        <v>3.11127095791379E-2</v>
      </c>
      <c r="C161">
        <v>3.76238534925952E-2</v>
      </c>
      <c r="D161">
        <v>-3.0769865450653898E-3</v>
      </c>
      <c r="E161" t="s">
        <v>1614</v>
      </c>
      <c r="F161" t="s">
        <v>1455</v>
      </c>
      <c r="G161">
        <v>92.700999999999993</v>
      </c>
      <c r="H161">
        <v>9.2760944593843798E-3</v>
      </c>
      <c r="I161">
        <v>93.418000000000006</v>
      </c>
      <c r="J161">
        <v>-7.7013584340557305E-4</v>
      </c>
      <c r="K161" t="s">
        <v>1099</v>
      </c>
      <c r="L161" t="s">
        <v>940</v>
      </c>
    </row>
    <row r="162" spans="1:12" x14ac:dyDescent="0.35">
      <c r="A162">
        <v>1.5538458112328299E-2</v>
      </c>
      <c r="B162">
        <v>2.5706833981413501E-2</v>
      </c>
      <c r="C162">
        <v>4.6975487060338501E-2</v>
      </c>
      <c r="D162">
        <v>1.13952226394907E-2</v>
      </c>
      <c r="E162" t="s">
        <v>1615</v>
      </c>
      <c r="F162" t="s">
        <v>1455</v>
      </c>
      <c r="G162">
        <v>93.771000000000001</v>
      </c>
      <c r="H162">
        <v>1.15424860573241E-2</v>
      </c>
      <c r="I162">
        <v>93.683000000000007</v>
      </c>
      <c r="J162">
        <v>2.8367124108843499E-3</v>
      </c>
      <c r="K162" t="s">
        <v>1100</v>
      </c>
      <c r="L162" t="s">
        <v>940</v>
      </c>
    </row>
    <row r="163" spans="1:12" x14ac:dyDescent="0.35">
      <c r="A163">
        <v>6.2204942357442202E-3</v>
      </c>
      <c r="B163">
        <v>3.1017939025557401E-2</v>
      </c>
      <c r="C163">
        <v>2.9062361366274402E-2</v>
      </c>
      <c r="D163">
        <v>1.7491325837778699E-2</v>
      </c>
      <c r="E163" t="s">
        <v>1616</v>
      </c>
      <c r="F163" t="s">
        <v>1455</v>
      </c>
      <c r="G163">
        <v>94.444999999999993</v>
      </c>
      <c r="H163">
        <v>7.18772328331774E-3</v>
      </c>
      <c r="I163">
        <v>94.09</v>
      </c>
      <c r="J163">
        <v>4.3444381584705196E-3</v>
      </c>
      <c r="K163" t="s">
        <v>1101</v>
      </c>
      <c r="L163" t="s">
        <v>940</v>
      </c>
    </row>
    <row r="164" spans="1:12" x14ac:dyDescent="0.35">
      <c r="A164">
        <v>7.72594376628044E-3</v>
      </c>
      <c r="B164">
        <v>1.59750935835106E-2</v>
      </c>
      <c r="C164">
        <v>2.3067349052007899E-2</v>
      </c>
      <c r="D164">
        <v>1.2643202128826501E-2</v>
      </c>
      <c r="E164" t="s">
        <v>1617</v>
      </c>
      <c r="F164" t="s">
        <v>1455</v>
      </c>
      <c r="G164">
        <v>94.984999999999999</v>
      </c>
      <c r="H164">
        <v>5.7176134258034601E-3</v>
      </c>
      <c r="I164">
        <v>94.385999999999996</v>
      </c>
      <c r="J164">
        <v>3.1459241152087501E-3</v>
      </c>
      <c r="K164" t="s">
        <v>1102</v>
      </c>
      <c r="L164" t="s">
        <v>940</v>
      </c>
    </row>
    <row r="165" spans="1:12" x14ac:dyDescent="0.35">
      <c r="A165">
        <v>2.5862689650447499E-2</v>
      </c>
      <c r="B165">
        <v>3.29452826155043E-2</v>
      </c>
      <c r="C165">
        <v>3.7879756208726099E-2</v>
      </c>
      <c r="D165">
        <v>1.8090208281751299E-2</v>
      </c>
      <c r="E165" t="s">
        <v>1618</v>
      </c>
      <c r="F165" t="s">
        <v>1455</v>
      </c>
      <c r="G165">
        <v>95.872</v>
      </c>
      <c r="H165">
        <v>9.3383165763014607E-3</v>
      </c>
      <c r="I165">
        <v>94.81</v>
      </c>
      <c r="J165">
        <v>4.4921916385904899E-3</v>
      </c>
      <c r="K165" t="s">
        <v>1103</v>
      </c>
      <c r="L165" t="s">
        <v>940</v>
      </c>
    </row>
    <row r="166" spans="1:12" x14ac:dyDescent="0.35">
      <c r="A166">
        <v>3.4016266815046298E-2</v>
      </c>
      <c r="B166">
        <v>3.64259738306612E-2</v>
      </c>
      <c r="C166">
        <v>4.5137017344844002E-2</v>
      </c>
      <c r="D166">
        <v>2.4394704867924499E-2</v>
      </c>
      <c r="E166" t="s">
        <v>1619</v>
      </c>
      <c r="F166" t="s">
        <v>1455</v>
      </c>
      <c r="G166">
        <v>96.936000000000007</v>
      </c>
      <c r="H166">
        <v>1.10981308411215E-2</v>
      </c>
      <c r="I166">
        <v>95.382999999999996</v>
      </c>
      <c r="J166">
        <v>6.0436662799281402E-3</v>
      </c>
      <c r="K166" t="s">
        <v>1104</v>
      </c>
      <c r="L166" t="s">
        <v>940</v>
      </c>
    </row>
    <row r="167" spans="1:12" x14ac:dyDescent="0.35">
      <c r="A167">
        <v>3.9906323464895102E-2</v>
      </c>
      <c r="B167">
        <v>3.6682670107609103E-2</v>
      </c>
      <c r="C167">
        <v>5.0829697512543702E-2</v>
      </c>
      <c r="D167">
        <v>4.1043493786856698E-2</v>
      </c>
      <c r="E167" t="s">
        <v>1620</v>
      </c>
      <c r="F167" t="s">
        <v>1455</v>
      </c>
      <c r="G167">
        <v>98.144999999999996</v>
      </c>
      <c r="H167">
        <v>1.24721465709332E-2</v>
      </c>
      <c r="I167">
        <v>96.346999999999994</v>
      </c>
      <c r="J167">
        <v>1.01066227734501E-2</v>
      </c>
      <c r="K167" t="s">
        <v>1105</v>
      </c>
      <c r="L167" t="s">
        <v>940</v>
      </c>
    </row>
    <row r="168" spans="1:12" x14ac:dyDescent="0.35">
      <c r="A168">
        <v>1.8640626124373699E-2</v>
      </c>
      <c r="B168">
        <v>1.39908352832361E-2</v>
      </c>
      <c r="C168">
        <v>1.5247657751557699E-2</v>
      </c>
      <c r="D168">
        <v>4.5983903903995101E-2</v>
      </c>
      <c r="E168" t="s">
        <v>1621</v>
      </c>
      <c r="F168" t="s">
        <v>1455</v>
      </c>
      <c r="G168">
        <v>98.516999999999996</v>
      </c>
      <c r="H168">
        <v>3.7903102552345699E-3</v>
      </c>
      <c r="I168">
        <v>97.436000000000007</v>
      </c>
      <c r="J168">
        <v>1.13028947450362E-2</v>
      </c>
      <c r="K168" t="s">
        <v>1106</v>
      </c>
      <c r="L168" t="s">
        <v>940</v>
      </c>
    </row>
    <row r="169" spans="1:12" x14ac:dyDescent="0.35">
      <c r="A169">
        <v>1.32561299755005E-2</v>
      </c>
      <c r="B169">
        <v>-5.33618345022691E-3</v>
      </c>
      <c r="C169">
        <v>-1.40950235359611E-2</v>
      </c>
      <c r="D169">
        <v>3.8137779822804398E-2</v>
      </c>
      <c r="E169" t="s">
        <v>1622</v>
      </c>
      <c r="F169" t="s">
        <v>1455</v>
      </c>
      <c r="G169">
        <v>98.168000000000006</v>
      </c>
      <c r="H169">
        <v>-3.54253580600294E-3</v>
      </c>
      <c r="I169">
        <v>98.352000000000004</v>
      </c>
      <c r="J169">
        <v>9.4010427357444897E-3</v>
      </c>
      <c r="K169" t="s">
        <v>1107</v>
      </c>
      <c r="L169" t="s">
        <v>940</v>
      </c>
    </row>
    <row r="170" spans="1:12" x14ac:dyDescent="0.35">
      <c r="A170">
        <v>2.6761481120787502E-2</v>
      </c>
      <c r="B170">
        <v>1.39201532997375E-2</v>
      </c>
      <c r="C170">
        <v>5.4116713606157101E-2</v>
      </c>
      <c r="D170">
        <v>3.0312571909831599E-2</v>
      </c>
      <c r="E170" t="s">
        <v>1623</v>
      </c>
      <c r="F170" t="s">
        <v>1455</v>
      </c>
      <c r="G170">
        <v>99.47</v>
      </c>
      <c r="H170">
        <v>1.32629777524242E-2</v>
      </c>
      <c r="I170">
        <v>99.088999999999999</v>
      </c>
      <c r="J170">
        <v>7.4934927606962196E-3</v>
      </c>
      <c r="K170" t="s">
        <v>1108</v>
      </c>
      <c r="L170" t="s">
        <v>940</v>
      </c>
    </row>
    <row r="171" spans="1:12" x14ac:dyDescent="0.35">
      <c r="A171">
        <v>9.7203652064314899E-3</v>
      </c>
      <c r="B171">
        <v>8.8550245823753003E-3</v>
      </c>
      <c r="C171">
        <v>-6.9787462524018001E-3</v>
      </c>
      <c r="D171">
        <v>3.2273930792219303E-2</v>
      </c>
      <c r="E171" t="s">
        <v>1624</v>
      </c>
      <c r="F171" t="s">
        <v>1455</v>
      </c>
      <c r="G171">
        <v>99.296000000000006</v>
      </c>
      <c r="H171">
        <v>-1.7492711370261599E-3</v>
      </c>
      <c r="I171">
        <v>99.879000000000005</v>
      </c>
      <c r="J171">
        <v>7.9726306653615797E-3</v>
      </c>
      <c r="K171" t="s">
        <v>1109</v>
      </c>
      <c r="L171" t="s">
        <v>940</v>
      </c>
    </row>
    <row r="172" spans="1:12" x14ac:dyDescent="0.35">
      <c r="A172">
        <v>1.1676944984941699E-2</v>
      </c>
      <c r="B172">
        <v>7.7077122555302396E-3</v>
      </c>
      <c r="C172">
        <v>2.44311343320835E-2</v>
      </c>
      <c r="D172">
        <v>2.17207841742009E-2</v>
      </c>
      <c r="E172" t="s">
        <v>1625</v>
      </c>
      <c r="F172" t="s">
        <v>1455</v>
      </c>
      <c r="G172">
        <v>99.897000000000006</v>
      </c>
      <c r="H172">
        <v>6.0526103770543998E-3</v>
      </c>
      <c r="I172">
        <v>100.417</v>
      </c>
      <c r="J172">
        <v>5.3865176864005297E-3</v>
      </c>
      <c r="K172" t="s">
        <v>1110</v>
      </c>
      <c r="L172" t="s">
        <v>940</v>
      </c>
    </row>
    <row r="173" spans="1:12" x14ac:dyDescent="0.35">
      <c r="A173">
        <v>2.2614716677978E-2</v>
      </c>
      <c r="B173">
        <v>4.9632662336496196E-3</v>
      </c>
      <c r="C173">
        <v>5.8918140200379103E-2</v>
      </c>
      <c r="D173">
        <v>7.9104688711333394E-3</v>
      </c>
      <c r="E173" t="s">
        <v>1626</v>
      </c>
      <c r="F173" t="s">
        <v>1455</v>
      </c>
      <c r="G173">
        <v>101.337</v>
      </c>
      <c r="H173">
        <v>1.4414847292711501E-2</v>
      </c>
      <c r="I173">
        <v>100.61499999999999</v>
      </c>
      <c r="J173">
        <v>1.9717776870449301E-3</v>
      </c>
      <c r="K173" t="s">
        <v>1111</v>
      </c>
      <c r="L173" t="s">
        <v>940</v>
      </c>
    </row>
    <row r="174" spans="1:12" x14ac:dyDescent="0.35">
      <c r="A174">
        <v>1.45079389824292E-2</v>
      </c>
      <c r="B174">
        <v>-1.9949826125076301E-4</v>
      </c>
      <c r="C174">
        <v>5.3376513955371498E-2</v>
      </c>
      <c r="D174">
        <v>1.6319173615011201E-2</v>
      </c>
      <c r="E174" t="s">
        <v>1627</v>
      </c>
      <c r="F174" t="s">
        <v>1455</v>
      </c>
      <c r="G174">
        <v>102.663</v>
      </c>
      <c r="H174">
        <v>1.3085052843482501E-2</v>
      </c>
      <c r="I174">
        <v>101.023</v>
      </c>
      <c r="J174">
        <v>4.05506137255873E-3</v>
      </c>
      <c r="K174" t="s">
        <v>1112</v>
      </c>
      <c r="L174" t="s">
        <v>940</v>
      </c>
    </row>
    <row r="175" spans="1:12" x14ac:dyDescent="0.35">
      <c r="A175">
        <v>2.8548469670495202E-3</v>
      </c>
      <c r="B175">
        <v>7.9245575399269404E-3</v>
      </c>
      <c r="C175">
        <v>2.14833879994034E-2</v>
      </c>
      <c r="D175">
        <v>2.0547855013869399E-2</v>
      </c>
      <c r="E175" t="s">
        <v>1628</v>
      </c>
      <c r="F175" t="s">
        <v>1455</v>
      </c>
      <c r="G175">
        <v>103.21</v>
      </c>
      <c r="H175">
        <v>5.3281123676494103E-3</v>
      </c>
      <c r="I175">
        <v>101.538</v>
      </c>
      <c r="J175">
        <v>5.0978490046820202E-3</v>
      </c>
      <c r="K175" t="s">
        <v>1113</v>
      </c>
      <c r="L175" t="s">
        <v>940</v>
      </c>
    </row>
    <row r="176" spans="1:12" x14ac:dyDescent="0.35">
      <c r="A176">
        <v>1.6326843500240801E-2</v>
      </c>
      <c r="B176">
        <v>1.3006397529373E-2</v>
      </c>
      <c r="C176">
        <v>3.4225885044726997E-2</v>
      </c>
      <c r="D176">
        <v>2.1723337040250802E-2</v>
      </c>
      <c r="E176" t="s">
        <v>1629</v>
      </c>
      <c r="F176" t="s">
        <v>1455</v>
      </c>
      <c r="G176">
        <v>104.08199999999999</v>
      </c>
      <c r="H176">
        <v>8.4487937215385108E-3</v>
      </c>
      <c r="I176">
        <v>102.08499999999999</v>
      </c>
      <c r="J176">
        <v>5.3871456991470001E-3</v>
      </c>
      <c r="K176" t="s">
        <v>1114</v>
      </c>
      <c r="L176" t="s">
        <v>940</v>
      </c>
    </row>
    <row r="177" spans="1:12" x14ac:dyDescent="0.35">
      <c r="A177">
        <v>1.6859105016114002E-2</v>
      </c>
      <c r="B177">
        <v>6.2259222369993199E-2</v>
      </c>
      <c r="C177">
        <v>2.1461497744286601E-2</v>
      </c>
      <c r="D177">
        <v>3.0554089712781E-2</v>
      </c>
      <c r="E177" t="s">
        <v>1630</v>
      </c>
      <c r="F177" t="s">
        <v>1455</v>
      </c>
      <c r="G177">
        <v>104.636</v>
      </c>
      <c r="H177">
        <v>5.3227263119464104E-3</v>
      </c>
      <c r="I177">
        <v>102.85599999999999</v>
      </c>
      <c r="J177">
        <v>7.55252975461618E-3</v>
      </c>
      <c r="K177" t="s">
        <v>1115</v>
      </c>
      <c r="L177" t="s">
        <v>940</v>
      </c>
    </row>
    <row r="178" spans="1:12" x14ac:dyDescent="0.35">
      <c r="A178">
        <v>1.93744928521071E-2</v>
      </c>
      <c r="B178">
        <v>-1.02831916231174E-2</v>
      </c>
      <c r="C178">
        <v>3.4027993671362999E-2</v>
      </c>
      <c r="D178">
        <v>2.27077607090642E-2</v>
      </c>
      <c r="E178" t="s">
        <v>1631</v>
      </c>
      <c r="F178" t="s">
        <v>1455</v>
      </c>
      <c r="G178">
        <v>105.515</v>
      </c>
      <c r="H178">
        <v>8.4005504797584098E-3</v>
      </c>
      <c r="I178">
        <v>103.435</v>
      </c>
      <c r="J178">
        <v>5.6292292136579398E-3</v>
      </c>
      <c r="K178" t="s">
        <v>1116</v>
      </c>
      <c r="L178" t="s">
        <v>940</v>
      </c>
    </row>
    <row r="179" spans="1:12" x14ac:dyDescent="0.35">
      <c r="A179">
        <v>2.0192934056340501E-2</v>
      </c>
      <c r="B179">
        <v>1.7798477087045E-2</v>
      </c>
      <c r="C179">
        <v>1.2683683496116101E-2</v>
      </c>
      <c r="D179">
        <v>1.8378329285591199E-2</v>
      </c>
      <c r="E179" t="s">
        <v>1632</v>
      </c>
      <c r="F179" t="s">
        <v>1455</v>
      </c>
      <c r="G179">
        <v>105.848</v>
      </c>
      <c r="H179">
        <v>3.1559493910817702E-3</v>
      </c>
      <c r="I179">
        <v>103.907</v>
      </c>
      <c r="J179">
        <v>4.5632522840430801E-3</v>
      </c>
      <c r="K179" t="s">
        <v>1117</v>
      </c>
      <c r="L179" t="s">
        <v>940</v>
      </c>
    </row>
    <row r="180" spans="1:12" x14ac:dyDescent="0.35">
      <c r="A180">
        <v>1.13601398604235E-2</v>
      </c>
      <c r="B180">
        <v>1.8827452214838801E-2</v>
      </c>
      <c r="C180">
        <v>2.3098181930942801E-2</v>
      </c>
      <c r="D180">
        <v>1.94654703730235E-2</v>
      </c>
      <c r="E180" t="s">
        <v>1633</v>
      </c>
      <c r="F180" t="s">
        <v>1455</v>
      </c>
      <c r="G180">
        <v>106.45399999999999</v>
      </c>
      <c r="H180">
        <v>5.7251908396946903E-3</v>
      </c>
      <c r="I180">
        <v>104.40900000000001</v>
      </c>
      <c r="J180">
        <v>4.8312433233566E-3</v>
      </c>
      <c r="K180" t="s">
        <v>1118</v>
      </c>
      <c r="L180" t="s">
        <v>940</v>
      </c>
    </row>
    <row r="181" spans="1:12" x14ac:dyDescent="0.35">
      <c r="A181">
        <v>-4.6048768205230201E-3</v>
      </c>
      <c r="B181">
        <v>5.3720415632923001E-3</v>
      </c>
      <c r="C181">
        <v>-3.1150724387948299E-3</v>
      </c>
      <c r="D181">
        <v>7.0678568534106E-3</v>
      </c>
      <c r="E181" t="s">
        <v>1634</v>
      </c>
      <c r="F181" t="s">
        <v>1455</v>
      </c>
      <c r="G181">
        <v>106.371</v>
      </c>
      <c r="H181">
        <v>-7.7967948597512703E-4</v>
      </c>
      <c r="I181">
        <v>104.593</v>
      </c>
      <c r="J181">
        <v>1.76230018484991E-3</v>
      </c>
      <c r="K181" t="s">
        <v>1119</v>
      </c>
      <c r="L181" t="s">
        <v>940</v>
      </c>
    </row>
    <row r="182" spans="1:12" x14ac:dyDescent="0.35">
      <c r="A182">
        <v>-1.65067373701384E-2</v>
      </c>
      <c r="B182">
        <v>-6.4248737444822001E-3</v>
      </c>
      <c r="C182">
        <v>-3.9305105462135198E-2</v>
      </c>
      <c r="D182">
        <v>-1.18502082280647E-3</v>
      </c>
      <c r="E182" t="s">
        <v>1635</v>
      </c>
      <c r="F182" t="s">
        <v>1455</v>
      </c>
      <c r="G182">
        <v>105.31</v>
      </c>
      <c r="H182">
        <v>-9.9745231313045392E-3</v>
      </c>
      <c r="I182">
        <v>104.562</v>
      </c>
      <c r="J182">
        <v>-2.9638694750133698E-4</v>
      </c>
      <c r="K182" t="s">
        <v>1120</v>
      </c>
      <c r="L182" t="s">
        <v>940</v>
      </c>
    </row>
    <row r="183" spans="1:12" x14ac:dyDescent="0.35">
      <c r="A183">
        <v>1.9548766403745001E-2</v>
      </c>
      <c r="B183">
        <v>7.87290366046434E-3</v>
      </c>
      <c r="C183">
        <v>2.82887807392058E-2</v>
      </c>
      <c r="D183">
        <v>1.76749178700988E-2</v>
      </c>
      <c r="E183" t="s">
        <v>1636</v>
      </c>
      <c r="F183" t="s">
        <v>1455</v>
      </c>
      <c r="G183">
        <v>106.047</v>
      </c>
      <c r="H183">
        <v>6.9983857183553199E-3</v>
      </c>
      <c r="I183">
        <v>105.021</v>
      </c>
      <c r="J183">
        <v>4.3897400585299904E-3</v>
      </c>
      <c r="K183" t="s">
        <v>1121</v>
      </c>
      <c r="L183" t="s">
        <v>940</v>
      </c>
    </row>
    <row r="184" spans="1:12" x14ac:dyDescent="0.35">
      <c r="A184">
        <v>9.6917092109320997E-3</v>
      </c>
      <c r="B184">
        <v>6.1419866574232698E-3</v>
      </c>
      <c r="C184">
        <v>2.4162101667697402E-3</v>
      </c>
      <c r="D184">
        <v>1.1398511762960899E-2</v>
      </c>
      <c r="E184" t="s">
        <v>1637</v>
      </c>
      <c r="F184" t="s">
        <v>1455</v>
      </c>
      <c r="G184">
        <v>106.111</v>
      </c>
      <c r="H184">
        <v>6.0350599262592997E-4</v>
      </c>
      <c r="I184">
        <v>105.319</v>
      </c>
      <c r="J184">
        <v>2.8375277325487498E-3</v>
      </c>
      <c r="K184" t="s">
        <v>1122</v>
      </c>
      <c r="L184" t="s">
        <v>940</v>
      </c>
    </row>
    <row r="185" spans="1:12" x14ac:dyDescent="0.35">
      <c r="A185">
        <v>-3.9403871252573497E-3</v>
      </c>
      <c r="B185">
        <v>-3.1716537268759999E-3</v>
      </c>
      <c r="C185">
        <v>-1.5664221695060501E-2</v>
      </c>
      <c r="D185">
        <v>-2.2010123911118101E-3</v>
      </c>
      <c r="E185" t="s">
        <v>1638</v>
      </c>
      <c r="F185" t="s">
        <v>1455</v>
      </c>
      <c r="G185">
        <v>105.693</v>
      </c>
      <c r="H185">
        <v>-3.9392711405981098E-3</v>
      </c>
      <c r="I185">
        <v>105.261</v>
      </c>
      <c r="J185">
        <v>-5.5070784948596497E-4</v>
      </c>
      <c r="K185" t="s">
        <v>1123</v>
      </c>
      <c r="L185" t="s">
        <v>940</v>
      </c>
    </row>
    <row r="186" spans="1:12" x14ac:dyDescent="0.35">
      <c r="A186">
        <v>2.1316685833889801E-3</v>
      </c>
      <c r="B186">
        <v>-9.9615046560082004E-3</v>
      </c>
      <c r="C186">
        <v>-3.3665208430493802E-2</v>
      </c>
      <c r="D186">
        <v>-9.6550430027560995E-3</v>
      </c>
      <c r="E186" t="s">
        <v>1639</v>
      </c>
      <c r="F186" t="s">
        <v>1455</v>
      </c>
      <c r="G186">
        <v>104.792</v>
      </c>
      <c r="H186">
        <v>-8.5246894307096106E-3</v>
      </c>
      <c r="I186">
        <v>105.006</v>
      </c>
      <c r="J186">
        <v>-2.4225496622680702E-3</v>
      </c>
      <c r="K186" t="s">
        <v>1124</v>
      </c>
      <c r="L186" t="s">
        <v>940</v>
      </c>
    </row>
    <row r="187" spans="1:12" x14ac:dyDescent="0.35">
      <c r="A187">
        <v>2.5357857709627601E-2</v>
      </c>
      <c r="B187">
        <v>2.1698746196001199E-2</v>
      </c>
      <c r="C187">
        <v>3.0770998377488399E-2</v>
      </c>
      <c r="D187">
        <v>3.3008554152673703E-2</v>
      </c>
      <c r="E187" t="s">
        <v>1640</v>
      </c>
      <c r="F187" t="s">
        <v>1455</v>
      </c>
      <c r="G187">
        <v>105.589</v>
      </c>
      <c r="H187">
        <v>7.6055424078174099E-3</v>
      </c>
      <c r="I187">
        <v>105.86199999999999</v>
      </c>
      <c r="J187">
        <v>8.1519151286593202E-3</v>
      </c>
      <c r="K187" t="s">
        <v>1125</v>
      </c>
      <c r="L187" t="s">
        <v>940</v>
      </c>
    </row>
    <row r="188" spans="1:12" x14ac:dyDescent="0.35">
      <c r="A188">
        <v>1.5085753101185199E-2</v>
      </c>
      <c r="B188">
        <v>1.5625918949128799E-2</v>
      </c>
      <c r="C188">
        <v>1.5469326265677499E-2</v>
      </c>
      <c r="D188">
        <v>3.0262315011426702E-3</v>
      </c>
      <c r="E188" t="s">
        <v>1641</v>
      </c>
      <c r="F188" t="s">
        <v>1455</v>
      </c>
      <c r="G188">
        <v>105.995</v>
      </c>
      <c r="H188">
        <v>3.8450975006867299E-3</v>
      </c>
      <c r="I188">
        <v>105.94199999999999</v>
      </c>
      <c r="J188">
        <v>7.5570081804610101E-4</v>
      </c>
      <c r="K188" t="s">
        <v>1126</v>
      </c>
      <c r="L188" t="s">
        <v>940</v>
      </c>
    </row>
    <row r="189" spans="1:12" x14ac:dyDescent="0.35">
      <c r="A189">
        <v>1.9065277405527499E-2</v>
      </c>
      <c r="B189">
        <v>1.9426037707255001E-2</v>
      </c>
      <c r="C189">
        <v>1.98067429774604E-2</v>
      </c>
      <c r="D189">
        <v>1.9471921944120799E-2</v>
      </c>
      <c r="E189" t="s">
        <v>1642</v>
      </c>
      <c r="F189" t="s">
        <v>1455</v>
      </c>
      <c r="G189">
        <v>106.51600000000001</v>
      </c>
      <c r="H189">
        <v>4.9153261946317502E-3</v>
      </c>
      <c r="I189">
        <v>106.45399999999999</v>
      </c>
      <c r="J189">
        <v>4.8328330595985803E-3</v>
      </c>
      <c r="K189" t="s">
        <v>1127</v>
      </c>
      <c r="L189" t="s">
        <v>940</v>
      </c>
    </row>
    <row r="190" spans="1:12" x14ac:dyDescent="0.35">
      <c r="A190">
        <v>2.3896314746341098E-2</v>
      </c>
      <c r="B190">
        <v>1.9409885132803301E-2</v>
      </c>
      <c r="C190">
        <v>3.9514900887574103E-2</v>
      </c>
      <c r="D190">
        <v>2.7099611156277601E-2</v>
      </c>
      <c r="E190" t="s">
        <v>1643</v>
      </c>
      <c r="F190" t="s">
        <v>1455</v>
      </c>
      <c r="G190">
        <v>107.53400000000001</v>
      </c>
      <c r="H190">
        <v>9.5572496150813108E-3</v>
      </c>
      <c r="I190">
        <v>107.188</v>
      </c>
      <c r="J190">
        <v>6.8949969000695601E-3</v>
      </c>
      <c r="K190" t="s">
        <v>1128</v>
      </c>
      <c r="L190" t="s">
        <v>940</v>
      </c>
    </row>
    <row r="191" spans="1:12" x14ac:dyDescent="0.35">
      <c r="A191">
        <v>9.9328007831764892E-3</v>
      </c>
      <c r="B191">
        <v>1.3103273651826199E-2</v>
      </c>
      <c r="C191">
        <v>9.0306358829268501E-3</v>
      </c>
      <c r="D191">
        <v>2.1521193573355E-2</v>
      </c>
      <c r="E191" t="s">
        <v>1644</v>
      </c>
      <c r="F191" t="s">
        <v>1455</v>
      </c>
      <c r="G191">
        <v>107.80200000000001</v>
      </c>
      <c r="H191">
        <v>2.49223501404217E-3</v>
      </c>
      <c r="I191">
        <v>107.712</v>
      </c>
      <c r="J191">
        <v>4.8886069336120403E-3</v>
      </c>
      <c r="K191" t="s">
        <v>1129</v>
      </c>
      <c r="L191" t="s">
        <v>940</v>
      </c>
    </row>
    <row r="192" spans="1:12" x14ac:dyDescent="0.35">
      <c r="A192">
        <v>1.4603017582518699E-2</v>
      </c>
      <c r="B192">
        <v>1.7788818797953999E-2</v>
      </c>
      <c r="C192">
        <v>3.6635495652026999E-2</v>
      </c>
      <c r="D192">
        <v>3.6311211479282998E-2</v>
      </c>
      <c r="E192" t="s">
        <v>1645</v>
      </c>
      <c r="F192" t="s">
        <v>1455</v>
      </c>
      <c r="G192">
        <v>108.785</v>
      </c>
      <c r="H192">
        <v>9.1185692287711895E-3</v>
      </c>
      <c r="I192">
        <v>108.676</v>
      </c>
      <c r="J192">
        <v>8.94979203802726E-3</v>
      </c>
      <c r="K192" t="s">
        <v>1130</v>
      </c>
      <c r="L192" t="s">
        <v>940</v>
      </c>
    </row>
    <row r="193" spans="1:12" x14ac:dyDescent="0.35">
      <c r="A193">
        <v>2.5719713356744601E-2</v>
      </c>
      <c r="B193">
        <v>2.90667642529692E-2</v>
      </c>
      <c r="C193">
        <v>5.7042627848445E-2</v>
      </c>
      <c r="D193">
        <v>2.3197124388088401E-2</v>
      </c>
      <c r="E193" t="s">
        <v>1646</v>
      </c>
      <c r="F193" t="s">
        <v>1455</v>
      </c>
      <c r="G193">
        <v>110.252</v>
      </c>
      <c r="H193">
        <v>1.3485315071011699E-2</v>
      </c>
      <c r="I193">
        <v>109.285</v>
      </c>
      <c r="J193">
        <v>5.6038131694209304E-3</v>
      </c>
      <c r="K193" t="s">
        <v>1131</v>
      </c>
      <c r="L193" t="s">
        <v>940</v>
      </c>
    </row>
    <row r="194" spans="1:12" x14ac:dyDescent="0.35">
      <c r="A194">
        <v>2.9147369447939799E-2</v>
      </c>
      <c r="B194">
        <v>4.11537159385129E-2</v>
      </c>
      <c r="C194">
        <v>5.2316315130779299E-2</v>
      </c>
      <c r="D194">
        <v>3.8107075575473298E-2</v>
      </c>
      <c r="E194" t="s">
        <v>1647</v>
      </c>
      <c r="F194" t="s">
        <v>1455</v>
      </c>
      <c r="G194">
        <v>111.627</v>
      </c>
      <c r="H194">
        <v>1.24714290897217E-2</v>
      </c>
      <c r="I194">
        <v>110.291</v>
      </c>
      <c r="J194">
        <v>9.2052889234570702E-3</v>
      </c>
      <c r="K194" t="s">
        <v>1132</v>
      </c>
      <c r="L194" t="s">
        <v>940</v>
      </c>
    </row>
    <row r="195" spans="1:12" x14ac:dyDescent="0.35">
      <c r="A195">
        <v>2.1663179127611398E-2</v>
      </c>
      <c r="B195">
        <v>2.95524402709311E-2</v>
      </c>
      <c r="C195">
        <v>4.1414814571916599E-2</v>
      </c>
      <c r="D195">
        <v>5.71493007542314E-2</v>
      </c>
      <c r="E195" t="s">
        <v>1648</v>
      </c>
      <c r="F195" t="s">
        <v>1455</v>
      </c>
      <c r="G195">
        <v>112.81100000000001</v>
      </c>
      <c r="H195">
        <v>1.06067528465337E-2</v>
      </c>
      <c r="I195">
        <v>111.736</v>
      </c>
      <c r="J195">
        <v>1.3101703674824E-2</v>
      </c>
      <c r="K195" t="s">
        <v>1133</v>
      </c>
      <c r="L195" t="s">
        <v>940</v>
      </c>
    </row>
    <row r="196" spans="1:12" x14ac:dyDescent="0.35">
      <c r="A196">
        <v>1.4350946991545E-2</v>
      </c>
      <c r="B196">
        <v>2.3387558006987101E-2</v>
      </c>
      <c r="C196">
        <v>3.8836746328921902E-2</v>
      </c>
      <c r="D196">
        <v>2.9745006586506799E-2</v>
      </c>
      <c r="E196" t="s">
        <v>1649</v>
      </c>
      <c r="F196" t="s">
        <v>1455</v>
      </c>
      <c r="G196">
        <v>113.875</v>
      </c>
      <c r="H196">
        <v>9.4317043550717905E-3</v>
      </c>
      <c r="I196">
        <v>112.542</v>
      </c>
      <c r="J196">
        <v>7.2134316603422698E-3</v>
      </c>
      <c r="K196" t="s">
        <v>1134</v>
      </c>
      <c r="L196" t="s">
        <v>940</v>
      </c>
    </row>
    <row r="197" spans="1:12" x14ac:dyDescent="0.35">
      <c r="A197">
        <v>1.51565091171486E-2</v>
      </c>
      <c r="B197">
        <v>2.9652502701153601E-2</v>
      </c>
      <c r="C197">
        <v>1.6036274889288799E-2</v>
      </c>
      <c r="D197">
        <v>4.1912016313216102E-2</v>
      </c>
      <c r="E197" t="s">
        <v>1650</v>
      </c>
      <c r="F197" t="s">
        <v>1455</v>
      </c>
      <c r="G197">
        <v>114.43899999999999</v>
      </c>
      <c r="H197">
        <v>4.9527991218440998E-3</v>
      </c>
      <c r="I197">
        <v>113.715</v>
      </c>
      <c r="J197">
        <v>1.0422775497147801E-2</v>
      </c>
      <c r="K197" t="s">
        <v>1135</v>
      </c>
      <c r="L197" t="s">
        <v>940</v>
      </c>
    </row>
    <row r="198" spans="1:12" x14ac:dyDescent="0.35">
      <c r="A198">
        <v>8.3593342288621492E-3</v>
      </c>
      <c r="B198">
        <v>4.3357912415273203E-2</v>
      </c>
      <c r="C198">
        <v>-1.6750426853228501E-2</v>
      </c>
      <c r="D198">
        <v>1.5721372171975601E-2</v>
      </c>
      <c r="E198" t="s">
        <v>1651</v>
      </c>
      <c r="F198" t="s">
        <v>1455</v>
      </c>
      <c r="G198">
        <v>113.98</v>
      </c>
      <c r="H198">
        <v>-4.0108704200489996E-3</v>
      </c>
      <c r="I198">
        <v>114.175</v>
      </c>
      <c r="J198">
        <v>4.0452007211009304E-3</v>
      </c>
      <c r="K198" t="s">
        <v>1136</v>
      </c>
      <c r="L198" t="s">
        <v>940</v>
      </c>
    </row>
    <row r="199" spans="1:12" x14ac:dyDescent="0.35">
      <c r="A199">
        <v>2.4734353401226102E-2</v>
      </c>
      <c r="B199">
        <v>-2.6343933972632301E-2</v>
      </c>
      <c r="C199">
        <v>2.5813818283005E-2</v>
      </c>
      <c r="D199">
        <v>4.8037769815769002E-2</v>
      </c>
      <c r="E199" t="s">
        <v>1652</v>
      </c>
      <c r="F199" t="s">
        <v>1455</v>
      </c>
      <c r="G199">
        <v>114.758</v>
      </c>
      <c r="H199">
        <v>6.8257589050710896E-3</v>
      </c>
      <c r="I199">
        <v>115.41800000000001</v>
      </c>
      <c r="J199">
        <v>1.0886796584191E-2</v>
      </c>
      <c r="K199" t="s">
        <v>1137</v>
      </c>
      <c r="L199" t="s">
        <v>940</v>
      </c>
    </row>
    <row r="200" spans="1:12" x14ac:dyDescent="0.35">
      <c r="A200">
        <v>1.0490970472330399E-2</v>
      </c>
      <c r="B200">
        <v>1.0018821110834301E-2</v>
      </c>
      <c r="C200">
        <v>8.6124156242581903E-3</v>
      </c>
      <c r="D200">
        <v>1.9083730667159401E-2</v>
      </c>
      <c r="E200" t="s">
        <v>1653</v>
      </c>
      <c r="F200" t="s">
        <v>1455</v>
      </c>
      <c r="G200">
        <v>114.919</v>
      </c>
      <c r="H200">
        <v>1.40295229962173E-3</v>
      </c>
      <c r="I200">
        <v>115.982</v>
      </c>
      <c r="J200">
        <v>4.8865861477411796E-3</v>
      </c>
      <c r="K200" t="s">
        <v>1138</v>
      </c>
      <c r="L200" t="s">
        <v>940</v>
      </c>
    </row>
    <row r="201" spans="1:12" x14ac:dyDescent="0.35">
      <c r="A201">
        <v>1.45690487077856E-2</v>
      </c>
      <c r="B201">
        <v>1.6245763277308499E-2</v>
      </c>
      <c r="C201">
        <v>1.6996215944869601E-2</v>
      </c>
      <c r="D201">
        <v>5.8979339636946503E-3</v>
      </c>
      <c r="E201" t="s">
        <v>1654</v>
      </c>
      <c r="F201" t="s">
        <v>1455</v>
      </c>
      <c r="G201">
        <v>115.285</v>
      </c>
      <c r="H201">
        <v>3.1848519391919298E-3</v>
      </c>
      <c r="I201">
        <v>116.167</v>
      </c>
      <c r="J201">
        <v>1.59507509785994E-3</v>
      </c>
      <c r="K201" t="s">
        <v>1139</v>
      </c>
      <c r="L201" t="s">
        <v>940</v>
      </c>
    </row>
    <row r="202" spans="1:12" x14ac:dyDescent="0.35">
      <c r="A202">
        <v>1.46624987744557E-2</v>
      </c>
      <c r="B202">
        <v>1.3591255249432201E-2</v>
      </c>
      <c r="C202">
        <v>5.0660572456327199E-2</v>
      </c>
      <c r="D202">
        <v>1.0418465412080901E-2</v>
      </c>
      <c r="E202" t="s">
        <v>1655</v>
      </c>
      <c r="F202" t="s">
        <v>1455</v>
      </c>
      <c r="G202">
        <v>116.54600000000001</v>
      </c>
      <c r="H202">
        <v>1.09381099015484E-2</v>
      </c>
      <c r="I202">
        <v>116.5</v>
      </c>
      <c r="J202">
        <v>2.86656279322006E-3</v>
      </c>
      <c r="K202" t="s">
        <v>1140</v>
      </c>
      <c r="L202" t="s">
        <v>940</v>
      </c>
    </row>
    <row r="203" spans="1:12" x14ac:dyDescent="0.35">
      <c r="A203">
        <v>-1.7940859457881899E-2</v>
      </c>
      <c r="B203">
        <v>3.31045118831508E-3</v>
      </c>
      <c r="C203">
        <v>-1.06133933402519E-3</v>
      </c>
      <c r="D203">
        <v>-7.65559802497651E-3</v>
      </c>
      <c r="E203" t="s">
        <v>1656</v>
      </c>
      <c r="F203" t="s">
        <v>1455</v>
      </c>
      <c r="G203">
        <v>116.072</v>
      </c>
      <c r="H203">
        <v>-4.0670636486881398E-3</v>
      </c>
      <c r="I203">
        <v>116.19499999999999</v>
      </c>
      <c r="J203">
        <v>-2.61802575107306E-3</v>
      </c>
      <c r="K203" t="s">
        <v>1141</v>
      </c>
      <c r="L203" t="s">
        <v>940</v>
      </c>
    </row>
    <row r="204" spans="1:12" x14ac:dyDescent="0.35">
      <c r="A204">
        <v>3.3775526155126898E-2</v>
      </c>
      <c r="B204">
        <v>2.5959727144998501E-2</v>
      </c>
      <c r="C204">
        <v>3.4596703938155803E-2</v>
      </c>
      <c r="D204">
        <v>4.1355015452944698E-2</v>
      </c>
      <c r="E204" t="s">
        <v>1657</v>
      </c>
      <c r="F204" t="s">
        <v>1455</v>
      </c>
      <c r="G204">
        <v>116.51900000000001</v>
      </c>
      <c r="H204">
        <v>3.8510579640223001E-3</v>
      </c>
      <c r="I204">
        <v>117.285</v>
      </c>
      <c r="J204">
        <v>9.3807823056069103E-3</v>
      </c>
      <c r="K204" t="s">
        <v>1142</v>
      </c>
      <c r="L204" t="s">
        <v>940</v>
      </c>
    </row>
    <row r="205" spans="1:12" x14ac:dyDescent="0.35">
      <c r="A205">
        <v>1.6442937470855502E-2</v>
      </c>
      <c r="B205">
        <v>2.4447407360365301E-2</v>
      </c>
      <c r="C205">
        <v>5.1547958936444697E-2</v>
      </c>
      <c r="D205">
        <v>1.8415186976738801E-2</v>
      </c>
      <c r="E205" t="s">
        <v>1658</v>
      </c>
      <c r="F205" t="s">
        <v>1455</v>
      </c>
      <c r="G205">
        <v>117.593</v>
      </c>
      <c r="H205">
        <v>9.2173808563409398E-3</v>
      </c>
      <c r="I205">
        <v>117.706</v>
      </c>
      <c r="J205">
        <v>3.5895468303705999E-3</v>
      </c>
      <c r="K205" t="s">
        <v>1143</v>
      </c>
      <c r="L205" t="s">
        <v>940</v>
      </c>
    </row>
    <row r="206" spans="1:12" x14ac:dyDescent="0.35">
      <c r="A206">
        <v>4.5025943450948999E-2</v>
      </c>
      <c r="B206">
        <v>4.0827649049089101E-2</v>
      </c>
      <c r="C206">
        <v>9.2834286401326696E-2</v>
      </c>
      <c r="D206">
        <v>6.4160755006020101E-2</v>
      </c>
      <c r="E206" t="s">
        <v>1659</v>
      </c>
      <c r="F206" t="s">
        <v>1455</v>
      </c>
      <c r="G206">
        <v>119.419</v>
      </c>
      <c r="H206">
        <v>1.5528135178114201E-2</v>
      </c>
      <c r="I206">
        <v>119.416</v>
      </c>
      <c r="J206">
        <v>1.45277216114725E-2</v>
      </c>
      <c r="K206" t="s">
        <v>1144</v>
      </c>
      <c r="L206" t="s">
        <v>940</v>
      </c>
    </row>
    <row r="207" spans="1:12" x14ac:dyDescent="0.35">
      <c r="A207">
        <v>6.4441802743663304E-2</v>
      </c>
      <c r="B207">
        <v>4.1247362410053098E-2</v>
      </c>
      <c r="C207">
        <v>8.0575514620662397E-2</v>
      </c>
      <c r="D207">
        <v>0.104589902157439</v>
      </c>
      <c r="E207" t="s">
        <v>1660</v>
      </c>
      <c r="F207" t="s">
        <v>1455</v>
      </c>
      <c r="G207">
        <v>121.425</v>
      </c>
      <c r="H207">
        <v>1.6797996968656699E-2</v>
      </c>
      <c r="I207">
        <v>122.101</v>
      </c>
      <c r="J207">
        <v>2.24844241977624E-2</v>
      </c>
      <c r="K207" t="s">
        <v>1145</v>
      </c>
      <c r="L207" t="s">
        <v>940</v>
      </c>
    </row>
    <row r="208" spans="1:12" x14ac:dyDescent="0.35">
      <c r="A208">
        <v>5.5998846943190198E-2</v>
      </c>
      <c r="B208">
        <v>4.40178580952795E-2</v>
      </c>
      <c r="C208">
        <v>6.4680375979367696E-2</v>
      </c>
      <c r="D208">
        <v>9.3631239224950299E-2</v>
      </c>
      <c r="E208" t="s">
        <v>1661</v>
      </c>
      <c r="F208" t="s">
        <v>1455</v>
      </c>
      <c r="G208">
        <v>123.291</v>
      </c>
      <c r="H208">
        <v>1.53675108091413E-2</v>
      </c>
      <c r="I208">
        <v>124.71</v>
      </c>
      <c r="J208">
        <v>2.13675563672697E-2</v>
      </c>
      <c r="K208" t="s">
        <v>1146</v>
      </c>
      <c r="L208" t="s">
        <v>940</v>
      </c>
    </row>
    <row r="209" spans="1:12" x14ac:dyDescent="0.35">
      <c r="A209">
        <v>6.1859650545573498E-2</v>
      </c>
      <c r="B209">
        <v>4.34322998250962E-2</v>
      </c>
      <c r="C209">
        <v>8.4136934840178798E-2</v>
      </c>
      <c r="D209">
        <v>0.12124821634027599</v>
      </c>
      <c r="E209" t="s">
        <v>1662</v>
      </c>
      <c r="F209" t="s">
        <v>1455</v>
      </c>
      <c r="G209">
        <v>125.712</v>
      </c>
      <c r="H209">
        <v>1.96364698153151E-2</v>
      </c>
      <c r="I209">
        <v>128.44900000000001</v>
      </c>
      <c r="J209">
        <v>2.9981557212733798E-2</v>
      </c>
      <c r="K209" t="s">
        <v>1147</v>
      </c>
      <c r="L209" t="s">
        <v>940</v>
      </c>
    </row>
    <row r="210" spans="1:12" x14ac:dyDescent="0.35">
      <c r="A210">
        <v>7.4784916271317198E-2</v>
      </c>
      <c r="B210">
        <v>5.6798579453040801E-2</v>
      </c>
      <c r="C210">
        <v>0.10120576467409099</v>
      </c>
      <c r="D210">
        <v>0.12687792670398401</v>
      </c>
      <c r="E210" t="s">
        <v>1663</v>
      </c>
      <c r="F210" t="s">
        <v>1455</v>
      </c>
      <c r="G210">
        <v>129</v>
      </c>
      <c r="H210">
        <v>2.6155021000381799E-2</v>
      </c>
      <c r="I210">
        <v>132.33099999999999</v>
      </c>
      <c r="J210">
        <v>3.0222111499505398E-2</v>
      </c>
      <c r="K210" t="s">
        <v>1148</v>
      </c>
      <c r="L210" t="s">
        <v>940</v>
      </c>
    </row>
    <row r="211" spans="1:12" x14ac:dyDescent="0.35">
      <c r="A211">
        <v>7.2922192171477093E-2</v>
      </c>
      <c r="B211">
        <v>5.9959109255099501E-2</v>
      </c>
      <c r="C211">
        <v>0.15221841372862299</v>
      </c>
      <c r="D211">
        <v>0.13796693794697101</v>
      </c>
      <c r="E211" t="s">
        <v>1664</v>
      </c>
      <c r="F211" t="s">
        <v>1455</v>
      </c>
      <c r="G211">
        <v>133.62100000000001</v>
      </c>
      <c r="H211">
        <v>3.5821705426356799E-2</v>
      </c>
      <c r="I211">
        <v>136.69900000000001</v>
      </c>
      <c r="J211">
        <v>3.3008138682546297E-2</v>
      </c>
      <c r="K211" t="s">
        <v>1149</v>
      </c>
      <c r="L211" t="s">
        <v>940</v>
      </c>
    </row>
    <row r="212" spans="1:12" x14ac:dyDescent="0.35">
      <c r="A212">
        <v>4.1796200977757901E-2</v>
      </c>
      <c r="B212">
        <v>4.8377032065661102E-2</v>
      </c>
      <c r="C212">
        <v>8.9811228034972802E-3</v>
      </c>
      <c r="D212">
        <v>8.9581033951388098E-2</v>
      </c>
      <c r="E212" t="s">
        <v>1665</v>
      </c>
      <c r="F212" t="s">
        <v>1455</v>
      </c>
      <c r="H212">
        <v>1.10762503071244E-2</v>
      </c>
      <c r="J212">
        <v>1.10762503071244E-2</v>
      </c>
      <c r="K212" t="s">
        <v>1150</v>
      </c>
      <c r="L212" t="s">
        <v>1151</v>
      </c>
    </row>
    <row r="213" spans="1:12" x14ac:dyDescent="0.35">
      <c r="A213">
        <v>2.7447616796656402E-2</v>
      </c>
      <c r="B213">
        <v>2.3249618404576101E-2</v>
      </c>
      <c r="C213">
        <v>3.8298767461848897E-2</v>
      </c>
      <c r="D213">
        <v>3.8298767461848897E-2</v>
      </c>
      <c r="E213" t="s">
        <v>1666</v>
      </c>
      <c r="F213" t="s">
        <v>1667</v>
      </c>
      <c r="H213">
        <v>9.4401732935755992E-3</v>
      </c>
      <c r="J213">
        <v>9.4401732935755992E-3</v>
      </c>
      <c r="K213" t="s">
        <v>1152</v>
      </c>
      <c r="L213" t="s">
        <v>1151</v>
      </c>
    </row>
    <row r="214" spans="1:12" x14ac:dyDescent="0.35">
      <c r="A214">
        <v>2.49173870638888E-2</v>
      </c>
      <c r="B214">
        <v>2.1715756912072299E-2</v>
      </c>
      <c r="C214">
        <v>3.6085750781477598E-2</v>
      </c>
      <c r="D214">
        <v>3.6085750781477598E-2</v>
      </c>
      <c r="E214" t="s">
        <v>1668</v>
      </c>
      <c r="F214" t="s">
        <v>1667</v>
      </c>
      <c r="H214">
        <v>8.9018658885664497E-3</v>
      </c>
      <c r="J214">
        <v>8.9018658885664497E-3</v>
      </c>
      <c r="K214" t="s">
        <v>1153</v>
      </c>
      <c r="L214" t="s">
        <v>1151</v>
      </c>
    </row>
    <row r="215" spans="1:12" x14ac:dyDescent="0.35">
      <c r="A215">
        <v>2.33440010578361E-2</v>
      </c>
      <c r="B215">
        <v>2.1485909848918801E-2</v>
      </c>
      <c r="C215">
        <v>3.2005284910624002E-2</v>
      </c>
      <c r="D215">
        <v>3.2005284910624002E-2</v>
      </c>
      <c r="E215" t="s">
        <v>1669</v>
      </c>
      <c r="F215" t="s">
        <v>1667</v>
      </c>
      <c r="H215">
        <v>7.9070438771131606E-3</v>
      </c>
      <c r="J215">
        <v>7.9070438771131606E-3</v>
      </c>
      <c r="K215" t="s">
        <v>1154</v>
      </c>
      <c r="L215" t="s">
        <v>1151</v>
      </c>
    </row>
    <row r="216" spans="1:12" x14ac:dyDescent="0.35">
      <c r="A216">
        <v>2.2676579457354702E-2</v>
      </c>
      <c r="B216">
        <v>2.1729771469873E-2</v>
      </c>
      <c r="C216">
        <v>2.9538555790939999E-2</v>
      </c>
      <c r="D216">
        <v>2.9538555790939999E-2</v>
      </c>
      <c r="E216" t="s">
        <v>1670</v>
      </c>
      <c r="F216" t="s">
        <v>1667</v>
      </c>
      <c r="H216">
        <v>7.3042210756391101E-3</v>
      </c>
      <c r="J216">
        <v>7.3042210756391101E-3</v>
      </c>
      <c r="K216" t="s">
        <v>1155</v>
      </c>
      <c r="L216" t="s">
        <v>1151</v>
      </c>
    </row>
    <row r="217" spans="1:12" x14ac:dyDescent="0.35">
      <c r="A217">
        <v>2.2178287431426899E-2</v>
      </c>
      <c r="B217">
        <v>2.22727407121028E-2</v>
      </c>
      <c r="C217">
        <v>2.8512142036472E-2</v>
      </c>
      <c r="D217">
        <v>2.8512142036472E-2</v>
      </c>
      <c r="E217" t="s">
        <v>1671</v>
      </c>
      <c r="F217" t="s">
        <v>1667</v>
      </c>
      <c r="H217">
        <v>7.0530654325617901E-3</v>
      </c>
      <c r="J217">
        <v>7.0530654325617901E-3</v>
      </c>
      <c r="K217" t="s">
        <v>1156</v>
      </c>
      <c r="L217" t="s">
        <v>1151</v>
      </c>
    </row>
    <row r="218" spans="1:12" x14ac:dyDescent="0.35">
      <c r="A218">
        <v>2.1434276652948898E-2</v>
      </c>
      <c r="B218">
        <v>2.23623952750127E-2</v>
      </c>
      <c r="C218">
        <v>2.8283584176253401E-2</v>
      </c>
      <c r="D218">
        <v>2.8283584176253401E-2</v>
      </c>
      <c r="E218" t="s">
        <v>1672</v>
      </c>
      <c r="F218" t="s">
        <v>1667</v>
      </c>
      <c r="H218">
        <v>6.9971134735056202E-3</v>
      </c>
      <c r="J218">
        <v>6.9971134735056202E-3</v>
      </c>
      <c r="K218" t="s">
        <v>1157</v>
      </c>
      <c r="L218" t="s">
        <v>1151</v>
      </c>
    </row>
    <row r="219" spans="1:12" x14ac:dyDescent="0.35">
      <c r="A219">
        <v>2.10072065089228E-2</v>
      </c>
      <c r="B219">
        <v>2.2496789219665199E-2</v>
      </c>
      <c r="C219">
        <v>2.7654852328046001E-2</v>
      </c>
      <c r="D219">
        <v>2.7654852328046001E-2</v>
      </c>
      <c r="E219" t="s">
        <v>1673</v>
      </c>
      <c r="F219" t="s">
        <v>1667</v>
      </c>
      <c r="H219">
        <v>6.8431490448084302E-3</v>
      </c>
      <c r="J219">
        <v>6.8431490448084302E-3</v>
      </c>
      <c r="K219" t="s">
        <v>1158</v>
      </c>
      <c r="L219" t="s">
        <v>1151</v>
      </c>
    </row>
    <row r="220" spans="1:12" x14ac:dyDescent="0.35">
      <c r="A220">
        <v>2.0591622707038602E-2</v>
      </c>
      <c r="B220">
        <v>2.25123599902981E-2</v>
      </c>
      <c r="C220">
        <v>2.7753662335143502E-2</v>
      </c>
      <c r="D220">
        <v>2.7753662335143502E-2</v>
      </c>
      <c r="E220" t="s">
        <v>1674</v>
      </c>
      <c r="F220" t="s">
        <v>1667</v>
      </c>
      <c r="H220">
        <v>6.8673504076357502E-3</v>
      </c>
      <c r="J220">
        <v>6.8673504076357502E-3</v>
      </c>
      <c r="K220" t="s">
        <v>1159</v>
      </c>
      <c r="L220" t="s">
        <v>1151</v>
      </c>
    </row>
    <row r="221" spans="1:12" x14ac:dyDescent="0.35">
      <c r="A221">
        <v>2.0347186911993099E-2</v>
      </c>
      <c r="B221">
        <v>2.2891901714989799E-2</v>
      </c>
      <c r="C221">
        <v>2.8110399323646899E-2</v>
      </c>
      <c r="D221">
        <v>2.8110399323646899E-2</v>
      </c>
      <c r="E221" t="s">
        <v>1675</v>
      </c>
      <c r="F221" t="s">
        <v>1667</v>
      </c>
      <c r="H221">
        <v>6.9547108559351303E-3</v>
      </c>
      <c r="J221">
        <v>6.9547108559351303E-3</v>
      </c>
      <c r="K221" t="s">
        <v>1160</v>
      </c>
      <c r="L221" t="s">
        <v>1151</v>
      </c>
    </row>
    <row r="222" spans="1:12" x14ac:dyDescent="0.35">
      <c r="A222">
        <v>2.03844462174123E-2</v>
      </c>
      <c r="B222">
        <v>2.2688598137850801E-2</v>
      </c>
      <c r="C222">
        <v>2.89673943247446E-2</v>
      </c>
      <c r="D222">
        <v>2.89673943247446E-2</v>
      </c>
      <c r="E222" t="s">
        <v>1676</v>
      </c>
      <c r="F222" t="s">
        <v>1667</v>
      </c>
      <c r="H222">
        <v>7.1644853940870902E-3</v>
      </c>
      <c r="J222">
        <v>7.1644853940870902E-3</v>
      </c>
      <c r="K222" t="s">
        <v>1161</v>
      </c>
      <c r="L222" t="s">
        <v>1151</v>
      </c>
    </row>
    <row r="223" spans="1:12" x14ac:dyDescent="0.35">
      <c r="A223">
        <v>2.02121429685698E-2</v>
      </c>
      <c r="B223">
        <v>2.2861927422401802E-2</v>
      </c>
      <c r="C223">
        <v>2.97171972862664E-2</v>
      </c>
      <c r="D223">
        <v>2.97171972862664E-2</v>
      </c>
      <c r="E223" t="s">
        <v>1677</v>
      </c>
      <c r="F223" t="s">
        <v>1667</v>
      </c>
      <c r="H223">
        <v>7.3479141028771596E-3</v>
      </c>
      <c r="J223">
        <v>7.3479141028771596E-3</v>
      </c>
      <c r="K223" t="s">
        <v>1162</v>
      </c>
      <c r="L223" t="s">
        <v>1151</v>
      </c>
    </row>
    <row r="224" spans="1:12" x14ac:dyDescent="0.35">
      <c r="A224">
        <v>2.00951255413373E-2</v>
      </c>
      <c r="B224">
        <v>2.2789213164977801E-2</v>
      </c>
      <c r="C224">
        <v>2.9972823640437098E-2</v>
      </c>
      <c r="D224">
        <v>2.9972823640437098E-2</v>
      </c>
      <c r="E224" t="s">
        <v>1678</v>
      </c>
      <c r="F224" t="s">
        <v>1667</v>
      </c>
      <c r="H224">
        <v>7.4104265836887296E-3</v>
      </c>
      <c r="J224">
        <v>7.4104265836887296E-3</v>
      </c>
      <c r="K224" t="s">
        <v>1163</v>
      </c>
      <c r="L224" t="s">
        <v>1151</v>
      </c>
    </row>
    <row r="225" spans="1:12" x14ac:dyDescent="0.35">
      <c r="A225">
        <v>2.0005533751415599E-2</v>
      </c>
      <c r="B225">
        <v>2.30067515754304E-2</v>
      </c>
      <c r="C225">
        <v>3.0378543432117301E-2</v>
      </c>
      <c r="D225">
        <v>3.0378543432117301E-2</v>
      </c>
      <c r="E225" t="s">
        <v>1679</v>
      </c>
      <c r="F225" t="s">
        <v>1667</v>
      </c>
      <c r="H225">
        <v>7.5096199742570296E-3</v>
      </c>
      <c r="J225">
        <v>7.5096199742570296E-3</v>
      </c>
      <c r="K225" t="s">
        <v>1164</v>
      </c>
      <c r="L225" t="s">
        <v>1151</v>
      </c>
    </row>
    <row r="226" spans="1:12" x14ac:dyDescent="0.35">
      <c r="A226">
        <v>1.9992497685795502E-2</v>
      </c>
      <c r="B226">
        <v>2.28689196510703E-2</v>
      </c>
      <c r="C226">
        <v>3.0384347471833498E-2</v>
      </c>
      <c r="D226">
        <v>3.0384347471833498E-2</v>
      </c>
      <c r="E226" t="s">
        <v>1680</v>
      </c>
      <c r="F226" t="s">
        <v>1667</v>
      </c>
      <c r="H226">
        <v>7.5110387764860701E-3</v>
      </c>
      <c r="J226">
        <v>7.5110387764860701E-3</v>
      </c>
      <c r="K226" t="s">
        <v>1165</v>
      </c>
      <c r="L226" t="s">
        <v>1151</v>
      </c>
    </row>
    <row r="227" spans="1:12" x14ac:dyDescent="0.35">
      <c r="A227">
        <v>1.99491524210023E-2</v>
      </c>
      <c r="B227">
        <v>2.2952518060170599E-2</v>
      </c>
      <c r="C227">
        <v>3.0780667439755299E-2</v>
      </c>
      <c r="D227">
        <v>3.0780667439755299E-2</v>
      </c>
      <c r="E227" t="s">
        <v>1681</v>
      </c>
      <c r="F227" t="s">
        <v>1667</v>
      </c>
      <c r="H227">
        <v>7.6079053396602703E-3</v>
      </c>
      <c r="J227">
        <v>7.6079053396602703E-3</v>
      </c>
      <c r="K227" t="s">
        <v>1166</v>
      </c>
      <c r="L227" t="s">
        <v>1151</v>
      </c>
    </row>
    <row r="228" spans="1:12" x14ac:dyDescent="0.35">
      <c r="A228">
        <v>1.99785657506244E-2</v>
      </c>
      <c r="B228">
        <v>2.3092018308592099E-2</v>
      </c>
      <c r="C228">
        <v>3.09234356698747E-2</v>
      </c>
      <c r="D228">
        <v>3.09234356698747E-2</v>
      </c>
      <c r="E228" t="s">
        <v>1682</v>
      </c>
      <c r="F228" t="s">
        <v>1667</v>
      </c>
      <c r="H228">
        <v>7.6427931995954896E-3</v>
      </c>
      <c r="J228">
        <v>7.6427931995954896E-3</v>
      </c>
      <c r="K228" t="s">
        <v>1167</v>
      </c>
      <c r="L228" t="s">
        <v>1151</v>
      </c>
    </row>
    <row r="229" spans="1:12" x14ac:dyDescent="0.35">
      <c r="A229">
        <v>1.9973482507164499E-2</v>
      </c>
      <c r="B229">
        <v>2.29188557927167E-2</v>
      </c>
      <c r="C229">
        <v>3.0940126349132901E-2</v>
      </c>
      <c r="D229">
        <v>3.0940126349132901E-2</v>
      </c>
      <c r="E229" t="s">
        <v>1683</v>
      </c>
      <c r="F229" t="s">
        <v>1667</v>
      </c>
      <c r="H229">
        <v>7.6468716160857904E-3</v>
      </c>
      <c r="J229">
        <v>7.6468716160857904E-3</v>
      </c>
      <c r="K229" t="s">
        <v>1168</v>
      </c>
      <c r="L229" t="s">
        <v>1151</v>
      </c>
    </row>
    <row r="230" spans="1:12" x14ac:dyDescent="0.35">
      <c r="A230">
        <v>2.00262569988248E-2</v>
      </c>
      <c r="B230">
        <v>2.34219478386497E-2</v>
      </c>
      <c r="C230">
        <v>3.08963138434795E-2</v>
      </c>
      <c r="D230">
        <v>3.08963138434795E-2</v>
      </c>
      <c r="E230" t="s">
        <v>1684</v>
      </c>
      <c r="F230" t="s">
        <v>1667</v>
      </c>
      <c r="H230">
        <v>7.6361657960506398E-3</v>
      </c>
      <c r="J230">
        <v>7.6361657960506398E-3</v>
      </c>
      <c r="K230" t="s">
        <v>1169</v>
      </c>
      <c r="L230" t="s">
        <v>1151</v>
      </c>
    </row>
    <row r="231" spans="1:12" x14ac:dyDescent="0.35">
      <c r="A231">
        <v>2.0068184200822601E-2</v>
      </c>
      <c r="B231">
        <v>2.29559923804479E-2</v>
      </c>
      <c r="C231">
        <v>3.1171169586274899E-2</v>
      </c>
      <c r="D231">
        <v>3.1171169586274899E-2</v>
      </c>
      <c r="E231" t="s">
        <v>1685</v>
      </c>
      <c r="F231" t="s">
        <v>1667</v>
      </c>
      <c r="H231">
        <v>7.7033226228278E-3</v>
      </c>
      <c r="J231">
        <v>7.7033226228278E-3</v>
      </c>
      <c r="K231" t="s">
        <v>1170</v>
      </c>
      <c r="L231" t="s">
        <v>1151</v>
      </c>
    </row>
    <row r="232" spans="1:12" x14ac:dyDescent="0.35">
      <c r="A232">
        <v>2.00733299513789E-2</v>
      </c>
      <c r="B232">
        <v>2.3089907346120601E-2</v>
      </c>
      <c r="C232">
        <v>3.11290252355114E-2</v>
      </c>
      <c r="D232">
        <v>3.11290252355114E-2</v>
      </c>
      <c r="E232" t="s">
        <v>1686</v>
      </c>
      <c r="F232" t="s">
        <v>1667</v>
      </c>
      <c r="H232">
        <v>7.6930261622452098E-3</v>
      </c>
      <c r="J232">
        <v>7.6930261622452098E-3</v>
      </c>
      <c r="K232" t="s">
        <v>1171</v>
      </c>
      <c r="L232" t="s">
        <v>1151</v>
      </c>
    </row>
    <row r="233" spans="1:12" x14ac:dyDescent="0.35">
      <c r="A233">
        <v>2.00833471581769E-2</v>
      </c>
      <c r="B233">
        <v>2.2986135275529802E-2</v>
      </c>
      <c r="C233">
        <v>3.12799263503531E-2</v>
      </c>
      <c r="D233">
        <v>3.12799263503531E-2</v>
      </c>
      <c r="E233" t="s">
        <v>1687</v>
      </c>
      <c r="F233" t="s">
        <v>1667</v>
      </c>
      <c r="H233">
        <v>7.72989197946106E-3</v>
      </c>
      <c r="J233">
        <v>7.72989197946106E-3</v>
      </c>
      <c r="K233" t="s">
        <v>1172</v>
      </c>
      <c r="L233" t="s">
        <v>1151</v>
      </c>
    </row>
    <row r="234" spans="1:12" x14ac:dyDescent="0.35">
      <c r="A234">
        <v>2.0140093939852201E-2</v>
      </c>
      <c r="B234">
        <v>2.31414769468055E-2</v>
      </c>
      <c r="C234">
        <v>3.1432246791632999E-2</v>
      </c>
      <c r="D234">
        <v>3.1432246791632999E-2</v>
      </c>
      <c r="E234" t="s">
        <v>1688</v>
      </c>
      <c r="F234" t="s">
        <v>1667</v>
      </c>
      <c r="H234">
        <v>7.76710044167461E-3</v>
      </c>
      <c r="J234">
        <v>7.76710044167461E-3</v>
      </c>
      <c r="K234" t="s">
        <v>1173</v>
      </c>
      <c r="L234" t="s">
        <v>1151</v>
      </c>
    </row>
    <row r="235" spans="1:12" x14ac:dyDescent="0.35">
      <c r="A235">
        <v>2.02021592909249E-2</v>
      </c>
      <c r="B235">
        <v>2.2984714477401601E-2</v>
      </c>
      <c r="C235">
        <v>3.1205847095053599E-2</v>
      </c>
      <c r="D235">
        <v>3.1205847095053599E-2</v>
      </c>
      <c r="E235" t="s">
        <v>1689</v>
      </c>
      <c r="F235" t="s">
        <v>1667</v>
      </c>
      <c r="H235">
        <v>7.7117945916846996E-3</v>
      </c>
      <c r="J235">
        <v>7.7117945916846996E-3</v>
      </c>
      <c r="K235" t="s">
        <v>1174</v>
      </c>
      <c r="L235" t="s">
        <v>1151</v>
      </c>
    </row>
    <row r="236" spans="1:12" x14ac:dyDescent="0.35">
      <c r="A236">
        <v>2.0211898969260102E-2</v>
      </c>
      <c r="B236">
        <v>2.2913195171825301E-2</v>
      </c>
      <c r="C236">
        <v>3.14110402970686E-2</v>
      </c>
      <c r="D236">
        <v>3.14110402970686E-2</v>
      </c>
      <c r="E236" t="s">
        <v>1690</v>
      </c>
      <c r="F236" t="s">
        <v>1667</v>
      </c>
      <c r="H236">
        <v>7.7619204183672101E-3</v>
      </c>
      <c r="J236">
        <v>7.7619204183672101E-3</v>
      </c>
      <c r="K236" t="s">
        <v>1175</v>
      </c>
      <c r="L236" t="s">
        <v>1151</v>
      </c>
    </row>
    <row r="237" spans="1:12" x14ac:dyDescent="0.35">
      <c r="A237">
        <v>2.0290430669000999E-2</v>
      </c>
      <c r="B237">
        <v>2.29758501503456E-2</v>
      </c>
      <c r="C237">
        <v>3.1565029186180898E-2</v>
      </c>
      <c r="D237">
        <v>3.1565029186180898E-2</v>
      </c>
      <c r="E237" t="s">
        <v>1691</v>
      </c>
      <c r="F237" t="s">
        <v>1667</v>
      </c>
      <c r="H237">
        <v>7.7995328359632401E-3</v>
      </c>
      <c r="J237">
        <v>7.7995328359632401E-3</v>
      </c>
      <c r="K237" t="s">
        <v>1176</v>
      </c>
      <c r="L237" t="s">
        <v>1151</v>
      </c>
    </row>
    <row r="238" spans="1:12" x14ac:dyDescent="0.35">
      <c r="A238">
        <v>2.0308808571870299E-2</v>
      </c>
      <c r="B238">
        <v>2.2824531954790599E-2</v>
      </c>
      <c r="C238">
        <v>3.1531274423854297E-2</v>
      </c>
      <c r="D238">
        <v>3.1531274423854297E-2</v>
      </c>
      <c r="E238" t="s">
        <v>1692</v>
      </c>
      <c r="F238" t="s">
        <v>1667</v>
      </c>
      <c r="H238">
        <v>7.7912884572341997E-3</v>
      </c>
      <c r="J238">
        <v>7.7912884572341997E-3</v>
      </c>
      <c r="K238" t="s">
        <v>1177</v>
      </c>
      <c r="L238" t="s">
        <v>1151</v>
      </c>
    </row>
    <row r="239" spans="1:12" x14ac:dyDescent="0.35">
      <c r="A239">
        <v>2.03080060292413E-2</v>
      </c>
      <c r="B239">
        <v>2.2972481063801901E-2</v>
      </c>
      <c r="C239">
        <v>3.1542996473644003E-2</v>
      </c>
      <c r="D239">
        <v>3.1542996473644003E-2</v>
      </c>
      <c r="E239" t="s">
        <v>1693</v>
      </c>
      <c r="F239" t="s">
        <v>1667</v>
      </c>
      <c r="H239">
        <v>7.7941515137436301E-3</v>
      </c>
      <c r="J239">
        <v>7.7941515137436301E-3</v>
      </c>
      <c r="K239" t="s">
        <v>1178</v>
      </c>
      <c r="L239" t="s">
        <v>1151</v>
      </c>
    </row>
    <row r="240" spans="1:12" x14ac:dyDescent="0.35">
      <c r="A240">
        <v>2.0323983720006399E-2</v>
      </c>
      <c r="B240">
        <v>2.2824566637221998E-2</v>
      </c>
      <c r="C240">
        <v>3.1855243350590097E-2</v>
      </c>
      <c r="D240">
        <v>3.1855243350590097E-2</v>
      </c>
      <c r="E240" t="s">
        <v>1694</v>
      </c>
      <c r="F240" t="s">
        <v>1667</v>
      </c>
      <c r="H240">
        <v>7.8704073905595494E-3</v>
      </c>
      <c r="J240">
        <v>7.8704073905595494E-3</v>
      </c>
      <c r="K240" t="s">
        <v>1179</v>
      </c>
      <c r="L240" t="s">
        <v>1151</v>
      </c>
    </row>
    <row r="241" spans="1:12" x14ac:dyDescent="0.35">
      <c r="A241">
        <v>2.0325704902500501E-2</v>
      </c>
      <c r="B241">
        <v>2.2886555231629101E-2</v>
      </c>
      <c r="C241">
        <v>3.1708818720508798E-2</v>
      </c>
      <c r="D241">
        <v>3.1708818720508798E-2</v>
      </c>
      <c r="E241" t="s">
        <v>1695</v>
      </c>
      <c r="F241" t="s">
        <v>1667</v>
      </c>
      <c r="H241">
        <v>7.8346502176538397E-3</v>
      </c>
      <c r="J241">
        <v>7.8346502176538397E-3</v>
      </c>
      <c r="K241" t="s">
        <v>1180</v>
      </c>
      <c r="L241" t="s">
        <v>1151</v>
      </c>
    </row>
    <row r="242" spans="1:12" x14ac:dyDescent="0.35">
      <c r="A242">
        <v>2.0305041683886599E-2</v>
      </c>
      <c r="B242">
        <v>2.29465623765257E-2</v>
      </c>
      <c r="C242">
        <v>3.1893508731351002E-2</v>
      </c>
      <c r="D242">
        <v>3.1893508731351002E-2</v>
      </c>
      <c r="E242" t="s">
        <v>1696</v>
      </c>
      <c r="F242" t="s">
        <v>1667</v>
      </c>
      <c r="H242">
        <v>7.8797512420421007E-3</v>
      </c>
      <c r="J242">
        <v>7.8797512420421007E-3</v>
      </c>
      <c r="K242" t="s">
        <v>1181</v>
      </c>
      <c r="L242" t="s">
        <v>1151</v>
      </c>
    </row>
    <row r="243" spans="1:12" x14ac:dyDescent="0.35">
      <c r="A243">
        <v>2.0287096358251301E-2</v>
      </c>
      <c r="B243">
        <v>2.2798980065175601E-2</v>
      </c>
      <c r="C243">
        <v>3.1810408581062898E-2</v>
      </c>
      <c r="D243">
        <v>3.1810408581062898E-2</v>
      </c>
      <c r="E243" t="s">
        <v>1697</v>
      </c>
      <c r="F243" t="s">
        <v>1667</v>
      </c>
      <c r="H243">
        <v>7.8594590588953999E-3</v>
      </c>
      <c r="J243">
        <v>7.8594590588953999E-3</v>
      </c>
      <c r="K243" t="s">
        <v>1182</v>
      </c>
      <c r="L243" t="s">
        <v>1151</v>
      </c>
    </row>
    <row r="244" spans="1:12" x14ac:dyDescent="0.35">
      <c r="A244">
        <v>2.0271579331879098E-2</v>
      </c>
      <c r="B244">
        <v>2.2857567238674801E-2</v>
      </c>
      <c r="C244">
        <v>3.1611362599311098E-2</v>
      </c>
      <c r="D244">
        <v>3.1611362599311098E-2</v>
      </c>
      <c r="E244" t="s">
        <v>1698</v>
      </c>
      <c r="F244" t="s">
        <v>1667</v>
      </c>
      <c r="H244">
        <v>7.8108491379678098E-3</v>
      </c>
      <c r="J244">
        <v>7.8108491379678098E-3</v>
      </c>
      <c r="K244" t="s">
        <v>1183</v>
      </c>
      <c r="L244" t="s">
        <v>1151</v>
      </c>
    </row>
    <row r="245" spans="1:12" x14ac:dyDescent="0.35">
      <c r="A245">
        <v>2.0226750918557398E-2</v>
      </c>
      <c r="B245">
        <v>2.30078651102898E-2</v>
      </c>
      <c r="C245">
        <v>3.1895036638032601E-2</v>
      </c>
      <c r="D245">
        <v>3.1895036638032601E-2</v>
      </c>
      <c r="E245" t="s">
        <v>1699</v>
      </c>
      <c r="F245" t="s">
        <v>1667</v>
      </c>
      <c r="H245">
        <v>7.8801243293176206E-3</v>
      </c>
      <c r="J245">
        <v>7.8801243293176206E-3</v>
      </c>
      <c r="K245" t="s">
        <v>1184</v>
      </c>
      <c r="L245" t="s">
        <v>1151</v>
      </c>
    </row>
    <row r="246" spans="1:12" x14ac:dyDescent="0.35">
      <c r="A246">
        <v>2.0229639632362201E-2</v>
      </c>
      <c r="B246">
        <v>2.2755662461575201E-2</v>
      </c>
      <c r="C246">
        <v>3.1906732152356301E-2</v>
      </c>
      <c r="D246">
        <v>3.1906732152356301E-2</v>
      </c>
      <c r="E246" t="s">
        <v>1700</v>
      </c>
      <c r="F246" t="s">
        <v>1667</v>
      </c>
      <c r="H246">
        <v>7.88298014941358E-3</v>
      </c>
      <c r="J246">
        <v>7.88298014941358E-3</v>
      </c>
      <c r="K246" t="s">
        <v>1185</v>
      </c>
      <c r="L246" t="s">
        <v>1151</v>
      </c>
    </row>
    <row r="247" spans="1:12" x14ac:dyDescent="0.35">
      <c r="A247">
        <v>2.0196749252488402E-2</v>
      </c>
      <c r="B247">
        <v>2.2817811468051102E-2</v>
      </c>
      <c r="C247">
        <v>3.1666344390047098E-2</v>
      </c>
      <c r="D247">
        <v>3.1666344390047098E-2</v>
      </c>
      <c r="E247" t="s">
        <v>1701</v>
      </c>
      <c r="F247" t="s">
        <v>1667</v>
      </c>
      <c r="H247">
        <v>7.8242771932854893E-3</v>
      </c>
      <c r="J247">
        <v>7.8242771932854893E-3</v>
      </c>
      <c r="K247" t="s">
        <v>1186</v>
      </c>
      <c r="L247" t="s">
        <v>1151</v>
      </c>
    </row>
    <row r="248" spans="1:12" x14ac:dyDescent="0.35">
      <c r="A248">
        <v>2.0138226913895701E-2</v>
      </c>
      <c r="B248">
        <v>2.3174738681931199E-2</v>
      </c>
      <c r="C248">
        <v>3.1749922428638201E-2</v>
      </c>
      <c r="D248">
        <v>3.1749922428638201E-2</v>
      </c>
      <c r="E248" t="s">
        <v>1702</v>
      </c>
      <c r="F248" t="s">
        <v>1667</v>
      </c>
      <c r="H248">
        <v>7.8446882055194199E-3</v>
      </c>
      <c r="J248">
        <v>7.8446882055194199E-3</v>
      </c>
      <c r="K248" t="s">
        <v>1187</v>
      </c>
      <c r="L248" t="s">
        <v>1151</v>
      </c>
    </row>
    <row r="249" spans="1:12" x14ac:dyDescent="0.35">
      <c r="A249">
        <v>2.0129535533826501E-2</v>
      </c>
      <c r="B249">
        <v>2.27379267080541E-2</v>
      </c>
      <c r="C249">
        <v>3.1908648163189397E-2</v>
      </c>
      <c r="D249">
        <v>3.1908648163189397E-2</v>
      </c>
      <c r="E249" t="s">
        <v>1703</v>
      </c>
      <c r="F249" t="s">
        <v>1667</v>
      </c>
      <c r="H249">
        <v>7.8834480001659397E-3</v>
      </c>
      <c r="J249">
        <v>7.8834480001659397E-3</v>
      </c>
      <c r="K249" t="s">
        <v>1188</v>
      </c>
      <c r="L249" t="s">
        <v>1151</v>
      </c>
    </row>
    <row r="250" spans="1:12" x14ac:dyDescent="0.35">
      <c r="A250">
        <v>2.0106884793451098E-2</v>
      </c>
      <c r="B250">
        <v>2.3093327603912001E-2</v>
      </c>
      <c r="C250">
        <v>3.1692204125751702E-2</v>
      </c>
      <c r="D250">
        <v>3.1692204125751702E-2</v>
      </c>
      <c r="E250" t="s">
        <v>1704</v>
      </c>
      <c r="F250" t="s">
        <v>1667</v>
      </c>
      <c r="H250">
        <v>7.8305926616084598E-3</v>
      </c>
      <c r="J250">
        <v>7.8305926616084598E-3</v>
      </c>
      <c r="K250" t="s">
        <v>1189</v>
      </c>
      <c r="L250" t="s">
        <v>1151</v>
      </c>
    </row>
    <row r="251" spans="1:12" x14ac:dyDescent="0.35">
      <c r="A251">
        <v>2.0037252982960399E-2</v>
      </c>
      <c r="B251">
        <v>2.2853757020905099E-2</v>
      </c>
      <c r="C251">
        <v>3.1763978164364597E-2</v>
      </c>
      <c r="D251">
        <v>3.1763978164364597E-2</v>
      </c>
      <c r="E251" t="s">
        <v>1705</v>
      </c>
      <c r="F251" t="s">
        <v>1667</v>
      </c>
      <c r="H251">
        <v>7.8481207054677E-3</v>
      </c>
      <c r="J251">
        <v>7.8481207054677E-3</v>
      </c>
      <c r="K251" t="s">
        <v>1190</v>
      </c>
      <c r="L251" t="s">
        <v>1151</v>
      </c>
    </row>
    <row r="252" spans="1:12" x14ac:dyDescent="0.35">
      <c r="A252">
        <v>2.0056022895238401E-2</v>
      </c>
      <c r="B252">
        <v>2.2713969923905002E-2</v>
      </c>
      <c r="C252">
        <v>3.17278315390737E-2</v>
      </c>
      <c r="D252">
        <v>3.17278315390737E-2</v>
      </c>
      <c r="E252" t="s">
        <v>1706</v>
      </c>
      <c r="F252" t="s">
        <v>1667</v>
      </c>
      <c r="H252">
        <v>7.8392933990876195E-3</v>
      </c>
      <c r="J252">
        <v>7.8392933990876195E-3</v>
      </c>
      <c r="K252" t="s">
        <v>1191</v>
      </c>
      <c r="L252" t="s">
        <v>1151</v>
      </c>
    </row>
  </sheetData>
  <pageMargins left="0.7" right="0.7" top="0.75" bottom="0.75" header="0.3" footer="0.3"/>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9"/>
  <sheetViews>
    <sheetView zoomScaleNormal="100" workbookViewId="0">
      <selection activeCell="B2" sqref="B2"/>
    </sheetView>
  </sheetViews>
  <sheetFormatPr defaultColWidth="11.453125" defaultRowHeight="14.5" x14ac:dyDescent="0.35"/>
  <cols>
    <col min="1" max="1" width="23.81640625" customWidth="1"/>
    <col min="2" max="2" width="79.453125" customWidth="1"/>
    <col min="3" max="3" width="33.453125" customWidth="1"/>
  </cols>
  <sheetData>
    <row r="1" spans="1:4" ht="47.9" customHeight="1" x14ac:dyDescent="0.35">
      <c r="A1" s="44" t="s">
        <v>33</v>
      </c>
      <c r="B1" s="45" t="s">
        <v>34</v>
      </c>
      <c r="C1" s="45" t="s">
        <v>35</v>
      </c>
      <c r="D1" s="46" t="s">
        <v>36</v>
      </c>
    </row>
    <row r="2" spans="1:4" ht="79.5" customHeight="1" x14ac:dyDescent="0.35">
      <c r="A2" s="41" t="s">
        <v>882</v>
      </c>
      <c r="B2" s="42" t="s">
        <v>912</v>
      </c>
      <c r="C2" s="42" t="s">
        <v>913</v>
      </c>
      <c r="D2" s="38" t="s">
        <v>927</v>
      </c>
    </row>
    <row r="3" spans="1:4" ht="63.75" customHeight="1" x14ac:dyDescent="0.35">
      <c r="A3" s="19" t="s">
        <v>79</v>
      </c>
      <c r="B3" s="37" t="s">
        <v>40</v>
      </c>
      <c r="C3" s="37" t="s">
        <v>41</v>
      </c>
      <c r="D3" s="39" t="s">
        <v>927</v>
      </c>
    </row>
    <row r="4" spans="1:4" ht="137.25" customHeight="1" x14ac:dyDescent="0.35">
      <c r="A4" s="47" t="s">
        <v>80</v>
      </c>
      <c r="B4" s="37" t="s">
        <v>911</v>
      </c>
      <c r="C4" s="14" t="s">
        <v>884</v>
      </c>
      <c r="D4" s="39"/>
    </row>
    <row r="5" spans="1:4" ht="29.25" customHeight="1" x14ac:dyDescent="0.35">
      <c r="A5" s="47" t="s">
        <v>81</v>
      </c>
      <c r="B5" s="48" t="s">
        <v>82</v>
      </c>
      <c r="C5" s="35" t="s">
        <v>83</v>
      </c>
      <c r="D5" s="39"/>
    </row>
    <row r="6" spans="1:4" ht="43.4" customHeight="1" x14ac:dyDescent="0.35">
      <c r="A6" s="21" t="s">
        <v>84</v>
      </c>
      <c r="B6" s="43" t="s">
        <v>886</v>
      </c>
      <c r="C6" s="36" t="s">
        <v>885</v>
      </c>
      <c r="D6" s="40"/>
    </row>
    <row r="8" spans="1:4" x14ac:dyDescent="0.35">
      <c r="B8" s="29"/>
    </row>
    <row r="9" spans="1:4" x14ac:dyDescent="0.35">
      <c r="B9" s="29"/>
    </row>
  </sheetData>
  <pageMargins left="0.7" right="0.7" top="0.75" bottom="0.75" header="0.3" footer="0.3"/>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F89"/>
  <sheetViews>
    <sheetView tabSelected="1" zoomScaleNormal="100" workbookViewId="0">
      <pane xSplit="1" ySplit="1" topLeftCell="GK2" activePane="bottomRight" state="frozen"/>
      <selection pane="topRight" activeCell="B1" sqref="B1"/>
      <selection pane="bottomLeft" activeCell="A2" sqref="A2"/>
      <selection pane="bottomRight" activeCell="HE62" sqref="HE62"/>
    </sheetView>
  </sheetViews>
  <sheetFormatPr defaultColWidth="11.453125" defaultRowHeight="14.5" x14ac:dyDescent="0.35"/>
  <cols>
    <col min="1" max="214" width="11.81640625" customWidth="1"/>
  </cols>
  <sheetData>
    <row r="1" spans="1:214" x14ac:dyDescent="0.35">
      <c r="A1" s="74" t="s">
        <v>1911</v>
      </c>
      <c r="B1" s="74" t="s">
        <v>1912</v>
      </c>
      <c r="C1" s="74" t="s">
        <v>1913</v>
      </c>
      <c r="D1" s="74" t="s">
        <v>1914</v>
      </c>
      <c r="E1" s="74" t="s">
        <v>1915</v>
      </c>
      <c r="F1" s="74" t="s">
        <v>1916</v>
      </c>
      <c r="G1" s="74" t="s">
        <v>1917</v>
      </c>
      <c r="H1" s="74" t="s">
        <v>1918</v>
      </c>
      <c r="I1" s="74" t="s">
        <v>1919</v>
      </c>
      <c r="J1" s="74" t="s">
        <v>1920</v>
      </c>
      <c r="K1" s="74" t="s">
        <v>1921</v>
      </c>
      <c r="L1" s="74" t="s">
        <v>1922</v>
      </c>
      <c r="M1" s="74" t="s">
        <v>1923</v>
      </c>
      <c r="N1" s="74" t="s">
        <v>1924</v>
      </c>
      <c r="O1" s="74" t="s">
        <v>1925</v>
      </c>
      <c r="P1" s="74" t="s">
        <v>1926</v>
      </c>
      <c r="Q1" s="74" t="s">
        <v>1927</v>
      </c>
      <c r="R1" s="74" t="s">
        <v>1928</v>
      </c>
      <c r="S1" s="74" t="s">
        <v>1929</v>
      </c>
      <c r="T1" s="74" t="s">
        <v>1930</v>
      </c>
      <c r="U1" s="74" t="s">
        <v>1931</v>
      </c>
      <c r="V1" s="74" t="s">
        <v>1932</v>
      </c>
      <c r="W1" s="74" t="s">
        <v>1933</v>
      </c>
      <c r="X1" s="74" t="s">
        <v>1934</v>
      </c>
      <c r="Y1" s="74" t="s">
        <v>1935</v>
      </c>
      <c r="Z1" s="74" t="s">
        <v>1936</v>
      </c>
      <c r="AA1" s="74" t="s">
        <v>1937</v>
      </c>
      <c r="AB1" s="74" t="s">
        <v>1938</v>
      </c>
      <c r="AC1" s="74" t="s">
        <v>1939</v>
      </c>
      <c r="AD1" s="74" t="s">
        <v>1940</v>
      </c>
      <c r="AE1" s="74" t="s">
        <v>1941</v>
      </c>
      <c r="AF1" s="74" t="s">
        <v>1942</v>
      </c>
      <c r="AG1" s="74" t="s">
        <v>1943</v>
      </c>
      <c r="AH1" s="74" t="s">
        <v>1944</v>
      </c>
      <c r="AI1" s="74" t="s">
        <v>1945</v>
      </c>
      <c r="AJ1" s="74" t="s">
        <v>1946</v>
      </c>
      <c r="AK1" s="74" t="s">
        <v>1947</v>
      </c>
      <c r="AL1" s="74" t="s">
        <v>1948</v>
      </c>
      <c r="AM1" s="74" t="s">
        <v>1949</v>
      </c>
      <c r="AN1" s="74" t="s">
        <v>1950</v>
      </c>
      <c r="AO1" s="74" t="s">
        <v>1951</v>
      </c>
      <c r="AP1" s="74" t="s">
        <v>1952</v>
      </c>
      <c r="AQ1" s="74" t="s">
        <v>1953</v>
      </c>
      <c r="AR1" s="74" t="s">
        <v>1954</v>
      </c>
      <c r="AS1" s="74" t="s">
        <v>1955</v>
      </c>
      <c r="AT1" s="74" t="s">
        <v>1956</v>
      </c>
      <c r="AU1" s="74" t="s">
        <v>1957</v>
      </c>
      <c r="AV1" s="74" t="s">
        <v>1958</v>
      </c>
      <c r="AW1" s="74" t="s">
        <v>1959</v>
      </c>
      <c r="AX1" s="74" t="s">
        <v>1960</v>
      </c>
      <c r="AY1" s="74" t="s">
        <v>1961</v>
      </c>
      <c r="AZ1" s="74" t="s">
        <v>1962</v>
      </c>
      <c r="BA1" s="74" t="s">
        <v>1963</v>
      </c>
      <c r="BB1" s="74" t="s">
        <v>1964</v>
      </c>
      <c r="BC1" s="74" t="s">
        <v>1965</v>
      </c>
      <c r="BD1" s="74" t="s">
        <v>1966</v>
      </c>
      <c r="BE1" s="74" t="s">
        <v>1967</v>
      </c>
      <c r="BF1" s="74" t="s">
        <v>1968</v>
      </c>
      <c r="BG1" s="74" t="s">
        <v>1969</v>
      </c>
      <c r="BH1" s="74" t="s">
        <v>1970</v>
      </c>
      <c r="BI1" s="74" t="s">
        <v>1971</v>
      </c>
      <c r="BJ1" s="74" t="s">
        <v>1972</v>
      </c>
      <c r="BK1" s="74" t="s">
        <v>1973</v>
      </c>
      <c r="BL1" s="74" t="s">
        <v>1974</v>
      </c>
      <c r="BM1" s="74" t="s">
        <v>1975</v>
      </c>
      <c r="BN1" s="74" t="s">
        <v>1976</v>
      </c>
      <c r="BO1" s="74" t="s">
        <v>1977</v>
      </c>
      <c r="BP1" s="74" t="s">
        <v>1978</v>
      </c>
      <c r="BQ1" s="74" t="s">
        <v>1979</v>
      </c>
      <c r="BR1" s="74" t="s">
        <v>1980</v>
      </c>
      <c r="BS1" s="74" t="s">
        <v>1981</v>
      </c>
      <c r="BT1" s="74" t="s">
        <v>1982</v>
      </c>
      <c r="BU1" s="74" t="s">
        <v>1983</v>
      </c>
      <c r="BV1" s="74" t="s">
        <v>1984</v>
      </c>
      <c r="BW1" s="74" t="s">
        <v>1985</v>
      </c>
      <c r="BX1" s="74" t="s">
        <v>1986</v>
      </c>
      <c r="BY1" s="74" t="s">
        <v>1987</v>
      </c>
      <c r="BZ1" s="74" t="s">
        <v>1988</v>
      </c>
      <c r="CA1" s="74" t="s">
        <v>1989</v>
      </c>
      <c r="CB1" s="74" t="s">
        <v>1990</v>
      </c>
      <c r="CC1" s="74" t="s">
        <v>1991</v>
      </c>
      <c r="CD1" s="74" t="s">
        <v>1992</v>
      </c>
      <c r="CE1" s="74" t="s">
        <v>1993</v>
      </c>
      <c r="CF1" s="74" t="s">
        <v>1994</v>
      </c>
      <c r="CG1" s="74" t="s">
        <v>1995</v>
      </c>
      <c r="CH1" s="74" t="s">
        <v>1996</v>
      </c>
      <c r="CI1" s="74" t="s">
        <v>1997</v>
      </c>
      <c r="CJ1" s="74" t="s">
        <v>1998</v>
      </c>
      <c r="CK1" s="74" t="s">
        <v>1999</v>
      </c>
      <c r="CL1" s="74" t="s">
        <v>2000</v>
      </c>
      <c r="CM1" s="74" t="s">
        <v>2001</v>
      </c>
      <c r="CN1" s="74" t="s">
        <v>2002</v>
      </c>
      <c r="CO1" s="74" t="s">
        <v>2003</v>
      </c>
      <c r="CP1" s="74" t="s">
        <v>2004</v>
      </c>
      <c r="CQ1" s="74" t="s">
        <v>2005</v>
      </c>
      <c r="CR1" s="74" t="s">
        <v>2006</v>
      </c>
      <c r="CS1" s="74" t="s">
        <v>2007</v>
      </c>
      <c r="CT1" s="74" t="s">
        <v>2008</v>
      </c>
      <c r="CU1" s="74" t="s">
        <v>2009</v>
      </c>
      <c r="CV1" s="74" t="s">
        <v>2010</v>
      </c>
      <c r="CW1" s="74" t="s">
        <v>2011</v>
      </c>
      <c r="CX1" s="74" t="s">
        <v>2012</v>
      </c>
      <c r="CY1" s="74" t="s">
        <v>2013</v>
      </c>
      <c r="CZ1" s="74" t="s">
        <v>2014</v>
      </c>
      <c r="DA1" s="74" t="s">
        <v>2015</v>
      </c>
      <c r="DB1" s="74" t="s">
        <v>2016</v>
      </c>
      <c r="DC1" s="74" t="s">
        <v>2017</v>
      </c>
      <c r="DD1" s="74" t="s">
        <v>2018</v>
      </c>
      <c r="DE1" s="74" t="s">
        <v>2019</v>
      </c>
      <c r="DF1" s="74" t="s">
        <v>2020</v>
      </c>
      <c r="DG1" s="74" t="s">
        <v>2021</v>
      </c>
      <c r="DH1" s="74" t="s">
        <v>2022</v>
      </c>
      <c r="DI1" s="74" t="s">
        <v>2023</v>
      </c>
      <c r="DJ1" s="74" t="s">
        <v>2024</v>
      </c>
      <c r="DK1" s="74" t="s">
        <v>2025</v>
      </c>
      <c r="DL1" s="74" t="s">
        <v>2026</v>
      </c>
      <c r="DM1" s="74" t="s">
        <v>2027</v>
      </c>
      <c r="DN1" s="74" t="s">
        <v>2028</v>
      </c>
      <c r="DO1" s="74" t="s">
        <v>2029</v>
      </c>
      <c r="DP1" s="74" t="s">
        <v>2030</v>
      </c>
      <c r="DQ1" s="74" t="s">
        <v>2031</v>
      </c>
      <c r="DR1" s="74" t="s">
        <v>2032</v>
      </c>
      <c r="DS1" s="74" t="s">
        <v>2033</v>
      </c>
      <c r="DT1" s="74" t="s">
        <v>2034</v>
      </c>
      <c r="DU1" s="74" t="s">
        <v>2035</v>
      </c>
      <c r="DV1" s="74" t="s">
        <v>2036</v>
      </c>
      <c r="DW1" s="74" t="s">
        <v>2037</v>
      </c>
      <c r="DX1" s="74" t="s">
        <v>2038</v>
      </c>
      <c r="DY1" s="74" t="s">
        <v>2039</v>
      </c>
      <c r="DZ1" s="74" t="s">
        <v>2040</v>
      </c>
      <c r="EA1" s="74" t="s">
        <v>2041</v>
      </c>
      <c r="EB1" s="74" t="s">
        <v>2042</v>
      </c>
      <c r="EC1" s="74" t="s">
        <v>2043</v>
      </c>
      <c r="ED1" s="74" t="s">
        <v>2044</v>
      </c>
      <c r="EE1" s="74" t="s">
        <v>2045</v>
      </c>
      <c r="EF1" s="74" t="s">
        <v>2046</v>
      </c>
      <c r="EG1" s="74" t="s">
        <v>2047</v>
      </c>
      <c r="EH1" s="74" t="s">
        <v>2048</v>
      </c>
      <c r="EI1" s="74" t="s">
        <v>2049</v>
      </c>
      <c r="EJ1" s="74" t="s">
        <v>2050</v>
      </c>
      <c r="EK1" s="74" t="s">
        <v>2051</v>
      </c>
      <c r="EL1" s="74" t="s">
        <v>2052</v>
      </c>
      <c r="EM1" s="74" t="s">
        <v>2053</v>
      </c>
      <c r="EN1" s="74" t="s">
        <v>2054</v>
      </c>
      <c r="EO1" s="74" t="s">
        <v>2055</v>
      </c>
      <c r="EP1" s="74" t="s">
        <v>2056</v>
      </c>
      <c r="EQ1" s="74" t="s">
        <v>2057</v>
      </c>
      <c r="ER1" s="74" t="s">
        <v>2058</v>
      </c>
      <c r="ES1" s="74" t="s">
        <v>2059</v>
      </c>
      <c r="ET1" s="74" t="s">
        <v>2060</v>
      </c>
      <c r="EU1" s="74" t="s">
        <v>2061</v>
      </c>
      <c r="EV1" s="74" t="s">
        <v>2062</v>
      </c>
      <c r="EW1" s="74" t="s">
        <v>2063</v>
      </c>
      <c r="EX1" s="74" t="s">
        <v>2064</v>
      </c>
      <c r="EY1" s="74" t="s">
        <v>2065</v>
      </c>
      <c r="EZ1" s="74" t="s">
        <v>2066</v>
      </c>
      <c r="FA1" s="74" t="s">
        <v>2067</v>
      </c>
      <c r="FB1" s="74" t="s">
        <v>2068</v>
      </c>
      <c r="FC1" s="74" t="s">
        <v>2069</v>
      </c>
      <c r="FD1" s="74" t="s">
        <v>2070</v>
      </c>
      <c r="FE1" s="74" t="s">
        <v>2071</v>
      </c>
      <c r="FF1" s="74" t="s">
        <v>2072</v>
      </c>
      <c r="FG1" s="74" t="s">
        <v>2073</v>
      </c>
      <c r="FH1" s="74" t="s">
        <v>2074</v>
      </c>
      <c r="FI1" s="74" t="s">
        <v>2075</v>
      </c>
      <c r="FJ1" s="74" t="s">
        <v>2076</v>
      </c>
      <c r="FK1" s="74" t="s">
        <v>2077</v>
      </c>
      <c r="FL1" s="74" t="s">
        <v>2078</v>
      </c>
      <c r="FM1" s="74" t="s">
        <v>2079</v>
      </c>
      <c r="FN1" s="74" t="s">
        <v>2080</v>
      </c>
      <c r="FO1" s="74" t="s">
        <v>2081</v>
      </c>
      <c r="FP1" s="74" t="s">
        <v>2082</v>
      </c>
      <c r="FQ1" s="74" t="s">
        <v>2083</v>
      </c>
      <c r="FR1" s="74" t="s">
        <v>2084</v>
      </c>
      <c r="FS1" s="74" t="s">
        <v>2085</v>
      </c>
      <c r="FT1" s="74" t="s">
        <v>2086</v>
      </c>
      <c r="FU1" s="74" t="s">
        <v>2087</v>
      </c>
      <c r="FV1" s="74" t="s">
        <v>2088</v>
      </c>
      <c r="FW1" s="74" t="s">
        <v>2089</v>
      </c>
      <c r="FX1" s="74" t="s">
        <v>2090</v>
      </c>
      <c r="FY1" s="74" t="s">
        <v>2091</v>
      </c>
      <c r="FZ1" s="74" t="s">
        <v>2092</v>
      </c>
      <c r="GA1" s="74" t="s">
        <v>2093</v>
      </c>
      <c r="GB1" s="74" t="s">
        <v>2094</v>
      </c>
      <c r="GC1" s="74" t="s">
        <v>2095</v>
      </c>
      <c r="GD1" s="74" t="s">
        <v>2096</v>
      </c>
      <c r="GE1" s="74" t="s">
        <v>2097</v>
      </c>
      <c r="GF1" s="74" t="s">
        <v>2098</v>
      </c>
      <c r="GG1" s="74" t="s">
        <v>2099</v>
      </c>
      <c r="GH1" s="74" t="s">
        <v>2100</v>
      </c>
      <c r="GI1" s="74" t="s">
        <v>2101</v>
      </c>
      <c r="GJ1" s="74" t="s">
        <v>2102</v>
      </c>
      <c r="GK1" s="74" t="s">
        <v>2103</v>
      </c>
      <c r="GL1" s="74" t="s">
        <v>2104</v>
      </c>
      <c r="GM1" s="74" t="s">
        <v>2105</v>
      </c>
      <c r="GN1" s="74" t="s">
        <v>2106</v>
      </c>
      <c r="GO1" s="74" t="s">
        <v>2107</v>
      </c>
      <c r="GP1" s="74" t="s">
        <v>2108</v>
      </c>
      <c r="GQ1" s="74" t="s">
        <v>2109</v>
      </c>
      <c r="GR1" s="74" t="s">
        <v>2110</v>
      </c>
      <c r="GS1" s="74" t="s">
        <v>2111</v>
      </c>
      <c r="GT1" s="74" t="s">
        <v>2112</v>
      </c>
      <c r="GU1" s="74" t="s">
        <v>2113</v>
      </c>
      <c r="GV1" s="74" t="s">
        <v>2114</v>
      </c>
      <c r="GW1" s="74" t="s">
        <v>2115</v>
      </c>
      <c r="GX1" s="74" t="s">
        <v>2116</v>
      </c>
      <c r="GY1" s="74" t="s">
        <v>2117</v>
      </c>
      <c r="GZ1" s="74" t="s">
        <v>2118</v>
      </c>
      <c r="HA1" s="74" t="s">
        <v>2119</v>
      </c>
      <c r="HB1" s="74" t="s">
        <v>2120</v>
      </c>
      <c r="HC1" s="74" t="s">
        <v>2121</v>
      </c>
      <c r="HD1" s="74" t="s">
        <v>2122</v>
      </c>
      <c r="HE1" s="74" t="s">
        <v>2123</v>
      </c>
      <c r="HF1" s="1082" t="s">
        <v>2124</v>
      </c>
    </row>
    <row r="2" spans="1:214" x14ac:dyDescent="0.35">
      <c r="A2" s="35" t="s">
        <v>2125</v>
      </c>
      <c r="B2" s="35">
        <v>1051.2</v>
      </c>
      <c r="C2" s="35">
        <v>1067.4000000000001</v>
      </c>
      <c r="D2" s="35">
        <v>1086.0999999999999</v>
      </c>
      <c r="E2" s="35">
        <v>1088.5999999999999</v>
      </c>
      <c r="F2" s="35">
        <v>1135.2</v>
      </c>
      <c r="G2" s="35">
        <v>1156.3</v>
      </c>
      <c r="H2" s="35">
        <v>1177.7</v>
      </c>
      <c r="I2" s="35">
        <v>1190.3</v>
      </c>
      <c r="J2" s="35">
        <v>1230.5999999999999</v>
      </c>
      <c r="K2" s="35">
        <v>1266.4000000000001</v>
      </c>
      <c r="L2" s="35">
        <v>1290.5999999999999</v>
      </c>
      <c r="M2" s="35">
        <v>1328.9</v>
      </c>
      <c r="N2" s="35">
        <v>1377.5</v>
      </c>
      <c r="O2" s="35">
        <v>1413.9</v>
      </c>
      <c r="P2" s="35">
        <v>1433.8</v>
      </c>
      <c r="Q2" s="35">
        <v>1476.3</v>
      </c>
      <c r="R2" s="35">
        <v>1491.2</v>
      </c>
      <c r="S2" s="35">
        <v>1530.1</v>
      </c>
      <c r="T2" s="35">
        <v>1560</v>
      </c>
      <c r="U2" s="35">
        <v>1599.7</v>
      </c>
      <c r="V2" s="35">
        <v>1616.1</v>
      </c>
      <c r="W2" s="35">
        <v>1651.9</v>
      </c>
      <c r="X2" s="35">
        <v>1709.8</v>
      </c>
      <c r="Y2" s="35">
        <v>1761.8</v>
      </c>
      <c r="Z2" s="35">
        <v>1820.5</v>
      </c>
      <c r="AA2" s="35">
        <v>1852.3</v>
      </c>
      <c r="AB2" s="35">
        <v>1886.6</v>
      </c>
      <c r="AC2" s="35">
        <v>1934.3</v>
      </c>
      <c r="AD2" s="35">
        <v>1988.6</v>
      </c>
      <c r="AE2" s="35">
        <v>2055.9</v>
      </c>
      <c r="AF2" s="35">
        <v>2118.5</v>
      </c>
      <c r="AG2" s="35">
        <v>2164.3000000000002</v>
      </c>
      <c r="AH2" s="35">
        <v>2202.8000000000002</v>
      </c>
      <c r="AI2" s="35">
        <v>2331.6</v>
      </c>
      <c r="AJ2" s="35">
        <v>2395.1</v>
      </c>
      <c r="AK2" s="35">
        <v>2476.9</v>
      </c>
      <c r="AL2" s="35">
        <v>2526.6</v>
      </c>
      <c r="AM2" s="35">
        <v>2591.1999999999998</v>
      </c>
      <c r="AN2" s="35">
        <v>2667.6</v>
      </c>
      <c r="AO2" s="35">
        <v>2723.9</v>
      </c>
      <c r="AP2" s="35">
        <v>2789.8</v>
      </c>
      <c r="AQ2" s="35">
        <v>2797.4</v>
      </c>
      <c r="AR2" s="35">
        <v>2856.5</v>
      </c>
      <c r="AS2" s="35">
        <v>2985.6</v>
      </c>
      <c r="AT2" s="35">
        <v>3124.2</v>
      </c>
      <c r="AU2" s="35">
        <v>3162.5</v>
      </c>
      <c r="AV2" s="35">
        <v>3260.6</v>
      </c>
      <c r="AW2" s="35">
        <v>3280.8</v>
      </c>
      <c r="AX2" s="35">
        <v>3274.3</v>
      </c>
      <c r="AY2" s="35">
        <v>3332</v>
      </c>
      <c r="AZ2" s="35">
        <v>3366.3</v>
      </c>
      <c r="BA2" s="35">
        <v>3402.6</v>
      </c>
      <c r="BB2" s="35">
        <v>3473.4</v>
      </c>
      <c r="BC2" s="35">
        <v>3578.8</v>
      </c>
      <c r="BD2" s="35">
        <v>3689.2</v>
      </c>
      <c r="BE2" s="35">
        <v>3794.7</v>
      </c>
      <c r="BF2" s="35">
        <v>3908.1</v>
      </c>
      <c r="BG2" s="35">
        <v>4009.6</v>
      </c>
      <c r="BH2" s="35">
        <v>4084.3</v>
      </c>
      <c r="BI2" s="35">
        <v>4148.6000000000004</v>
      </c>
      <c r="BJ2" s="35">
        <v>4230.2</v>
      </c>
      <c r="BK2" s="35">
        <v>4294.8999999999996</v>
      </c>
      <c r="BL2" s="35">
        <v>4386.8</v>
      </c>
      <c r="BM2" s="35">
        <v>4444.1000000000004</v>
      </c>
      <c r="BN2" s="35">
        <v>4507.8999999999996</v>
      </c>
      <c r="BO2" s="35">
        <v>4545.3</v>
      </c>
      <c r="BP2" s="35">
        <v>4607.7</v>
      </c>
      <c r="BQ2" s="35">
        <v>4657.6000000000004</v>
      </c>
      <c r="BR2" s="35">
        <v>4722.2</v>
      </c>
      <c r="BS2" s="35">
        <v>4806.2</v>
      </c>
      <c r="BT2" s="35">
        <v>4884.6000000000004</v>
      </c>
      <c r="BU2" s="35">
        <v>5008</v>
      </c>
      <c r="BV2" s="35">
        <v>5073.3999999999996</v>
      </c>
      <c r="BW2" s="35">
        <v>5190</v>
      </c>
      <c r="BX2" s="35">
        <v>5282.8</v>
      </c>
      <c r="BY2" s="35">
        <v>5399.5</v>
      </c>
      <c r="BZ2" s="35">
        <v>5511.3</v>
      </c>
      <c r="CA2" s="35">
        <v>5612.5</v>
      </c>
      <c r="CB2" s="35">
        <v>5695.4</v>
      </c>
      <c r="CC2" s="35">
        <v>5747.2</v>
      </c>
      <c r="CD2" s="35">
        <v>5872.7</v>
      </c>
      <c r="CE2" s="35">
        <v>5960</v>
      </c>
      <c r="CF2" s="35">
        <v>6015.1</v>
      </c>
      <c r="CG2" s="35">
        <v>6004.7</v>
      </c>
      <c r="CH2" s="35">
        <v>6035.2</v>
      </c>
      <c r="CI2" s="35">
        <v>6126.9</v>
      </c>
      <c r="CJ2" s="35">
        <v>6205.9</v>
      </c>
      <c r="CK2" s="35">
        <v>6264.5</v>
      </c>
      <c r="CL2" s="35">
        <v>6363.1</v>
      </c>
      <c r="CM2" s="35">
        <v>6470.8</v>
      </c>
      <c r="CN2" s="35">
        <v>6566.6</v>
      </c>
      <c r="CO2" s="35">
        <v>6680.8</v>
      </c>
      <c r="CP2" s="35">
        <v>6729.5</v>
      </c>
      <c r="CQ2" s="35">
        <v>6808.9</v>
      </c>
      <c r="CR2" s="35">
        <v>6882.1</v>
      </c>
      <c r="CS2" s="35">
        <v>7013.7</v>
      </c>
      <c r="CT2" s="35">
        <v>7115.7</v>
      </c>
      <c r="CU2" s="35">
        <v>7246.9</v>
      </c>
      <c r="CV2" s="35">
        <v>7331.1</v>
      </c>
      <c r="CW2" s="35">
        <v>7455.3</v>
      </c>
      <c r="CX2" s="35">
        <v>7522.3</v>
      </c>
      <c r="CY2" s="35">
        <v>7581</v>
      </c>
      <c r="CZ2" s="35">
        <v>7683.1</v>
      </c>
      <c r="DA2" s="35">
        <v>7772.6</v>
      </c>
      <c r="DB2" s="35">
        <v>7868.5</v>
      </c>
      <c r="DC2" s="35">
        <v>8032.8</v>
      </c>
      <c r="DD2" s="35">
        <v>8131.4</v>
      </c>
      <c r="DE2" s="35">
        <v>8259.7999999999993</v>
      </c>
      <c r="DF2" s="35">
        <v>8362.7000000000007</v>
      </c>
      <c r="DG2" s="35">
        <v>8518.7999999999993</v>
      </c>
      <c r="DH2" s="35">
        <v>8662.7999999999993</v>
      </c>
      <c r="DI2" s="35">
        <v>8765.9</v>
      </c>
      <c r="DJ2" s="35">
        <v>8866.5</v>
      </c>
      <c r="DK2" s="35">
        <v>8969.7000000000007</v>
      </c>
      <c r="DL2" s="35">
        <v>9121.1</v>
      </c>
      <c r="DM2" s="35">
        <v>9294</v>
      </c>
      <c r="DN2" s="35">
        <v>9411.7000000000007</v>
      </c>
      <c r="DO2" s="35">
        <v>9526.2000000000007</v>
      </c>
      <c r="DP2" s="35">
        <v>9686.6</v>
      </c>
      <c r="DQ2" s="35">
        <v>9900.2000000000007</v>
      </c>
      <c r="DR2" s="35">
        <v>10002.200000000001</v>
      </c>
      <c r="DS2" s="35">
        <v>10247.700000000001</v>
      </c>
      <c r="DT2" s="35">
        <v>10318.200000000001</v>
      </c>
      <c r="DU2" s="35">
        <v>10435.700000000001</v>
      </c>
      <c r="DV2" s="35">
        <v>10470.200000000001</v>
      </c>
      <c r="DW2" s="35">
        <v>10599</v>
      </c>
      <c r="DX2" s="35">
        <v>10598</v>
      </c>
      <c r="DY2" s="35">
        <v>10660.5</v>
      </c>
      <c r="DZ2" s="35">
        <v>10783.5</v>
      </c>
      <c r="EA2" s="35">
        <v>10887.5</v>
      </c>
      <c r="EB2" s="35">
        <v>10984</v>
      </c>
      <c r="EC2" s="35">
        <v>11061.4</v>
      </c>
      <c r="ED2" s="35">
        <v>11174.1</v>
      </c>
      <c r="EE2" s="35">
        <v>11312.8</v>
      </c>
      <c r="EF2" s="35">
        <v>11566.7</v>
      </c>
      <c r="EG2" s="35">
        <v>11772.2</v>
      </c>
      <c r="EH2" s="35">
        <v>11923.4</v>
      </c>
      <c r="EI2" s="35">
        <v>12112.8</v>
      </c>
      <c r="EJ2" s="35">
        <v>12305.3</v>
      </c>
      <c r="EK2" s="35">
        <v>12527.2</v>
      </c>
      <c r="EL2" s="35">
        <v>12767.3</v>
      </c>
      <c r="EM2" s="35">
        <v>12922.7</v>
      </c>
      <c r="EN2" s="35">
        <v>13142.6</v>
      </c>
      <c r="EO2" s="35">
        <v>13324.2</v>
      </c>
      <c r="EP2" s="35">
        <v>13599.2</v>
      </c>
      <c r="EQ2" s="35">
        <v>13753.4</v>
      </c>
      <c r="ER2" s="35">
        <v>13870.2</v>
      </c>
      <c r="ES2" s="35">
        <v>14039.6</v>
      </c>
      <c r="ET2" s="35">
        <v>14215.7</v>
      </c>
      <c r="EU2" s="35">
        <v>14402.1</v>
      </c>
      <c r="EV2" s="35">
        <v>14564.1</v>
      </c>
      <c r="EW2" s="35">
        <v>14715.1</v>
      </c>
      <c r="EX2" s="35">
        <v>14706.5</v>
      </c>
      <c r="EY2" s="35">
        <v>14865.7</v>
      </c>
      <c r="EZ2" s="35">
        <v>14899</v>
      </c>
      <c r="FA2" s="35">
        <v>14608.2</v>
      </c>
      <c r="FB2" s="35">
        <v>14430.9</v>
      </c>
      <c r="FC2" s="35">
        <v>14381.2</v>
      </c>
      <c r="FD2" s="35">
        <v>14448.9</v>
      </c>
      <c r="FE2" s="35">
        <v>14651.2</v>
      </c>
      <c r="FF2" s="35">
        <v>14764.6</v>
      </c>
      <c r="FG2" s="35">
        <v>14980.2</v>
      </c>
      <c r="FH2" s="35">
        <v>15141.6</v>
      </c>
      <c r="FI2" s="35">
        <v>15309.5</v>
      </c>
      <c r="FJ2" s="35">
        <v>15351.4</v>
      </c>
      <c r="FK2" s="35">
        <v>15557.5</v>
      </c>
      <c r="FL2" s="35">
        <v>15647.7</v>
      </c>
      <c r="FM2" s="35">
        <v>15842.3</v>
      </c>
      <c r="FN2" s="35">
        <v>16068.8</v>
      </c>
      <c r="FO2" s="35">
        <v>16207.1</v>
      </c>
      <c r="FP2" s="35">
        <v>16319.5</v>
      </c>
      <c r="FQ2" s="35">
        <v>16420.400000000001</v>
      </c>
      <c r="FR2" s="35">
        <v>16629.099999999999</v>
      </c>
      <c r="FS2" s="35">
        <v>16699.599999999999</v>
      </c>
      <c r="FT2" s="35">
        <v>16911.099999999999</v>
      </c>
      <c r="FU2" s="35">
        <v>17133.099999999999</v>
      </c>
      <c r="FV2" s="35">
        <v>17144.3</v>
      </c>
      <c r="FW2" s="35">
        <v>17462.7</v>
      </c>
      <c r="FX2" s="35">
        <v>17743.2</v>
      </c>
      <c r="FY2" s="35">
        <v>17852.5</v>
      </c>
      <c r="FZ2" s="35">
        <v>17991.3</v>
      </c>
      <c r="GA2" s="35">
        <v>18193.7</v>
      </c>
      <c r="GB2" s="35">
        <v>18307</v>
      </c>
      <c r="GC2" s="35">
        <v>18332.099999999999</v>
      </c>
      <c r="GD2" s="35">
        <v>18425.3</v>
      </c>
      <c r="GE2" s="35">
        <v>18611.599999999999</v>
      </c>
      <c r="GF2" s="35">
        <v>18775.5</v>
      </c>
      <c r="GG2" s="35">
        <v>18968</v>
      </c>
      <c r="GH2" s="35">
        <v>19148.2</v>
      </c>
      <c r="GI2" s="35">
        <v>19304.5</v>
      </c>
      <c r="GJ2" s="35">
        <v>19561.900000000001</v>
      </c>
      <c r="GK2" s="35">
        <v>19894.8</v>
      </c>
      <c r="GL2" s="35">
        <v>20155.5</v>
      </c>
      <c r="GM2" s="35">
        <v>20470.2</v>
      </c>
      <c r="GN2" s="35">
        <v>20687.3</v>
      </c>
      <c r="GO2" s="35">
        <v>20819.3</v>
      </c>
      <c r="GP2" s="35">
        <v>21013.1</v>
      </c>
      <c r="GQ2" s="35">
        <v>21272.400000000001</v>
      </c>
      <c r="GR2" s="35">
        <v>21531.8</v>
      </c>
      <c r="GS2" s="35">
        <v>21706.5</v>
      </c>
      <c r="GT2" s="35">
        <v>21538</v>
      </c>
      <c r="GU2" s="35">
        <v>19636.7</v>
      </c>
      <c r="GV2" s="35">
        <v>21362.400000000001</v>
      </c>
      <c r="GW2" s="35">
        <v>21704.7</v>
      </c>
      <c r="GX2" s="35">
        <v>22313.9</v>
      </c>
      <c r="GY2" s="35">
        <v>23046.9</v>
      </c>
      <c r="GZ2" s="35">
        <v>23550.400000000001</v>
      </c>
      <c r="HA2" s="35">
        <v>24349.1</v>
      </c>
      <c r="HB2" s="35">
        <v>24740.5</v>
      </c>
      <c r="HC2">
        <v>25248.5</v>
      </c>
      <c r="HD2">
        <v>25723.9</v>
      </c>
      <c r="HE2">
        <v>26138</v>
      </c>
      <c r="HF2">
        <v>26465.9</v>
      </c>
    </row>
    <row r="3" spans="1:214" x14ac:dyDescent="0.35">
      <c r="A3" s="35" t="s">
        <v>2126</v>
      </c>
      <c r="B3" s="35">
        <v>4939.8</v>
      </c>
      <c r="C3" s="35">
        <v>4946.8</v>
      </c>
      <c r="D3" s="35">
        <v>4992.3999999999996</v>
      </c>
      <c r="E3" s="35">
        <v>4938.8999999999996</v>
      </c>
      <c r="F3" s="35">
        <v>5073</v>
      </c>
      <c r="G3" s="35">
        <v>5100.3999999999996</v>
      </c>
      <c r="H3" s="35">
        <v>5142.3999999999996</v>
      </c>
      <c r="I3" s="35">
        <v>5154.5</v>
      </c>
      <c r="J3" s="35">
        <v>5249.3</v>
      </c>
      <c r="K3" s="35">
        <v>5368.5</v>
      </c>
      <c r="L3" s="35">
        <v>5419.2</v>
      </c>
      <c r="M3" s="35">
        <v>5509.9</v>
      </c>
      <c r="N3" s="35">
        <v>5646.3</v>
      </c>
      <c r="O3" s="35">
        <v>5707.8</v>
      </c>
      <c r="P3" s="35">
        <v>5677.7</v>
      </c>
      <c r="Q3" s="35">
        <v>5731.6</v>
      </c>
      <c r="R3" s="35">
        <v>5682.4</v>
      </c>
      <c r="S3" s="35">
        <v>5695.9</v>
      </c>
      <c r="T3" s="35">
        <v>5642</v>
      </c>
      <c r="U3" s="35">
        <v>5620.1</v>
      </c>
      <c r="V3" s="35">
        <v>5551.7</v>
      </c>
      <c r="W3" s="35">
        <v>5591.4</v>
      </c>
      <c r="X3" s="35">
        <v>5687.1</v>
      </c>
      <c r="Y3" s="35">
        <v>5763.7</v>
      </c>
      <c r="Z3" s="35">
        <v>5893.3</v>
      </c>
      <c r="AA3" s="35">
        <v>5936.5</v>
      </c>
      <c r="AB3" s="35">
        <v>5969.1</v>
      </c>
      <c r="AC3" s="35">
        <v>6012.4</v>
      </c>
      <c r="AD3" s="35">
        <v>6083.4</v>
      </c>
      <c r="AE3" s="35">
        <v>6201.7</v>
      </c>
      <c r="AF3" s="35">
        <v>6313.6</v>
      </c>
      <c r="AG3" s="35">
        <v>6313.7</v>
      </c>
      <c r="AH3" s="35">
        <v>6333.8</v>
      </c>
      <c r="AI3" s="35">
        <v>6578.6</v>
      </c>
      <c r="AJ3" s="35">
        <v>6644.8</v>
      </c>
      <c r="AK3" s="35">
        <v>6734.1</v>
      </c>
      <c r="AL3" s="35">
        <v>6746.2</v>
      </c>
      <c r="AM3" s="35">
        <v>6753.4</v>
      </c>
      <c r="AN3" s="35">
        <v>6803.6</v>
      </c>
      <c r="AO3" s="35">
        <v>6820.6</v>
      </c>
      <c r="AP3" s="35">
        <v>6842</v>
      </c>
      <c r="AQ3" s="35">
        <v>6701</v>
      </c>
      <c r="AR3" s="35">
        <v>6693.1</v>
      </c>
      <c r="AS3" s="35">
        <v>6817.9</v>
      </c>
      <c r="AT3" s="35">
        <v>6951.5</v>
      </c>
      <c r="AU3" s="35">
        <v>6900</v>
      </c>
      <c r="AV3" s="35">
        <v>6982.6</v>
      </c>
      <c r="AW3" s="35">
        <v>6906.5</v>
      </c>
      <c r="AX3" s="35">
        <v>6799.2</v>
      </c>
      <c r="AY3" s="35">
        <v>6830.3</v>
      </c>
      <c r="AZ3" s="35">
        <v>6804.1</v>
      </c>
      <c r="BA3" s="35">
        <v>6806.9</v>
      </c>
      <c r="BB3" s="35">
        <v>6896.6</v>
      </c>
      <c r="BC3" s="35">
        <v>7053.5</v>
      </c>
      <c r="BD3" s="35">
        <v>7194.5</v>
      </c>
      <c r="BE3" s="35">
        <v>7344.6</v>
      </c>
      <c r="BF3" s="35">
        <v>7488.2</v>
      </c>
      <c r="BG3" s="35">
        <v>7617.5</v>
      </c>
      <c r="BH3" s="35">
        <v>7691</v>
      </c>
      <c r="BI3" s="35">
        <v>7754.1</v>
      </c>
      <c r="BJ3" s="35">
        <v>7829.3</v>
      </c>
      <c r="BK3" s="35">
        <v>7898.2</v>
      </c>
      <c r="BL3" s="35">
        <v>8018.8</v>
      </c>
      <c r="BM3" s="35">
        <v>8078.4</v>
      </c>
      <c r="BN3" s="35">
        <v>8153.8</v>
      </c>
      <c r="BO3" s="35">
        <v>8190.6</v>
      </c>
      <c r="BP3" s="35">
        <v>8268.9</v>
      </c>
      <c r="BQ3" s="35">
        <v>8313.2999999999993</v>
      </c>
      <c r="BR3" s="35">
        <v>8375.2999999999993</v>
      </c>
      <c r="BS3" s="35">
        <v>8465.6</v>
      </c>
      <c r="BT3" s="35">
        <v>8539.1</v>
      </c>
      <c r="BU3" s="35">
        <v>8685.7000000000007</v>
      </c>
      <c r="BV3" s="35">
        <v>8730.6</v>
      </c>
      <c r="BW3" s="35">
        <v>8845.2999999999993</v>
      </c>
      <c r="BX3" s="35">
        <v>8897.1</v>
      </c>
      <c r="BY3" s="35">
        <v>9015.7000000000007</v>
      </c>
      <c r="BZ3" s="35">
        <v>9107.2999999999993</v>
      </c>
      <c r="CA3" s="35">
        <v>9176.7999999999993</v>
      </c>
      <c r="CB3" s="35">
        <v>9244.7999999999993</v>
      </c>
      <c r="CC3" s="35">
        <v>9263</v>
      </c>
      <c r="CD3" s="35">
        <v>9364.2999999999993</v>
      </c>
      <c r="CE3" s="35">
        <v>9398.2000000000007</v>
      </c>
      <c r="CF3" s="35">
        <v>9404.5</v>
      </c>
      <c r="CG3" s="35">
        <v>9318.9</v>
      </c>
      <c r="CH3" s="35">
        <v>9275.2999999999993</v>
      </c>
      <c r="CI3" s="35">
        <v>9347.6</v>
      </c>
      <c r="CJ3" s="35">
        <v>9394.7999999999993</v>
      </c>
      <c r="CK3" s="35">
        <v>9427.6</v>
      </c>
      <c r="CL3" s="35">
        <v>9540.4</v>
      </c>
      <c r="CM3" s="35">
        <v>9643.9</v>
      </c>
      <c r="CN3" s="35">
        <v>9739.2000000000007</v>
      </c>
      <c r="CO3" s="35">
        <v>9840.7999999999993</v>
      </c>
      <c r="CP3" s="35">
        <v>9857.2000000000007</v>
      </c>
      <c r="CQ3" s="35">
        <v>9914.6</v>
      </c>
      <c r="CR3" s="35">
        <v>9961.9</v>
      </c>
      <c r="CS3" s="35">
        <v>10097.4</v>
      </c>
      <c r="CT3" s="35">
        <v>10195.299999999999</v>
      </c>
      <c r="CU3" s="35">
        <v>10333.5</v>
      </c>
      <c r="CV3" s="35">
        <v>10393.9</v>
      </c>
      <c r="CW3" s="35">
        <v>10513</v>
      </c>
      <c r="CX3" s="35">
        <v>10550.3</v>
      </c>
      <c r="CY3" s="35">
        <v>10581.7</v>
      </c>
      <c r="CZ3" s="35">
        <v>10671.7</v>
      </c>
      <c r="DA3" s="35">
        <v>10744.2</v>
      </c>
      <c r="DB3" s="35">
        <v>10824.7</v>
      </c>
      <c r="DC3" s="35">
        <v>11005.2</v>
      </c>
      <c r="DD3" s="35">
        <v>11103.9</v>
      </c>
      <c r="DE3" s="35">
        <v>11219.2</v>
      </c>
      <c r="DF3" s="35">
        <v>11291.7</v>
      </c>
      <c r="DG3" s="35">
        <v>11479.3</v>
      </c>
      <c r="DH3" s="35">
        <v>11622.9</v>
      </c>
      <c r="DI3" s="35">
        <v>11722.7</v>
      </c>
      <c r="DJ3" s="35">
        <v>11839.9</v>
      </c>
      <c r="DK3" s="35">
        <v>11949.5</v>
      </c>
      <c r="DL3" s="35">
        <v>12099.2</v>
      </c>
      <c r="DM3" s="35">
        <v>12294.7</v>
      </c>
      <c r="DN3" s="35">
        <v>12410.8</v>
      </c>
      <c r="DO3" s="35">
        <v>12514.4</v>
      </c>
      <c r="DP3" s="35">
        <v>12680</v>
      </c>
      <c r="DQ3" s="35">
        <v>12888.3</v>
      </c>
      <c r="DR3" s="35">
        <v>12935.3</v>
      </c>
      <c r="DS3" s="35">
        <v>13170.7</v>
      </c>
      <c r="DT3" s="35">
        <v>13183.9</v>
      </c>
      <c r="DU3" s="35">
        <v>13262.3</v>
      </c>
      <c r="DV3" s="35">
        <v>13219.3</v>
      </c>
      <c r="DW3" s="35">
        <v>13301.4</v>
      </c>
      <c r="DX3" s="35">
        <v>13248.1</v>
      </c>
      <c r="DY3" s="35">
        <v>13284.9</v>
      </c>
      <c r="DZ3" s="35">
        <v>13394.9</v>
      </c>
      <c r="EA3" s="35">
        <v>13477.4</v>
      </c>
      <c r="EB3" s="35">
        <v>13531.7</v>
      </c>
      <c r="EC3" s="35">
        <v>13549.4</v>
      </c>
      <c r="ED3" s="35">
        <v>13619.4</v>
      </c>
      <c r="EE3" s="35">
        <v>13741.1</v>
      </c>
      <c r="EF3" s="35">
        <v>13970.2</v>
      </c>
      <c r="EG3" s="35">
        <v>14131.4</v>
      </c>
      <c r="EH3" s="35">
        <v>14212.3</v>
      </c>
      <c r="EI3" s="35">
        <v>14323</v>
      </c>
      <c r="EJ3" s="35">
        <v>14457.8</v>
      </c>
      <c r="EK3" s="35">
        <v>14605.6</v>
      </c>
      <c r="EL3" s="35">
        <v>14767.8</v>
      </c>
      <c r="EM3" s="35">
        <v>14839.7</v>
      </c>
      <c r="EN3" s="35">
        <v>14956.3</v>
      </c>
      <c r="EO3" s="35">
        <v>15041.2</v>
      </c>
      <c r="EP3" s="35">
        <v>15244.1</v>
      </c>
      <c r="EQ3" s="35">
        <v>15281.5</v>
      </c>
      <c r="ER3" s="35">
        <v>15304.5</v>
      </c>
      <c r="ES3" s="35">
        <v>15433.6</v>
      </c>
      <c r="ET3" s="35">
        <v>15479</v>
      </c>
      <c r="EU3" s="35">
        <v>15577.8</v>
      </c>
      <c r="EV3" s="35">
        <v>15671.6</v>
      </c>
      <c r="EW3" s="35">
        <v>15767.1</v>
      </c>
      <c r="EX3" s="35">
        <v>15702.9</v>
      </c>
      <c r="EY3" s="35">
        <v>15792.8</v>
      </c>
      <c r="EZ3" s="35">
        <v>15709.6</v>
      </c>
      <c r="FA3" s="35">
        <v>15366.6</v>
      </c>
      <c r="FB3" s="35">
        <v>15187.5</v>
      </c>
      <c r="FC3" s="35">
        <v>15161.8</v>
      </c>
      <c r="FD3" s="35">
        <v>15216.6</v>
      </c>
      <c r="FE3" s="35">
        <v>15379.2</v>
      </c>
      <c r="FF3" s="35">
        <v>15456.1</v>
      </c>
      <c r="FG3" s="35">
        <v>15605.6</v>
      </c>
      <c r="FH3" s="35">
        <v>15726.3</v>
      </c>
      <c r="FI3" s="35">
        <v>15808</v>
      </c>
      <c r="FJ3" s="35">
        <v>15769.9</v>
      </c>
      <c r="FK3" s="35">
        <v>15876.8</v>
      </c>
      <c r="FL3" s="35">
        <v>15870.7</v>
      </c>
      <c r="FM3" s="35">
        <v>16048.7</v>
      </c>
      <c r="FN3" s="35">
        <v>16180</v>
      </c>
      <c r="FO3" s="35">
        <v>16253.7</v>
      </c>
      <c r="FP3" s="35">
        <v>16282.2</v>
      </c>
      <c r="FQ3" s="35">
        <v>16300</v>
      </c>
      <c r="FR3" s="35">
        <v>16441.5</v>
      </c>
      <c r="FS3" s="35">
        <v>16464.400000000001</v>
      </c>
      <c r="FT3" s="35">
        <v>16594.7</v>
      </c>
      <c r="FU3" s="35">
        <v>16712.8</v>
      </c>
      <c r="FV3" s="35">
        <v>16654.2</v>
      </c>
      <c r="FW3" s="35">
        <v>16868.099999999999</v>
      </c>
      <c r="FX3" s="35">
        <v>17064.599999999999</v>
      </c>
      <c r="FY3" s="35">
        <v>17141.2</v>
      </c>
      <c r="FZ3" s="35">
        <v>17280.599999999999</v>
      </c>
      <c r="GA3" s="35">
        <v>17380.900000000001</v>
      </c>
      <c r="GB3" s="35">
        <v>17437.099999999999</v>
      </c>
      <c r="GC3" s="35">
        <v>17462.599999999999</v>
      </c>
      <c r="GD3" s="35">
        <v>17565.5</v>
      </c>
      <c r="GE3" s="35">
        <v>17618.599999999999</v>
      </c>
      <c r="GF3" s="35">
        <v>17724.5</v>
      </c>
      <c r="GG3" s="35">
        <v>17812.599999999999</v>
      </c>
      <c r="GH3" s="35">
        <v>17889.099999999999</v>
      </c>
      <c r="GI3" s="35">
        <v>17979.2</v>
      </c>
      <c r="GJ3" s="35">
        <v>18128</v>
      </c>
      <c r="GK3" s="35">
        <v>18310.3</v>
      </c>
      <c r="GL3" s="35">
        <v>18437.099999999999</v>
      </c>
      <c r="GM3" s="35">
        <v>18565.7</v>
      </c>
      <c r="GN3" s="35">
        <v>18699.7</v>
      </c>
      <c r="GO3" s="35">
        <v>18733.7</v>
      </c>
      <c r="GP3" s="35">
        <v>18835.400000000001</v>
      </c>
      <c r="GQ3" s="35">
        <v>18962.2</v>
      </c>
      <c r="GR3" s="35">
        <v>19130.900000000001</v>
      </c>
      <c r="GS3" s="35">
        <v>19215.7</v>
      </c>
      <c r="GT3" s="35">
        <v>18989.900000000001</v>
      </c>
      <c r="GU3" s="35">
        <v>17378.7</v>
      </c>
      <c r="GV3" s="35">
        <v>18743.7</v>
      </c>
      <c r="GW3" s="35">
        <v>18924.3</v>
      </c>
      <c r="GX3" s="35">
        <v>19216.2</v>
      </c>
      <c r="GY3" s="35">
        <v>19544.2</v>
      </c>
      <c r="GZ3" s="35">
        <v>19672.599999999999</v>
      </c>
      <c r="HA3" s="35">
        <v>20006.2</v>
      </c>
      <c r="HB3" s="35">
        <v>19924.099999999999</v>
      </c>
      <c r="HC3">
        <v>19895.3</v>
      </c>
      <c r="HD3">
        <v>20054.7</v>
      </c>
      <c r="HE3">
        <v>20182.5</v>
      </c>
      <c r="HF3">
        <v>20235.900000000001</v>
      </c>
    </row>
    <row r="4" spans="1:214" x14ac:dyDescent="0.35">
      <c r="A4" s="35" t="s">
        <v>2127</v>
      </c>
      <c r="B4" s="35">
        <v>21.271999999999998</v>
      </c>
      <c r="C4" s="35">
        <v>21.579000000000001</v>
      </c>
      <c r="D4" s="35">
        <v>21.756</v>
      </c>
      <c r="E4" s="35">
        <v>22.041</v>
      </c>
      <c r="F4" s="35">
        <v>22.375</v>
      </c>
      <c r="G4" s="35">
        <v>22.673999999999999</v>
      </c>
      <c r="H4" s="35">
        <v>22.902999999999999</v>
      </c>
      <c r="I4" s="35">
        <v>23.091999999999999</v>
      </c>
      <c r="J4" s="35">
        <v>23.463000000000001</v>
      </c>
      <c r="K4" s="35">
        <v>23.606000000000002</v>
      </c>
      <c r="L4" s="35">
        <v>23.82</v>
      </c>
      <c r="M4" s="35">
        <v>24.09</v>
      </c>
      <c r="N4" s="35">
        <v>24.396000000000001</v>
      </c>
      <c r="O4" s="35">
        <v>24.8</v>
      </c>
      <c r="P4" s="35">
        <v>25.273</v>
      </c>
      <c r="Q4" s="35">
        <v>25.710999999999999</v>
      </c>
      <c r="R4" s="35">
        <v>26.231999999999999</v>
      </c>
      <c r="S4" s="35">
        <v>26.815000000000001</v>
      </c>
      <c r="T4" s="35">
        <v>27.640999999999998</v>
      </c>
      <c r="U4" s="35">
        <v>28.478999999999999</v>
      </c>
      <c r="V4" s="35">
        <v>29.123999999999999</v>
      </c>
      <c r="W4" s="35">
        <v>29.545999999999999</v>
      </c>
      <c r="X4" s="35">
        <v>30.068000000000001</v>
      </c>
      <c r="Y4" s="35">
        <v>30.57</v>
      </c>
      <c r="Z4" s="35">
        <v>30.905000000000001</v>
      </c>
      <c r="AA4" s="35">
        <v>31.213000000000001</v>
      </c>
      <c r="AB4" s="35">
        <v>31.611000000000001</v>
      </c>
      <c r="AC4" s="35">
        <v>32.148000000000003</v>
      </c>
      <c r="AD4" s="35">
        <v>32.667999999999999</v>
      </c>
      <c r="AE4" s="35">
        <v>33.183999999999997</v>
      </c>
      <c r="AF4" s="35">
        <v>33.640999999999998</v>
      </c>
      <c r="AG4" s="35">
        <v>34.203000000000003</v>
      </c>
      <c r="AH4" s="35">
        <v>34.762999999999998</v>
      </c>
      <c r="AI4" s="35">
        <v>35.457000000000001</v>
      </c>
      <c r="AJ4" s="35">
        <v>36.082999999999998</v>
      </c>
      <c r="AK4" s="35">
        <v>36.795999999999999</v>
      </c>
      <c r="AL4" s="35">
        <v>37.482999999999997</v>
      </c>
      <c r="AM4" s="35">
        <v>38.387999999999998</v>
      </c>
      <c r="AN4" s="35">
        <v>39.19</v>
      </c>
      <c r="AO4" s="35">
        <v>39.905000000000001</v>
      </c>
      <c r="AP4" s="35">
        <v>40.777000000000001</v>
      </c>
      <c r="AQ4" s="35">
        <v>41.744999999999997</v>
      </c>
      <c r="AR4" s="35">
        <v>42.676000000000002</v>
      </c>
      <c r="AS4" s="35">
        <v>43.807000000000002</v>
      </c>
      <c r="AT4" s="35">
        <v>44.968000000000004</v>
      </c>
      <c r="AU4" s="35">
        <v>45.813000000000002</v>
      </c>
      <c r="AV4" s="35">
        <v>46.703000000000003</v>
      </c>
      <c r="AW4" s="35">
        <v>47.475000000000001</v>
      </c>
      <c r="AX4" s="35">
        <v>48.155000000000001</v>
      </c>
      <c r="AY4" s="35">
        <v>48.795000000000002</v>
      </c>
      <c r="AZ4" s="35">
        <v>49.472000000000001</v>
      </c>
      <c r="BA4" s="35">
        <v>49.972999999999999</v>
      </c>
      <c r="BB4" s="35">
        <v>50.372</v>
      </c>
      <c r="BC4" s="35">
        <v>50.746000000000002</v>
      </c>
      <c r="BD4" s="35">
        <v>51.284999999999997</v>
      </c>
      <c r="BE4" s="35">
        <v>51.668999999999997</v>
      </c>
      <c r="BF4" s="35">
        <v>52.177999999999997</v>
      </c>
      <c r="BG4" s="35">
        <v>52.646999999999998</v>
      </c>
      <c r="BH4" s="35">
        <v>53.122</v>
      </c>
      <c r="BI4" s="35">
        <v>53.494</v>
      </c>
      <c r="BJ4" s="35">
        <v>54.040999999999997</v>
      </c>
      <c r="BK4" s="35">
        <v>54.360999999999997</v>
      </c>
      <c r="BL4" s="35">
        <v>54.722000000000001</v>
      </c>
      <c r="BM4" s="35">
        <v>55.006</v>
      </c>
      <c r="BN4" s="35">
        <v>55.277999999999999</v>
      </c>
      <c r="BO4" s="35">
        <v>55.472000000000001</v>
      </c>
      <c r="BP4" s="35">
        <v>55.734999999999999</v>
      </c>
      <c r="BQ4" s="35">
        <v>56.066000000000003</v>
      </c>
      <c r="BR4" s="35">
        <v>56.390999999999998</v>
      </c>
      <c r="BS4" s="35">
        <v>56.774000000000001</v>
      </c>
      <c r="BT4" s="35">
        <v>57.212000000000003</v>
      </c>
      <c r="BU4" s="35">
        <v>57.640999999999998</v>
      </c>
      <c r="BV4" s="35">
        <v>58.087000000000003</v>
      </c>
      <c r="BW4" s="35">
        <v>58.667000000000002</v>
      </c>
      <c r="BX4" s="35">
        <v>59.384999999999998</v>
      </c>
      <c r="BY4" s="35">
        <v>59.932000000000002</v>
      </c>
      <c r="BZ4" s="35">
        <v>60.508000000000003</v>
      </c>
      <c r="CA4" s="35">
        <v>61.162999999999997</v>
      </c>
      <c r="CB4" s="35">
        <v>61.616999999999997</v>
      </c>
      <c r="CC4" s="35">
        <v>62.036999999999999</v>
      </c>
      <c r="CD4" s="35">
        <v>62.713000000000001</v>
      </c>
      <c r="CE4" s="35">
        <v>63.414999999999999</v>
      </c>
      <c r="CF4" s="35">
        <v>63.963000000000001</v>
      </c>
      <c r="CG4" s="35">
        <v>64.451999999999998</v>
      </c>
      <c r="CH4" s="35">
        <v>65.078000000000003</v>
      </c>
      <c r="CI4" s="35">
        <v>65.546999999999997</v>
      </c>
      <c r="CJ4" s="35">
        <v>66.05</v>
      </c>
      <c r="CK4" s="35">
        <v>66.433999999999997</v>
      </c>
      <c r="CL4" s="35">
        <v>66.7</v>
      </c>
      <c r="CM4" s="35">
        <v>67.097999999999999</v>
      </c>
      <c r="CN4" s="35">
        <v>67.418999999999997</v>
      </c>
      <c r="CO4" s="35">
        <v>67.894000000000005</v>
      </c>
      <c r="CP4" s="35">
        <v>68.298000000000002</v>
      </c>
      <c r="CQ4" s="35">
        <v>68.700999999999993</v>
      </c>
      <c r="CR4" s="35">
        <v>69.046000000000006</v>
      </c>
      <c r="CS4" s="35">
        <v>69.451999999999998</v>
      </c>
      <c r="CT4" s="35">
        <v>69.807000000000002</v>
      </c>
      <c r="CU4" s="35">
        <v>70.14</v>
      </c>
      <c r="CV4" s="35">
        <v>70.513999999999996</v>
      </c>
      <c r="CW4" s="35">
        <v>70.906999999999996</v>
      </c>
      <c r="CX4" s="35">
        <v>71.311000000000007</v>
      </c>
      <c r="CY4" s="35">
        <v>71.661000000000001</v>
      </c>
      <c r="CZ4" s="35">
        <v>71.981999999999999</v>
      </c>
      <c r="DA4" s="35">
        <v>72.322000000000003</v>
      </c>
      <c r="DB4" s="35">
        <v>72.655000000000001</v>
      </c>
      <c r="DC4" s="35">
        <v>72.951999999999998</v>
      </c>
      <c r="DD4" s="35">
        <v>73.305999999999997</v>
      </c>
      <c r="DE4" s="35">
        <v>73.616</v>
      </c>
      <c r="DF4" s="35">
        <v>73.945999999999998</v>
      </c>
      <c r="DG4" s="35">
        <v>74.313999999999993</v>
      </c>
      <c r="DH4" s="35">
        <v>74.534999999999997</v>
      </c>
      <c r="DI4" s="35">
        <v>74.802000000000007</v>
      </c>
      <c r="DJ4" s="35">
        <v>74.878</v>
      </c>
      <c r="DK4" s="35">
        <v>75.072000000000003</v>
      </c>
      <c r="DL4" s="35">
        <v>75.363</v>
      </c>
      <c r="DM4" s="35">
        <v>75.564999999999998</v>
      </c>
      <c r="DN4" s="35">
        <v>75.769000000000005</v>
      </c>
      <c r="DO4" s="35">
        <v>76.111999999999995</v>
      </c>
      <c r="DP4" s="35">
        <v>76.403999999999996</v>
      </c>
      <c r="DQ4" s="35">
        <v>76.805999999999997</v>
      </c>
      <c r="DR4" s="35">
        <v>77.317999999999998</v>
      </c>
      <c r="DS4" s="35">
        <v>77.783000000000001</v>
      </c>
      <c r="DT4" s="35">
        <v>78.27</v>
      </c>
      <c r="DU4" s="35">
        <v>78.694000000000003</v>
      </c>
      <c r="DV4" s="35">
        <v>79.233000000000004</v>
      </c>
      <c r="DW4" s="35">
        <v>79.760999999999996</v>
      </c>
      <c r="DX4" s="35">
        <v>80.003</v>
      </c>
      <c r="DY4" s="35">
        <v>80.260999999999996</v>
      </c>
      <c r="DZ4" s="35">
        <v>80.474999999999994</v>
      </c>
      <c r="EA4" s="35">
        <v>80.793999999999997</v>
      </c>
      <c r="EB4" s="35">
        <v>81.155000000000001</v>
      </c>
      <c r="EC4" s="35">
        <v>81.626999999999995</v>
      </c>
      <c r="ED4" s="35">
        <v>82.067999999999998</v>
      </c>
      <c r="EE4" s="35">
        <v>82.349000000000004</v>
      </c>
      <c r="EF4" s="35">
        <v>82.822000000000003</v>
      </c>
      <c r="EG4" s="35">
        <v>83.302000000000007</v>
      </c>
      <c r="EH4" s="35">
        <v>83.899000000000001</v>
      </c>
      <c r="EI4" s="35">
        <v>84.58</v>
      </c>
      <c r="EJ4" s="35">
        <v>85.116</v>
      </c>
      <c r="EK4" s="35">
        <v>85.772000000000006</v>
      </c>
      <c r="EL4" s="35">
        <v>86.43</v>
      </c>
      <c r="EM4" s="35">
        <v>87.061999999999998</v>
      </c>
      <c r="EN4" s="35">
        <v>87.884</v>
      </c>
      <c r="EO4" s="35">
        <v>88.584000000000003</v>
      </c>
      <c r="EP4" s="35">
        <v>89.203999999999994</v>
      </c>
      <c r="EQ4" s="35">
        <v>89.992999999999995</v>
      </c>
      <c r="ER4" s="35">
        <v>90.652000000000001</v>
      </c>
      <c r="ES4" s="35">
        <v>90.997</v>
      </c>
      <c r="ET4" s="35">
        <v>91.908000000000001</v>
      </c>
      <c r="EU4" s="35">
        <v>92.491</v>
      </c>
      <c r="EV4" s="35">
        <v>92.882000000000005</v>
      </c>
      <c r="EW4" s="35">
        <v>93.331999999999994</v>
      </c>
      <c r="EX4" s="35">
        <v>93.734999999999999</v>
      </c>
      <c r="EY4" s="35">
        <v>94.075000000000003</v>
      </c>
      <c r="EZ4" s="35">
        <v>94.804000000000002</v>
      </c>
      <c r="FA4" s="35">
        <v>94.974999999999994</v>
      </c>
      <c r="FB4" s="35">
        <v>95.001000000000005</v>
      </c>
      <c r="FC4" s="35">
        <v>94.87</v>
      </c>
      <c r="FD4" s="35">
        <v>94.927999999999997</v>
      </c>
      <c r="FE4" s="35">
        <v>95.277000000000001</v>
      </c>
      <c r="FF4" s="35">
        <v>95.518000000000001</v>
      </c>
      <c r="FG4" s="35">
        <v>95.962999999999994</v>
      </c>
      <c r="FH4" s="35">
        <v>96.311999999999998</v>
      </c>
      <c r="FI4" s="35">
        <v>96.864000000000004</v>
      </c>
      <c r="FJ4" s="35">
        <v>97.338999999999999</v>
      </c>
      <c r="FK4" s="35">
        <v>98.042000000000002</v>
      </c>
      <c r="FL4" s="35">
        <v>98.561000000000007</v>
      </c>
      <c r="FM4" s="35">
        <v>98.686999999999998</v>
      </c>
      <c r="FN4" s="35">
        <v>99.277000000000001</v>
      </c>
      <c r="FO4" s="35">
        <v>99.69</v>
      </c>
      <c r="FP4" s="35">
        <v>100.304</v>
      </c>
      <c r="FQ4" s="35">
        <v>100.73</v>
      </c>
      <c r="FR4" s="35">
        <v>101.124</v>
      </c>
      <c r="FS4" s="35">
        <v>101.428</v>
      </c>
      <c r="FT4" s="35">
        <v>101.973</v>
      </c>
      <c r="FU4" s="35">
        <v>102.55</v>
      </c>
      <c r="FV4" s="35">
        <v>102.965</v>
      </c>
      <c r="FW4" s="35">
        <v>103.55200000000001</v>
      </c>
      <c r="FX4" s="35">
        <v>104.029</v>
      </c>
      <c r="FY4" s="35">
        <v>104.104</v>
      </c>
      <c r="FZ4" s="35">
        <v>104.092</v>
      </c>
      <c r="GA4" s="35">
        <v>104.68300000000001</v>
      </c>
      <c r="GB4" s="35">
        <v>104.93899999999999</v>
      </c>
      <c r="GC4" s="35">
        <v>104.932</v>
      </c>
      <c r="GD4" s="35">
        <v>104.873</v>
      </c>
      <c r="GE4" s="35">
        <v>105.57599999999999</v>
      </c>
      <c r="GF4" s="35">
        <v>105.89400000000001</v>
      </c>
      <c r="GG4" s="35">
        <v>106.47</v>
      </c>
      <c r="GH4" s="35">
        <v>107.02200000000001</v>
      </c>
      <c r="GI4" s="35">
        <v>107.363</v>
      </c>
      <c r="GJ4" s="35">
        <v>107.94799999999999</v>
      </c>
      <c r="GK4" s="35">
        <v>108.639</v>
      </c>
      <c r="GL4" s="35">
        <v>109.36499999999999</v>
      </c>
      <c r="GM4" s="35">
        <v>110.176</v>
      </c>
      <c r="GN4" s="35">
        <v>110.68</v>
      </c>
      <c r="GO4" s="35">
        <v>111.155</v>
      </c>
      <c r="GP4" s="35">
        <v>111.56</v>
      </c>
      <c r="GQ4" s="35">
        <v>112.184</v>
      </c>
      <c r="GR4" s="35">
        <v>112.55800000000001</v>
      </c>
      <c r="GS4" s="35">
        <v>112.91</v>
      </c>
      <c r="GT4" s="35">
        <v>113.42700000000001</v>
      </c>
      <c r="GU4" s="35">
        <v>113.053</v>
      </c>
      <c r="GV4" s="35">
        <v>114.032</v>
      </c>
      <c r="GW4" s="35">
        <v>114.744</v>
      </c>
      <c r="GX4" s="35">
        <v>116.199</v>
      </c>
      <c r="GY4" s="35">
        <v>117.974</v>
      </c>
      <c r="GZ4" s="35">
        <v>119.76300000000001</v>
      </c>
      <c r="HA4" s="35">
        <v>121.758</v>
      </c>
      <c r="HB4" s="35">
        <v>124.209</v>
      </c>
      <c r="HC4">
        <v>126.914</v>
      </c>
      <c r="HD4">
        <v>128.27600000000001</v>
      </c>
      <c r="HE4">
        <v>129.50200000000001</v>
      </c>
      <c r="HF4">
        <v>130.79300000000001</v>
      </c>
    </row>
    <row r="5" spans="1:214" x14ac:dyDescent="0.35">
      <c r="A5" s="35" t="s">
        <v>2128</v>
      </c>
      <c r="B5" s="35">
        <v>631.70000000000005</v>
      </c>
      <c r="C5" s="35">
        <v>641.6</v>
      </c>
      <c r="D5" s="35">
        <v>653.5</v>
      </c>
      <c r="E5" s="35">
        <v>660.2</v>
      </c>
      <c r="F5" s="35">
        <v>679.2</v>
      </c>
      <c r="G5" s="35">
        <v>693.2</v>
      </c>
      <c r="H5" s="35">
        <v>705.6</v>
      </c>
      <c r="I5" s="35">
        <v>721.7</v>
      </c>
      <c r="J5" s="35">
        <v>738.9</v>
      </c>
      <c r="K5" s="35">
        <v>757.4</v>
      </c>
      <c r="L5" s="35">
        <v>775.8</v>
      </c>
      <c r="M5" s="35">
        <v>800.5</v>
      </c>
      <c r="N5" s="35">
        <v>825</v>
      </c>
      <c r="O5" s="35">
        <v>840.5</v>
      </c>
      <c r="P5" s="35">
        <v>858.9</v>
      </c>
      <c r="Q5" s="35">
        <v>873.9</v>
      </c>
      <c r="R5" s="35">
        <v>891.9</v>
      </c>
      <c r="S5" s="35">
        <v>920.4</v>
      </c>
      <c r="T5" s="35">
        <v>949.3</v>
      </c>
      <c r="U5" s="35">
        <v>959.1</v>
      </c>
      <c r="V5" s="35">
        <v>985.2</v>
      </c>
      <c r="W5" s="35">
        <v>1013.6</v>
      </c>
      <c r="X5" s="35">
        <v>1047.2</v>
      </c>
      <c r="Y5" s="35">
        <v>1076.2</v>
      </c>
      <c r="Z5" s="35">
        <v>1109.9000000000001</v>
      </c>
      <c r="AA5" s="35">
        <v>1129.5</v>
      </c>
      <c r="AB5" s="35">
        <v>1158.8</v>
      </c>
      <c r="AC5" s="35">
        <v>1192.4000000000001</v>
      </c>
      <c r="AD5" s="35">
        <v>1228.2</v>
      </c>
      <c r="AE5" s="35">
        <v>1256</v>
      </c>
      <c r="AF5" s="35">
        <v>1286.9000000000001</v>
      </c>
      <c r="AG5" s="35">
        <v>1324.8</v>
      </c>
      <c r="AH5" s="35">
        <v>1354.1</v>
      </c>
      <c r="AI5" s="35">
        <v>1411.4</v>
      </c>
      <c r="AJ5" s="35">
        <v>1442.2</v>
      </c>
      <c r="AK5" s="35">
        <v>1481.4</v>
      </c>
      <c r="AL5" s="35">
        <v>1517.1</v>
      </c>
      <c r="AM5" s="35">
        <v>1557.6</v>
      </c>
      <c r="AN5" s="35">
        <v>1611.9</v>
      </c>
      <c r="AO5" s="35">
        <v>1655</v>
      </c>
      <c r="AP5" s="35">
        <v>1702.3</v>
      </c>
      <c r="AQ5" s="35">
        <v>1704.7</v>
      </c>
      <c r="AR5" s="35">
        <v>1763.8</v>
      </c>
      <c r="AS5" s="35">
        <v>1831.9</v>
      </c>
      <c r="AT5" s="35">
        <v>1885.7</v>
      </c>
      <c r="AU5" s="35">
        <v>1917.5</v>
      </c>
      <c r="AV5" s="35">
        <v>1958.1</v>
      </c>
      <c r="AW5" s="35">
        <v>1974.4</v>
      </c>
      <c r="AX5" s="35">
        <v>2014.2</v>
      </c>
      <c r="AY5" s="35">
        <v>2039.6</v>
      </c>
      <c r="AZ5" s="35">
        <v>2085.6999999999998</v>
      </c>
      <c r="BA5" s="35">
        <v>2145.6</v>
      </c>
      <c r="BB5" s="35">
        <v>2184.6</v>
      </c>
      <c r="BC5" s="35">
        <v>2249.4</v>
      </c>
      <c r="BD5" s="35">
        <v>2319.9</v>
      </c>
      <c r="BE5" s="35">
        <v>2372.5</v>
      </c>
      <c r="BF5" s="35">
        <v>2418.1999999999998</v>
      </c>
      <c r="BG5" s="35">
        <v>2475.9</v>
      </c>
      <c r="BH5" s="35">
        <v>2513.5</v>
      </c>
      <c r="BI5" s="35">
        <v>2561.8000000000002</v>
      </c>
      <c r="BJ5" s="35">
        <v>2636</v>
      </c>
      <c r="BK5" s="35">
        <v>2681.8</v>
      </c>
      <c r="BL5" s="35">
        <v>2754.1</v>
      </c>
      <c r="BM5" s="35">
        <v>2779.4</v>
      </c>
      <c r="BN5" s="35">
        <v>2823.6</v>
      </c>
      <c r="BO5" s="35">
        <v>2851.5</v>
      </c>
      <c r="BP5" s="35">
        <v>2917.2</v>
      </c>
      <c r="BQ5" s="35">
        <v>2952.8</v>
      </c>
      <c r="BR5" s="35">
        <v>2983.5</v>
      </c>
      <c r="BS5" s="35">
        <v>3053.3</v>
      </c>
      <c r="BT5" s="35">
        <v>3117.4</v>
      </c>
      <c r="BU5" s="35">
        <v>3150.9</v>
      </c>
      <c r="BV5" s="35">
        <v>3231.9</v>
      </c>
      <c r="BW5" s="35">
        <v>3291.7</v>
      </c>
      <c r="BX5" s="35">
        <v>3361.9</v>
      </c>
      <c r="BY5" s="35">
        <v>3434.5</v>
      </c>
      <c r="BZ5" s="35">
        <v>3490.2</v>
      </c>
      <c r="CA5" s="35">
        <v>3553.8</v>
      </c>
      <c r="CB5" s="35">
        <v>3609.4</v>
      </c>
      <c r="CC5" s="35">
        <v>3653.7</v>
      </c>
      <c r="CD5" s="35">
        <v>3737.9</v>
      </c>
      <c r="CE5" s="35">
        <v>3783.4</v>
      </c>
      <c r="CF5" s="35">
        <v>3846.7</v>
      </c>
      <c r="CG5" s="35">
        <v>3867.9</v>
      </c>
      <c r="CH5" s="35">
        <v>3873.6</v>
      </c>
      <c r="CI5" s="35">
        <v>3926.9</v>
      </c>
      <c r="CJ5" s="35">
        <v>3973.3</v>
      </c>
      <c r="CK5" s="35">
        <v>4000</v>
      </c>
      <c r="CL5" s="35">
        <v>4100.3999999999996</v>
      </c>
      <c r="CM5" s="35">
        <v>4155.7</v>
      </c>
      <c r="CN5" s="35">
        <v>4227</v>
      </c>
      <c r="CO5" s="35">
        <v>4307.2</v>
      </c>
      <c r="CP5" s="35">
        <v>4349.5</v>
      </c>
      <c r="CQ5" s="35">
        <v>4418.6000000000004</v>
      </c>
      <c r="CR5" s="35">
        <v>4487.2</v>
      </c>
      <c r="CS5" s="35">
        <v>4552.7</v>
      </c>
      <c r="CT5" s="35">
        <v>4621.2</v>
      </c>
      <c r="CU5" s="35">
        <v>4683.2</v>
      </c>
      <c r="CV5" s="35">
        <v>4752.8</v>
      </c>
      <c r="CW5" s="35">
        <v>4826.7</v>
      </c>
      <c r="CX5" s="35">
        <v>4862.3999999999996</v>
      </c>
      <c r="CY5" s="35">
        <v>4933.6000000000004</v>
      </c>
      <c r="CZ5" s="35">
        <v>4998.7</v>
      </c>
      <c r="DA5" s="35">
        <v>5055.7</v>
      </c>
      <c r="DB5" s="35">
        <v>5130.6000000000004</v>
      </c>
      <c r="DC5" s="35">
        <v>5220.5</v>
      </c>
      <c r="DD5" s="35">
        <v>5274.5</v>
      </c>
      <c r="DE5" s="35">
        <v>5352.8</v>
      </c>
      <c r="DF5" s="35">
        <v>5433.1</v>
      </c>
      <c r="DG5" s="35">
        <v>5471.3</v>
      </c>
      <c r="DH5" s="35">
        <v>5579.2</v>
      </c>
      <c r="DI5" s="35">
        <v>5663.6</v>
      </c>
      <c r="DJ5" s="35">
        <v>5721.3</v>
      </c>
      <c r="DK5" s="35">
        <v>5832.6</v>
      </c>
      <c r="DL5" s="35">
        <v>5926.8</v>
      </c>
      <c r="DM5" s="35">
        <v>6028.2</v>
      </c>
      <c r="DN5" s="35">
        <v>6102</v>
      </c>
      <c r="DO5" s="35">
        <v>6230.6</v>
      </c>
      <c r="DP5" s="35">
        <v>6335.3</v>
      </c>
      <c r="DQ5" s="35">
        <v>6467</v>
      </c>
      <c r="DR5" s="35">
        <v>6618.2</v>
      </c>
      <c r="DS5" s="35">
        <v>6711.9</v>
      </c>
      <c r="DT5" s="35">
        <v>6820</v>
      </c>
      <c r="DU5" s="35">
        <v>6918.6</v>
      </c>
      <c r="DV5" s="35">
        <v>6995.3</v>
      </c>
      <c r="DW5" s="35">
        <v>7042.3</v>
      </c>
      <c r="DX5" s="35">
        <v>7070.3</v>
      </c>
      <c r="DY5" s="35">
        <v>7187.3</v>
      </c>
      <c r="DZ5" s="35">
        <v>7217.7</v>
      </c>
      <c r="EA5" s="35">
        <v>7308</v>
      </c>
      <c r="EB5" s="35">
        <v>7397.1</v>
      </c>
      <c r="EC5" s="35">
        <v>7473</v>
      </c>
      <c r="ED5" s="35">
        <v>7567.2</v>
      </c>
      <c r="EE5" s="35">
        <v>7661.5</v>
      </c>
      <c r="EF5" s="35">
        <v>7820.9</v>
      </c>
      <c r="EG5" s="35">
        <v>7913.5</v>
      </c>
      <c r="EH5" s="35">
        <v>8048.8</v>
      </c>
      <c r="EI5" s="35">
        <v>8147.1</v>
      </c>
      <c r="EJ5" s="35">
        <v>8283.2999999999993</v>
      </c>
      <c r="EK5" s="35">
        <v>8448.6</v>
      </c>
      <c r="EL5" s="35">
        <v>8551.7000000000007</v>
      </c>
      <c r="EM5" s="35">
        <v>8701.1</v>
      </c>
      <c r="EN5" s="35">
        <v>8868.1</v>
      </c>
      <c r="EO5" s="35">
        <v>8955.2999999999993</v>
      </c>
      <c r="EP5" s="35">
        <v>9100.2000000000007</v>
      </c>
      <c r="EQ5" s="35">
        <v>9227.6</v>
      </c>
      <c r="ER5" s="35">
        <v>9353.7999999999993</v>
      </c>
      <c r="ES5" s="35">
        <v>9427.4</v>
      </c>
      <c r="ET5" s="35">
        <v>9572.1</v>
      </c>
      <c r="EU5" s="35">
        <v>9678.7000000000007</v>
      </c>
      <c r="EV5" s="35">
        <v>9798.4</v>
      </c>
      <c r="EW5" s="35">
        <v>9937.1</v>
      </c>
      <c r="EX5" s="35">
        <v>10004.4</v>
      </c>
      <c r="EY5" s="35">
        <v>10129.9</v>
      </c>
      <c r="EZ5" s="35">
        <v>10159.1</v>
      </c>
      <c r="FA5" s="35">
        <v>9906.9</v>
      </c>
      <c r="FB5" s="35">
        <v>9815</v>
      </c>
      <c r="FC5" s="35">
        <v>9805.5</v>
      </c>
      <c r="FD5" s="35">
        <v>9939.4</v>
      </c>
      <c r="FE5" s="35">
        <v>10005</v>
      </c>
      <c r="FF5" s="35">
        <v>10101.799999999999</v>
      </c>
      <c r="FG5" s="35">
        <v>10208.1</v>
      </c>
      <c r="FH5" s="35">
        <v>10300.799999999999</v>
      </c>
      <c r="FI5" s="35">
        <v>10430.299999999999</v>
      </c>
      <c r="FJ5" s="35">
        <v>10558.2</v>
      </c>
      <c r="FK5" s="35">
        <v>10673</v>
      </c>
      <c r="FL5" s="35">
        <v>10755</v>
      </c>
      <c r="FM5" s="35">
        <v>10809.2</v>
      </c>
      <c r="FN5" s="35">
        <v>10959.3</v>
      </c>
      <c r="FO5" s="35">
        <v>11005.1</v>
      </c>
      <c r="FP5" s="35">
        <v>11059.4</v>
      </c>
      <c r="FQ5" s="35">
        <v>11165.7</v>
      </c>
      <c r="FR5" s="35">
        <v>11265.6</v>
      </c>
      <c r="FS5" s="35">
        <v>11291</v>
      </c>
      <c r="FT5" s="35">
        <v>11379.2</v>
      </c>
      <c r="FU5" s="35">
        <v>11518.4</v>
      </c>
      <c r="FV5" s="35">
        <v>11618.1</v>
      </c>
      <c r="FW5" s="35">
        <v>11784.7</v>
      </c>
      <c r="FX5" s="35">
        <v>11934.3</v>
      </c>
      <c r="FY5" s="35">
        <v>12053.8</v>
      </c>
      <c r="FZ5" s="35">
        <v>12083.9</v>
      </c>
      <c r="GA5" s="35">
        <v>12224.7</v>
      </c>
      <c r="GB5" s="35">
        <v>12347.8</v>
      </c>
      <c r="GC5" s="35">
        <v>12397.5</v>
      </c>
      <c r="GD5" s="35">
        <v>12495.1</v>
      </c>
      <c r="GE5" s="35">
        <v>12637.4</v>
      </c>
      <c r="GF5" s="35">
        <v>12759.1</v>
      </c>
      <c r="GG5" s="35">
        <v>12881.6</v>
      </c>
      <c r="GH5" s="35">
        <v>13049.4</v>
      </c>
      <c r="GI5" s="35">
        <v>13134</v>
      </c>
      <c r="GJ5" s="35">
        <v>13260.3</v>
      </c>
      <c r="GK5" s="35">
        <v>13490.7</v>
      </c>
      <c r="GL5" s="35">
        <v>13677.3</v>
      </c>
      <c r="GM5" s="35">
        <v>13850.8</v>
      </c>
      <c r="GN5" s="35">
        <v>13988.8</v>
      </c>
      <c r="GO5" s="35">
        <v>14102.9</v>
      </c>
      <c r="GP5" s="35">
        <v>14145.9</v>
      </c>
      <c r="GQ5" s="35">
        <v>14323.7</v>
      </c>
      <c r="GR5" s="35">
        <v>14482.2</v>
      </c>
      <c r="GS5" s="35">
        <v>14619</v>
      </c>
      <c r="GT5" s="35">
        <v>14440.2</v>
      </c>
      <c r="GU5" s="35">
        <v>13049.8</v>
      </c>
      <c r="GV5" s="35">
        <v>14388.7</v>
      </c>
      <c r="GW5" s="35">
        <v>14586</v>
      </c>
      <c r="GX5" s="35">
        <v>15131.5</v>
      </c>
      <c r="GY5" s="35">
        <v>15813.5</v>
      </c>
      <c r="GZ5" s="35">
        <v>16147.3</v>
      </c>
      <c r="HA5" s="35">
        <v>16518</v>
      </c>
      <c r="HB5" s="35">
        <v>16874.8</v>
      </c>
      <c r="HC5">
        <v>17261.3</v>
      </c>
      <c r="HD5">
        <v>17542.7</v>
      </c>
      <c r="HE5">
        <v>17749.900000000001</v>
      </c>
      <c r="HF5">
        <v>18095.3</v>
      </c>
    </row>
    <row r="6" spans="1:214" x14ac:dyDescent="0.35">
      <c r="A6" s="35" t="s">
        <v>2129</v>
      </c>
      <c r="B6" s="35">
        <v>3071.1</v>
      </c>
      <c r="C6" s="35">
        <v>3085</v>
      </c>
      <c r="D6" s="35">
        <v>3112</v>
      </c>
      <c r="E6" s="35">
        <v>3103.6</v>
      </c>
      <c r="F6" s="35">
        <v>3163.1</v>
      </c>
      <c r="G6" s="35">
        <v>3192.2</v>
      </c>
      <c r="H6" s="35">
        <v>3217.7</v>
      </c>
      <c r="I6" s="35">
        <v>3271.1</v>
      </c>
      <c r="J6" s="35">
        <v>3314.2</v>
      </c>
      <c r="K6" s="35">
        <v>3377.3</v>
      </c>
      <c r="L6" s="35">
        <v>3429.4</v>
      </c>
      <c r="M6" s="35">
        <v>3509.8</v>
      </c>
      <c r="N6" s="35">
        <v>3573.9</v>
      </c>
      <c r="O6" s="35">
        <v>3572.3</v>
      </c>
      <c r="P6" s="35">
        <v>3584.9</v>
      </c>
      <c r="Q6" s="35">
        <v>3574.2</v>
      </c>
      <c r="R6" s="35">
        <v>3542.2</v>
      </c>
      <c r="S6" s="35">
        <v>3555</v>
      </c>
      <c r="T6" s="35">
        <v>3570.2</v>
      </c>
      <c r="U6" s="35">
        <v>3518.1</v>
      </c>
      <c r="V6" s="35">
        <v>3547.6</v>
      </c>
      <c r="W6" s="35">
        <v>3605.9</v>
      </c>
      <c r="X6" s="35">
        <v>3657.2</v>
      </c>
      <c r="Y6" s="35">
        <v>3696.5</v>
      </c>
      <c r="Z6" s="35">
        <v>3770.4</v>
      </c>
      <c r="AA6" s="35">
        <v>3805.1</v>
      </c>
      <c r="AB6" s="35">
        <v>3845.1</v>
      </c>
      <c r="AC6" s="35">
        <v>3895</v>
      </c>
      <c r="AD6" s="35">
        <v>3940.9</v>
      </c>
      <c r="AE6" s="35">
        <v>3962.3</v>
      </c>
      <c r="AF6" s="35">
        <v>3999.8</v>
      </c>
      <c r="AG6" s="35">
        <v>4059.9</v>
      </c>
      <c r="AH6" s="35">
        <v>4082.7</v>
      </c>
      <c r="AI6" s="35">
        <v>4170</v>
      </c>
      <c r="AJ6" s="35">
        <v>4187.5</v>
      </c>
      <c r="AK6" s="35">
        <v>4221.3</v>
      </c>
      <c r="AL6" s="35">
        <v>4243.2</v>
      </c>
      <c r="AM6" s="35">
        <v>4240.3999999999996</v>
      </c>
      <c r="AN6" s="35">
        <v>4281.7</v>
      </c>
      <c r="AO6" s="35">
        <v>4292.3</v>
      </c>
      <c r="AP6" s="35">
        <v>4286.2</v>
      </c>
      <c r="AQ6" s="35">
        <v>4189.7</v>
      </c>
      <c r="AR6" s="35">
        <v>4235.6000000000004</v>
      </c>
      <c r="AS6" s="35">
        <v>4292.8999999999996</v>
      </c>
      <c r="AT6" s="35">
        <v>4307.2</v>
      </c>
      <c r="AU6" s="35">
        <v>4307.6000000000004</v>
      </c>
      <c r="AV6" s="35">
        <v>4327.5</v>
      </c>
      <c r="AW6" s="35">
        <v>4297.8999999999996</v>
      </c>
      <c r="AX6" s="35">
        <v>4329.5</v>
      </c>
      <c r="AY6" s="35">
        <v>4342.7</v>
      </c>
      <c r="AZ6" s="35">
        <v>4371.8</v>
      </c>
      <c r="BA6" s="35">
        <v>4448.3999999999996</v>
      </c>
      <c r="BB6" s="35">
        <v>4492.3999999999996</v>
      </c>
      <c r="BC6" s="35">
        <v>4583.8999999999996</v>
      </c>
      <c r="BD6" s="35">
        <v>4666.1000000000004</v>
      </c>
      <c r="BE6" s="35">
        <v>4740.3999999999996</v>
      </c>
      <c r="BF6" s="35">
        <v>4779.8</v>
      </c>
      <c r="BG6" s="35">
        <v>4846.7</v>
      </c>
      <c r="BH6" s="35">
        <v>4882.7</v>
      </c>
      <c r="BI6" s="35">
        <v>4945.8999999999996</v>
      </c>
      <c r="BJ6" s="35">
        <v>5030</v>
      </c>
      <c r="BK6" s="35">
        <v>5076.1000000000004</v>
      </c>
      <c r="BL6" s="35">
        <v>5172.6000000000004</v>
      </c>
      <c r="BM6" s="35">
        <v>5183.7</v>
      </c>
      <c r="BN6" s="35">
        <v>5229</v>
      </c>
      <c r="BO6" s="35">
        <v>5286</v>
      </c>
      <c r="BP6" s="35">
        <v>5379.5</v>
      </c>
      <c r="BQ6" s="35">
        <v>5412.5</v>
      </c>
      <c r="BR6" s="35">
        <v>5417.9</v>
      </c>
      <c r="BS6" s="35">
        <v>5491.8</v>
      </c>
      <c r="BT6" s="35">
        <v>5554.5</v>
      </c>
      <c r="BU6" s="35">
        <v>5566.3</v>
      </c>
      <c r="BV6" s="35">
        <v>5664.6</v>
      </c>
      <c r="BW6" s="35">
        <v>5706.4</v>
      </c>
      <c r="BX6" s="35">
        <v>5757.1</v>
      </c>
      <c r="BY6" s="35">
        <v>5822.6</v>
      </c>
      <c r="BZ6" s="35">
        <v>5849.6</v>
      </c>
      <c r="CA6" s="35">
        <v>5876.9</v>
      </c>
      <c r="CB6" s="35">
        <v>5933.8</v>
      </c>
      <c r="CC6" s="35">
        <v>5959.6</v>
      </c>
      <c r="CD6" s="35">
        <v>6009.7</v>
      </c>
      <c r="CE6" s="35">
        <v>6028</v>
      </c>
      <c r="CF6" s="35">
        <v>6051.9</v>
      </c>
      <c r="CG6" s="35">
        <v>6005.9</v>
      </c>
      <c r="CH6" s="35">
        <v>5983.3</v>
      </c>
      <c r="CI6" s="35">
        <v>6032.9</v>
      </c>
      <c r="CJ6" s="35">
        <v>6063</v>
      </c>
      <c r="CK6" s="35">
        <v>6059.9</v>
      </c>
      <c r="CL6" s="35">
        <v>6173.4</v>
      </c>
      <c r="CM6" s="35">
        <v>6215.3</v>
      </c>
      <c r="CN6" s="35">
        <v>6281.9</v>
      </c>
      <c r="CO6" s="35">
        <v>6356.8</v>
      </c>
      <c r="CP6" s="35">
        <v>6381.2</v>
      </c>
      <c r="CQ6" s="35">
        <v>6439.2</v>
      </c>
      <c r="CR6" s="35">
        <v>6510.9</v>
      </c>
      <c r="CS6" s="35">
        <v>6568</v>
      </c>
      <c r="CT6" s="35">
        <v>6643.2</v>
      </c>
      <c r="CU6" s="35">
        <v>6694.8</v>
      </c>
      <c r="CV6" s="35">
        <v>6745.9</v>
      </c>
      <c r="CW6" s="35">
        <v>6818.8</v>
      </c>
      <c r="CX6" s="35">
        <v>6835.8</v>
      </c>
      <c r="CY6" s="35">
        <v>6895.7</v>
      </c>
      <c r="CZ6" s="35">
        <v>6958.2</v>
      </c>
      <c r="DA6" s="35">
        <v>7006.7</v>
      </c>
      <c r="DB6" s="35">
        <v>7071.4</v>
      </c>
      <c r="DC6" s="35">
        <v>7147.4</v>
      </c>
      <c r="DD6" s="35">
        <v>7190.7</v>
      </c>
      <c r="DE6" s="35">
        <v>7248</v>
      </c>
      <c r="DF6" s="35">
        <v>7324.4</v>
      </c>
      <c r="DG6" s="35">
        <v>7357.4</v>
      </c>
      <c r="DH6" s="35">
        <v>7482.7</v>
      </c>
      <c r="DI6" s="35">
        <v>7572.1</v>
      </c>
      <c r="DJ6" s="35">
        <v>7648.7</v>
      </c>
      <c r="DK6" s="35">
        <v>7783.4</v>
      </c>
      <c r="DL6" s="35">
        <v>7884.9</v>
      </c>
      <c r="DM6" s="35">
        <v>7998.8</v>
      </c>
      <c r="DN6" s="35">
        <v>8081</v>
      </c>
      <c r="DO6" s="35">
        <v>8204.7999999999993</v>
      </c>
      <c r="DP6" s="35">
        <v>8297</v>
      </c>
      <c r="DQ6" s="35">
        <v>8418.2999999999993</v>
      </c>
      <c r="DR6" s="35">
        <v>8545.6</v>
      </c>
      <c r="DS6" s="35">
        <v>8625.4</v>
      </c>
      <c r="DT6" s="35">
        <v>8708.1</v>
      </c>
      <c r="DU6" s="35">
        <v>8784.2000000000007</v>
      </c>
      <c r="DV6" s="35">
        <v>8816</v>
      </c>
      <c r="DW6" s="35">
        <v>8833.7000000000007</v>
      </c>
      <c r="DX6" s="35">
        <v>8864.5</v>
      </c>
      <c r="DY6" s="35">
        <v>9007.5</v>
      </c>
      <c r="DZ6" s="35">
        <v>9027.5</v>
      </c>
      <c r="EA6" s="35">
        <v>9073.2000000000007</v>
      </c>
      <c r="EB6" s="35">
        <v>9136.7000000000007</v>
      </c>
      <c r="EC6" s="35">
        <v>9187.5</v>
      </c>
      <c r="ED6" s="35">
        <v>9232.7999999999993</v>
      </c>
      <c r="EE6" s="35">
        <v>9338.5</v>
      </c>
      <c r="EF6" s="35">
        <v>9470.5</v>
      </c>
      <c r="EG6" s="35">
        <v>9535.7000000000007</v>
      </c>
      <c r="EH6" s="35">
        <v>9624.6</v>
      </c>
      <c r="EI6" s="35">
        <v>9677.2000000000007</v>
      </c>
      <c r="EJ6" s="35">
        <v>9790.7999999999993</v>
      </c>
      <c r="EK6" s="35">
        <v>9901.6</v>
      </c>
      <c r="EL6" s="35">
        <v>9964.5</v>
      </c>
      <c r="EM6" s="35">
        <v>10074.9</v>
      </c>
      <c r="EN6" s="35">
        <v>10158.5</v>
      </c>
      <c r="EO6" s="35">
        <v>10177.200000000001</v>
      </c>
      <c r="EP6" s="35">
        <v>10288.200000000001</v>
      </c>
      <c r="EQ6" s="35">
        <v>10341.6</v>
      </c>
      <c r="ER6" s="35">
        <v>10408</v>
      </c>
      <c r="ES6" s="35">
        <v>10507.2</v>
      </c>
      <c r="ET6" s="35">
        <v>10572.1</v>
      </c>
      <c r="EU6" s="35">
        <v>10599.8</v>
      </c>
      <c r="EV6" s="35">
        <v>10670.5</v>
      </c>
      <c r="EW6" s="35">
        <v>10712.6</v>
      </c>
      <c r="EX6" s="35">
        <v>10697.9</v>
      </c>
      <c r="EY6" s="35">
        <v>10727.3</v>
      </c>
      <c r="EZ6" s="35">
        <v>10644.7</v>
      </c>
      <c r="FA6" s="35">
        <v>10548.9</v>
      </c>
      <c r="FB6" s="35">
        <v>10522.1</v>
      </c>
      <c r="FC6" s="35">
        <v>10470.4</v>
      </c>
      <c r="FD6" s="35">
        <v>10540.8</v>
      </c>
      <c r="FE6" s="35">
        <v>10529.2</v>
      </c>
      <c r="FF6" s="35">
        <v>10590.2</v>
      </c>
      <c r="FG6" s="35">
        <v>10685.1</v>
      </c>
      <c r="FH6" s="35">
        <v>10761.4</v>
      </c>
      <c r="FI6" s="35">
        <v>10827.3</v>
      </c>
      <c r="FJ6" s="35">
        <v>10868.7</v>
      </c>
      <c r="FK6" s="35">
        <v>10879.9</v>
      </c>
      <c r="FL6" s="35">
        <v>10913</v>
      </c>
      <c r="FM6" s="35">
        <v>10931.8</v>
      </c>
      <c r="FN6" s="35">
        <v>11010.7</v>
      </c>
      <c r="FO6" s="35">
        <v>11030</v>
      </c>
      <c r="FP6" s="35">
        <v>11052.4</v>
      </c>
      <c r="FQ6" s="35">
        <v>11096.4</v>
      </c>
      <c r="FR6" s="35">
        <v>11155.5</v>
      </c>
      <c r="FS6" s="35">
        <v>11172.6</v>
      </c>
      <c r="FT6" s="35">
        <v>11214.4</v>
      </c>
      <c r="FU6" s="35">
        <v>11304.3</v>
      </c>
      <c r="FV6" s="35">
        <v>11347.6</v>
      </c>
      <c r="FW6" s="35">
        <v>11453</v>
      </c>
      <c r="FX6" s="35">
        <v>11565.7</v>
      </c>
      <c r="FY6" s="35">
        <v>11694.9</v>
      </c>
      <c r="FZ6" s="35">
        <v>11772.9</v>
      </c>
      <c r="GA6" s="35">
        <v>11852.7</v>
      </c>
      <c r="GB6" s="35">
        <v>11943</v>
      </c>
      <c r="GC6" s="35">
        <v>12003.1</v>
      </c>
      <c r="GD6" s="35">
        <v>12091.2</v>
      </c>
      <c r="GE6" s="35">
        <v>12152.6</v>
      </c>
      <c r="GF6" s="35">
        <v>12223.8</v>
      </c>
      <c r="GG6" s="35">
        <v>12283.1</v>
      </c>
      <c r="GH6" s="35">
        <v>12369.9</v>
      </c>
      <c r="GI6" s="35">
        <v>12419.4</v>
      </c>
      <c r="GJ6" s="35">
        <v>12493.5</v>
      </c>
      <c r="GK6" s="35">
        <v>12630.1</v>
      </c>
      <c r="GL6" s="35">
        <v>12713.2</v>
      </c>
      <c r="GM6" s="35">
        <v>12805.6</v>
      </c>
      <c r="GN6" s="35">
        <v>12887.1</v>
      </c>
      <c r="GO6" s="35">
        <v>12943.4</v>
      </c>
      <c r="GP6" s="35">
        <v>12955.7</v>
      </c>
      <c r="GQ6" s="35">
        <v>13038.9</v>
      </c>
      <c r="GR6" s="35">
        <v>13148.9</v>
      </c>
      <c r="GS6" s="35">
        <v>13225.6</v>
      </c>
      <c r="GT6" s="35">
        <v>13016.8</v>
      </c>
      <c r="GU6" s="35">
        <v>11817.1</v>
      </c>
      <c r="GV6" s="35">
        <v>12922.4</v>
      </c>
      <c r="GW6" s="35">
        <v>13046.6</v>
      </c>
      <c r="GX6" s="35">
        <v>13386.8</v>
      </c>
      <c r="GY6" s="35">
        <v>13773.7</v>
      </c>
      <c r="GZ6" s="35">
        <v>13874.4</v>
      </c>
      <c r="HA6" s="35">
        <v>13981.5</v>
      </c>
      <c r="HB6" s="35">
        <v>14028.4</v>
      </c>
      <c r="HC6">
        <v>14099.5</v>
      </c>
      <c r="HD6">
        <v>14178.6</v>
      </c>
      <c r="HE6">
        <v>14214.9</v>
      </c>
      <c r="HF6">
        <v>14344.5</v>
      </c>
    </row>
    <row r="7" spans="1:214" x14ac:dyDescent="0.35">
      <c r="A7" s="35" t="s">
        <v>2130</v>
      </c>
      <c r="B7" s="35">
        <v>20.57</v>
      </c>
      <c r="C7" s="35">
        <v>20.797999999999998</v>
      </c>
      <c r="D7" s="35">
        <v>21</v>
      </c>
      <c r="E7" s="35">
        <v>21.271999999999998</v>
      </c>
      <c r="F7" s="35">
        <v>21.474</v>
      </c>
      <c r="G7" s="35">
        <v>21.718</v>
      </c>
      <c r="H7" s="35">
        <v>21.931999999999999</v>
      </c>
      <c r="I7" s="35">
        <v>22.068000000000001</v>
      </c>
      <c r="J7" s="35">
        <v>22.300999999999998</v>
      </c>
      <c r="K7" s="35">
        <v>22.428999999999998</v>
      </c>
      <c r="L7" s="35">
        <v>22.626000000000001</v>
      </c>
      <c r="M7" s="35">
        <v>22.811</v>
      </c>
      <c r="N7" s="35">
        <v>23.085999999999999</v>
      </c>
      <c r="O7" s="35">
        <v>23.53</v>
      </c>
      <c r="P7" s="35">
        <v>23.957999999999998</v>
      </c>
      <c r="Q7" s="35">
        <v>24.448</v>
      </c>
      <c r="R7" s="35">
        <v>25.175999999999998</v>
      </c>
      <c r="S7" s="35">
        <v>25.888999999999999</v>
      </c>
      <c r="T7" s="35">
        <v>26.587</v>
      </c>
      <c r="U7" s="35">
        <v>27.263000000000002</v>
      </c>
      <c r="V7" s="35">
        <v>27.776</v>
      </c>
      <c r="W7" s="35">
        <v>28.117000000000001</v>
      </c>
      <c r="X7" s="35">
        <v>28.643000000000001</v>
      </c>
      <c r="Y7" s="35">
        <v>29.123999999999999</v>
      </c>
      <c r="Z7" s="35">
        <v>29.443999999999999</v>
      </c>
      <c r="AA7" s="35">
        <v>29.690999999999999</v>
      </c>
      <c r="AB7" s="35">
        <v>30.141999999999999</v>
      </c>
      <c r="AC7" s="35">
        <v>30.617999999999999</v>
      </c>
      <c r="AD7" s="35">
        <v>31.17</v>
      </c>
      <c r="AE7" s="35">
        <v>31.704000000000001</v>
      </c>
      <c r="AF7" s="35">
        <v>32.180999999999997</v>
      </c>
      <c r="AG7" s="35">
        <v>32.637999999999998</v>
      </c>
      <c r="AH7" s="35">
        <v>33.173999999999999</v>
      </c>
      <c r="AI7" s="35">
        <v>33.854999999999997</v>
      </c>
      <c r="AJ7" s="35">
        <v>34.448999999999998</v>
      </c>
      <c r="AK7" s="35">
        <v>35.1</v>
      </c>
      <c r="AL7" s="35">
        <v>35.762</v>
      </c>
      <c r="AM7" s="35">
        <v>36.738999999999997</v>
      </c>
      <c r="AN7" s="35">
        <v>37.65</v>
      </c>
      <c r="AO7" s="35">
        <v>38.561999999999998</v>
      </c>
      <c r="AP7" s="35">
        <v>39.719000000000001</v>
      </c>
      <c r="AQ7" s="35">
        <v>40.691000000000003</v>
      </c>
      <c r="AR7" s="35">
        <v>41.643000000000001</v>
      </c>
      <c r="AS7" s="35">
        <v>42.673000000000002</v>
      </c>
      <c r="AT7" s="35">
        <v>43.78</v>
      </c>
      <c r="AU7" s="35">
        <v>44.515000000000001</v>
      </c>
      <c r="AV7" s="35">
        <v>45.247999999999998</v>
      </c>
      <c r="AW7" s="35">
        <v>45.941000000000003</v>
      </c>
      <c r="AX7" s="35">
        <v>46.524999999999999</v>
      </c>
      <c r="AY7" s="35">
        <v>46.972999999999999</v>
      </c>
      <c r="AZ7" s="35">
        <v>47.715000000000003</v>
      </c>
      <c r="BA7" s="35">
        <v>48.241</v>
      </c>
      <c r="BB7" s="35">
        <v>48.64</v>
      </c>
      <c r="BC7" s="35">
        <v>49.085000000000001</v>
      </c>
      <c r="BD7" s="35">
        <v>49.73</v>
      </c>
      <c r="BE7" s="35">
        <v>50.058</v>
      </c>
      <c r="BF7" s="35">
        <v>50.598999999999997</v>
      </c>
      <c r="BG7" s="35">
        <v>51.088999999999999</v>
      </c>
      <c r="BH7" s="35">
        <v>51.482999999999997</v>
      </c>
      <c r="BI7" s="35">
        <v>51.801000000000002</v>
      </c>
      <c r="BJ7" s="35">
        <v>52.411999999999999</v>
      </c>
      <c r="BK7" s="35">
        <v>52.837000000000003</v>
      </c>
      <c r="BL7" s="35">
        <v>53.250999999999998</v>
      </c>
      <c r="BM7" s="35">
        <v>53.622999999999998</v>
      </c>
      <c r="BN7" s="35">
        <v>54.003</v>
      </c>
      <c r="BO7" s="35">
        <v>53.945999999999998</v>
      </c>
      <c r="BP7" s="35">
        <v>54.23</v>
      </c>
      <c r="BQ7" s="35">
        <v>54.558</v>
      </c>
      <c r="BR7" s="35">
        <v>55.072000000000003</v>
      </c>
      <c r="BS7" s="35">
        <v>55.603000000000002</v>
      </c>
      <c r="BT7" s="35">
        <v>56.13</v>
      </c>
      <c r="BU7" s="35">
        <v>56.615000000000002</v>
      </c>
      <c r="BV7" s="35">
        <v>57.061999999999998</v>
      </c>
      <c r="BW7" s="35">
        <v>57.692</v>
      </c>
      <c r="BX7" s="35">
        <v>58.402999999999999</v>
      </c>
      <c r="BY7" s="35">
        <v>58.993000000000002</v>
      </c>
      <c r="BZ7" s="35">
        <v>59.670999999999999</v>
      </c>
      <c r="CA7" s="35">
        <v>60.475000000000001</v>
      </c>
      <c r="CB7" s="35">
        <v>60.832000000000001</v>
      </c>
      <c r="CC7" s="35">
        <v>61.31</v>
      </c>
      <c r="CD7" s="35">
        <v>62.198999999999998</v>
      </c>
      <c r="CE7" s="35">
        <v>62.764000000000003</v>
      </c>
      <c r="CF7" s="35">
        <v>63.561</v>
      </c>
      <c r="CG7" s="35">
        <v>64.402000000000001</v>
      </c>
      <c r="CH7" s="35">
        <v>64.739999999999995</v>
      </c>
      <c r="CI7" s="35">
        <v>65.093999999999994</v>
      </c>
      <c r="CJ7" s="35">
        <v>65.536000000000001</v>
      </c>
      <c r="CK7" s="35">
        <v>66.012</v>
      </c>
      <c r="CL7" s="35">
        <v>66.424999999999997</v>
      </c>
      <c r="CM7" s="35">
        <v>66.867000000000004</v>
      </c>
      <c r="CN7" s="35">
        <v>67.293999999999997</v>
      </c>
      <c r="CO7" s="35">
        <v>67.763000000000005</v>
      </c>
      <c r="CP7" s="35">
        <v>68.167000000000002</v>
      </c>
      <c r="CQ7" s="35">
        <v>68.623999999999995</v>
      </c>
      <c r="CR7" s="35">
        <v>68.923000000000002</v>
      </c>
      <c r="CS7" s="35">
        <v>69.319999999999993</v>
      </c>
      <c r="CT7" s="35">
        <v>69.567999999999998</v>
      </c>
      <c r="CU7" s="35">
        <v>69.956000000000003</v>
      </c>
      <c r="CV7" s="35">
        <v>70.459000000000003</v>
      </c>
      <c r="CW7" s="35">
        <v>70.789000000000001</v>
      </c>
      <c r="CX7" s="35">
        <v>71.135999999999996</v>
      </c>
      <c r="CY7" s="35">
        <v>71.549000000000007</v>
      </c>
      <c r="CZ7" s="35">
        <v>71.841999999999999</v>
      </c>
      <c r="DA7" s="35">
        <v>72.158000000000001</v>
      </c>
      <c r="DB7" s="35">
        <v>72.558999999999997</v>
      </c>
      <c r="DC7" s="35">
        <v>73.043999999999997</v>
      </c>
      <c r="DD7" s="35">
        <v>73.355999999999995</v>
      </c>
      <c r="DE7" s="35">
        <v>73.855999999999995</v>
      </c>
      <c r="DF7" s="35">
        <v>74.182000000000002</v>
      </c>
      <c r="DG7" s="35">
        <v>74.367999999999995</v>
      </c>
      <c r="DH7" s="35">
        <v>74.563999999999993</v>
      </c>
      <c r="DI7" s="35">
        <v>74.798000000000002</v>
      </c>
      <c r="DJ7" s="35">
        <v>74.804000000000002</v>
      </c>
      <c r="DK7" s="35">
        <v>74.938999999999993</v>
      </c>
      <c r="DL7" s="35">
        <v>75.17</v>
      </c>
      <c r="DM7" s="35">
        <v>75.369</v>
      </c>
      <c r="DN7" s="35">
        <v>75.516999999999996</v>
      </c>
      <c r="DO7" s="35">
        <v>75.947000000000003</v>
      </c>
      <c r="DP7" s="35">
        <v>76.364999999999995</v>
      </c>
      <c r="DQ7" s="35">
        <v>76.828000000000003</v>
      </c>
      <c r="DR7" s="35">
        <v>77.451999999999998</v>
      </c>
      <c r="DS7" s="35">
        <v>77.820999999999998</v>
      </c>
      <c r="DT7" s="35">
        <v>78.322999999999993</v>
      </c>
      <c r="DU7" s="35">
        <v>78.766000000000005</v>
      </c>
      <c r="DV7" s="35">
        <v>79.349000000000004</v>
      </c>
      <c r="DW7" s="35">
        <v>79.721000000000004</v>
      </c>
      <c r="DX7" s="35">
        <v>79.760999999999996</v>
      </c>
      <c r="DY7" s="35">
        <v>79.793999999999997</v>
      </c>
      <c r="DZ7" s="35">
        <v>79.953999999999994</v>
      </c>
      <c r="EA7" s="35">
        <v>80.546999999999997</v>
      </c>
      <c r="EB7" s="35">
        <v>80.963999999999999</v>
      </c>
      <c r="EC7" s="35">
        <v>81.341999999999999</v>
      </c>
      <c r="ED7" s="35">
        <v>81.963999999999999</v>
      </c>
      <c r="EE7" s="35">
        <v>82.046000000000006</v>
      </c>
      <c r="EF7" s="35">
        <v>82.587000000000003</v>
      </c>
      <c r="EG7" s="35">
        <v>82.992999999999995</v>
      </c>
      <c r="EH7" s="35">
        <v>83.632999999999996</v>
      </c>
      <c r="EI7" s="35">
        <v>84.195999999999998</v>
      </c>
      <c r="EJ7" s="35">
        <v>84.61</v>
      </c>
      <c r="EK7" s="35">
        <v>85.332999999999998</v>
      </c>
      <c r="EL7" s="35">
        <v>85.828999999999994</v>
      </c>
      <c r="EM7" s="35">
        <v>86.370999999999995</v>
      </c>
      <c r="EN7" s="35">
        <v>87.304000000000002</v>
      </c>
      <c r="EO7" s="35">
        <v>87.998999999999995</v>
      </c>
      <c r="EP7" s="35">
        <v>88.456000000000003</v>
      </c>
      <c r="EQ7" s="35">
        <v>89.231999999999999</v>
      </c>
      <c r="ER7" s="35">
        <v>89.873999999999995</v>
      </c>
      <c r="ES7" s="35">
        <v>89.725999999999999</v>
      </c>
      <c r="ET7" s="35">
        <v>90.546000000000006</v>
      </c>
      <c r="EU7" s="35">
        <v>91.314999999999998</v>
      </c>
      <c r="EV7" s="35">
        <v>91.831000000000003</v>
      </c>
      <c r="EW7" s="35">
        <v>92.765000000000001</v>
      </c>
      <c r="EX7" s="35">
        <v>93.52</v>
      </c>
      <c r="EY7" s="35">
        <v>94.43</v>
      </c>
      <c r="EZ7" s="35">
        <v>95.438000000000002</v>
      </c>
      <c r="FA7" s="35">
        <v>93.914000000000001</v>
      </c>
      <c r="FB7" s="35">
        <v>93.28</v>
      </c>
      <c r="FC7" s="35">
        <v>93.650999999999996</v>
      </c>
      <c r="FD7" s="35">
        <v>94.296000000000006</v>
      </c>
      <c r="FE7" s="35">
        <v>95.024000000000001</v>
      </c>
      <c r="FF7" s="35">
        <v>95.391000000000005</v>
      </c>
      <c r="FG7" s="35">
        <v>95.539000000000001</v>
      </c>
      <c r="FH7" s="35">
        <v>95.722999999999999</v>
      </c>
      <c r="FI7" s="35">
        <v>96.335999999999999</v>
      </c>
      <c r="FJ7" s="35">
        <v>97.144999999999996</v>
      </c>
      <c r="FK7" s="35">
        <v>98.1</v>
      </c>
      <c r="FL7" s="35">
        <v>98.554000000000002</v>
      </c>
      <c r="FM7" s="35">
        <v>98.879000000000005</v>
      </c>
      <c r="FN7" s="35">
        <v>99.534000000000006</v>
      </c>
      <c r="FO7" s="35">
        <v>99.775000000000006</v>
      </c>
      <c r="FP7" s="35">
        <v>100.065</v>
      </c>
      <c r="FQ7" s="35">
        <v>100.626</v>
      </c>
      <c r="FR7" s="35">
        <v>100.989</v>
      </c>
      <c r="FS7" s="35">
        <v>101.06100000000001</v>
      </c>
      <c r="FT7" s="35">
        <v>101.471</v>
      </c>
      <c r="FU7" s="35">
        <v>101.896</v>
      </c>
      <c r="FV7" s="35">
        <v>102.386</v>
      </c>
      <c r="FW7" s="35">
        <v>102.899</v>
      </c>
      <c r="FX7" s="35">
        <v>103.19</v>
      </c>
      <c r="FY7" s="35">
        <v>103.071</v>
      </c>
      <c r="FZ7" s="35">
        <v>102.643</v>
      </c>
      <c r="GA7" s="35">
        <v>103.14100000000001</v>
      </c>
      <c r="GB7" s="35">
        <v>103.39</v>
      </c>
      <c r="GC7" s="35">
        <v>103.288</v>
      </c>
      <c r="GD7" s="35">
        <v>103.343</v>
      </c>
      <c r="GE7" s="35">
        <v>103.992</v>
      </c>
      <c r="GF7" s="35">
        <v>104.38200000000001</v>
      </c>
      <c r="GG7" s="35">
        <v>104.876</v>
      </c>
      <c r="GH7" s="35">
        <v>105.497</v>
      </c>
      <c r="GI7" s="35">
        <v>105.758</v>
      </c>
      <c r="GJ7" s="35">
        <v>106.142</v>
      </c>
      <c r="GK7" s="35">
        <v>106.818</v>
      </c>
      <c r="GL7" s="35">
        <v>107.58799999999999</v>
      </c>
      <c r="GM7" s="35">
        <v>108.166</v>
      </c>
      <c r="GN7" s="35">
        <v>108.55200000000001</v>
      </c>
      <c r="GO7" s="35">
        <v>108.961</v>
      </c>
      <c r="GP7" s="35">
        <v>109.188</v>
      </c>
      <c r="GQ7" s="35">
        <v>109.857</v>
      </c>
      <c r="GR7" s="35">
        <v>110.14400000000001</v>
      </c>
      <c r="GS7" s="35">
        <v>110.54300000000001</v>
      </c>
      <c r="GT7" s="35">
        <v>110.946</v>
      </c>
      <c r="GU7" s="35">
        <v>110.44499999999999</v>
      </c>
      <c r="GV7" s="35">
        <v>111.366</v>
      </c>
      <c r="GW7" s="35">
        <v>111.821</v>
      </c>
      <c r="GX7" s="35">
        <v>113.059</v>
      </c>
      <c r="GY7" s="35">
        <v>114.83799999999999</v>
      </c>
      <c r="GZ7" s="35">
        <v>116.413</v>
      </c>
      <c r="HA7" s="35">
        <v>118.173</v>
      </c>
      <c r="HB7" s="35">
        <v>120.32299999999999</v>
      </c>
      <c r="HC7">
        <v>122.459</v>
      </c>
      <c r="HD7">
        <v>123.76</v>
      </c>
      <c r="HE7">
        <v>124.902</v>
      </c>
      <c r="HF7">
        <v>126.182</v>
      </c>
    </row>
    <row r="8" spans="1:214" x14ac:dyDescent="0.35">
      <c r="A8" s="35" t="s">
        <v>2131</v>
      </c>
      <c r="B8" s="35">
        <v>18.704000000000001</v>
      </c>
      <c r="C8" s="35">
        <v>18.951000000000001</v>
      </c>
      <c r="D8" s="35">
        <v>19.274000000000001</v>
      </c>
      <c r="E8" s="35">
        <v>19.518999999999998</v>
      </c>
      <c r="F8" s="35">
        <v>20.137</v>
      </c>
      <c r="G8" s="35">
        <v>20.513000000000002</v>
      </c>
      <c r="H8" s="35">
        <v>20.81</v>
      </c>
      <c r="I8" s="35">
        <v>21.233000000000001</v>
      </c>
      <c r="J8" s="35">
        <v>22.106999999999999</v>
      </c>
      <c r="K8" s="35">
        <v>22.33</v>
      </c>
      <c r="L8" s="35">
        <v>22.513000000000002</v>
      </c>
      <c r="M8" s="35">
        <v>23.003</v>
      </c>
      <c r="N8" s="35">
        <v>23.373000000000001</v>
      </c>
      <c r="O8" s="35">
        <v>23.78</v>
      </c>
      <c r="P8" s="35">
        <v>24.271999999999998</v>
      </c>
      <c r="Q8" s="35">
        <v>24.791</v>
      </c>
      <c r="R8" s="35">
        <v>25.045000000000002</v>
      </c>
      <c r="S8" s="35">
        <v>25.498000000000001</v>
      </c>
      <c r="T8" s="35">
        <v>26.242000000000001</v>
      </c>
      <c r="U8" s="35">
        <v>27.114000000000001</v>
      </c>
      <c r="V8" s="35">
        <v>27.606999999999999</v>
      </c>
      <c r="W8" s="35">
        <v>28.006</v>
      </c>
      <c r="X8" s="35">
        <v>28.384</v>
      </c>
      <c r="Y8" s="35">
        <v>29.036000000000001</v>
      </c>
      <c r="Z8" s="35">
        <v>29.46</v>
      </c>
      <c r="AA8" s="35">
        <v>29.707000000000001</v>
      </c>
      <c r="AB8" s="35">
        <v>30.047000000000001</v>
      </c>
      <c r="AC8" s="35">
        <v>30.850999999999999</v>
      </c>
      <c r="AD8" s="35">
        <v>31.286999999999999</v>
      </c>
      <c r="AE8" s="35">
        <v>31.643000000000001</v>
      </c>
      <c r="AF8" s="35">
        <v>31.798999999999999</v>
      </c>
      <c r="AG8" s="35">
        <v>32.720999999999997</v>
      </c>
      <c r="AH8" s="35">
        <v>33.094999999999999</v>
      </c>
      <c r="AI8" s="35">
        <v>33.744999999999997</v>
      </c>
      <c r="AJ8" s="35">
        <v>34.308999999999997</v>
      </c>
      <c r="AK8" s="35">
        <v>34.901000000000003</v>
      </c>
      <c r="AL8" s="35">
        <v>35.543999999999997</v>
      </c>
      <c r="AM8" s="35">
        <v>36.081000000000003</v>
      </c>
      <c r="AN8" s="35">
        <v>36.923000000000002</v>
      </c>
      <c r="AO8" s="35">
        <v>37.735999999999997</v>
      </c>
      <c r="AP8" s="35">
        <v>38.481999999999999</v>
      </c>
      <c r="AQ8" s="35">
        <v>39.97</v>
      </c>
      <c r="AR8" s="35">
        <v>40.375</v>
      </c>
      <c r="AS8" s="35">
        <v>41.59</v>
      </c>
      <c r="AT8" s="35">
        <v>42.420999999999999</v>
      </c>
      <c r="AU8" s="35">
        <v>43.406999999999996</v>
      </c>
      <c r="AV8" s="35">
        <v>44.36</v>
      </c>
      <c r="AW8" s="35">
        <v>45.209000000000003</v>
      </c>
      <c r="AX8" s="35">
        <v>45.932000000000002</v>
      </c>
      <c r="AY8" s="35">
        <v>46.841000000000001</v>
      </c>
      <c r="AZ8" s="35">
        <v>47.234999999999999</v>
      </c>
      <c r="BA8" s="35">
        <v>47.792000000000002</v>
      </c>
      <c r="BB8" s="35">
        <v>47.881999999999998</v>
      </c>
      <c r="BC8" s="35">
        <v>48.252000000000002</v>
      </c>
      <c r="BD8" s="35">
        <v>48.786000000000001</v>
      </c>
      <c r="BE8" s="35">
        <v>49.104999999999997</v>
      </c>
      <c r="BF8" s="35">
        <v>49.741</v>
      </c>
      <c r="BG8" s="35">
        <v>50.237000000000002</v>
      </c>
      <c r="BH8" s="35">
        <v>50.984000000000002</v>
      </c>
      <c r="BI8" s="35">
        <v>51.612000000000002</v>
      </c>
      <c r="BJ8" s="35">
        <v>51.405999999999999</v>
      </c>
      <c r="BK8" s="35">
        <v>51.527000000000001</v>
      </c>
      <c r="BL8" s="35">
        <v>51.802</v>
      </c>
      <c r="BM8" s="35">
        <v>52.142000000000003</v>
      </c>
      <c r="BN8" s="35">
        <v>52.01</v>
      </c>
      <c r="BO8" s="35">
        <v>51.881</v>
      </c>
      <c r="BP8" s="35">
        <v>51.954000000000001</v>
      </c>
      <c r="BQ8" s="35">
        <v>52.012999999999998</v>
      </c>
      <c r="BR8" s="35">
        <v>51.923999999999999</v>
      </c>
      <c r="BS8" s="35">
        <v>52.170999999999999</v>
      </c>
      <c r="BT8" s="35">
        <v>52.548000000000002</v>
      </c>
      <c r="BU8" s="35">
        <v>52.658000000000001</v>
      </c>
      <c r="BV8" s="35">
        <v>53.375999999999998</v>
      </c>
      <c r="BW8" s="35">
        <v>53.901000000000003</v>
      </c>
      <c r="BX8" s="35">
        <v>54.209000000000003</v>
      </c>
      <c r="BY8" s="35">
        <v>54.645000000000003</v>
      </c>
      <c r="BZ8" s="35">
        <v>55.051000000000002</v>
      </c>
      <c r="CA8" s="35">
        <v>55.454999999999998</v>
      </c>
      <c r="CB8" s="35">
        <v>55.731000000000002</v>
      </c>
      <c r="CC8" s="35">
        <v>55.930999999999997</v>
      </c>
      <c r="CD8" s="35">
        <v>56.323</v>
      </c>
      <c r="CE8" s="35">
        <v>57.29</v>
      </c>
      <c r="CF8" s="35">
        <v>57.366999999999997</v>
      </c>
      <c r="CG8" s="35">
        <v>58.05</v>
      </c>
      <c r="CH8" s="35">
        <v>58.570999999999998</v>
      </c>
      <c r="CI8" s="35">
        <v>58.86</v>
      </c>
      <c r="CJ8" s="35">
        <v>59.616</v>
      </c>
      <c r="CK8" s="35">
        <v>60.219000000000001</v>
      </c>
      <c r="CL8" s="35">
        <v>60.307000000000002</v>
      </c>
      <c r="CM8" s="35">
        <v>60.527000000000001</v>
      </c>
      <c r="CN8" s="35">
        <v>61.055</v>
      </c>
      <c r="CO8" s="35">
        <v>61.439</v>
      </c>
      <c r="CP8" s="35">
        <v>61.591999999999999</v>
      </c>
      <c r="CQ8" s="35">
        <v>61.863</v>
      </c>
      <c r="CR8" s="35">
        <v>62.311</v>
      </c>
      <c r="CS8" s="35">
        <v>62.87</v>
      </c>
      <c r="CT8" s="35">
        <v>63.158000000000001</v>
      </c>
      <c r="CU8" s="35">
        <v>63.688000000000002</v>
      </c>
      <c r="CV8" s="35">
        <v>64.054000000000002</v>
      </c>
      <c r="CW8" s="35">
        <v>64.58</v>
      </c>
      <c r="CX8" s="35">
        <v>65.123999999999995</v>
      </c>
      <c r="CY8" s="35">
        <v>65.558000000000007</v>
      </c>
      <c r="CZ8" s="35">
        <v>65.897000000000006</v>
      </c>
      <c r="DA8" s="35">
        <v>66.807000000000002</v>
      </c>
      <c r="DB8" s="35">
        <v>66.963999999999999</v>
      </c>
      <c r="DC8" s="35">
        <v>66.605000000000004</v>
      </c>
      <c r="DD8" s="35">
        <v>66.992000000000004</v>
      </c>
      <c r="DE8" s="35">
        <v>67.221999999999994</v>
      </c>
      <c r="DF8" s="35">
        <v>67.450999999999993</v>
      </c>
      <c r="DG8" s="35">
        <v>67.894999999999996</v>
      </c>
      <c r="DH8" s="35">
        <v>68.051000000000002</v>
      </c>
      <c r="DI8" s="35">
        <v>68.528000000000006</v>
      </c>
      <c r="DJ8" s="35">
        <v>68.241</v>
      </c>
      <c r="DK8" s="35">
        <v>68.680000000000007</v>
      </c>
      <c r="DL8" s="35">
        <v>69.129000000000005</v>
      </c>
      <c r="DM8" s="35">
        <v>69.350999999999999</v>
      </c>
      <c r="DN8" s="35">
        <v>69.557000000000002</v>
      </c>
      <c r="DO8" s="35">
        <v>70.141999999999996</v>
      </c>
      <c r="DP8" s="35">
        <v>70.778999999999996</v>
      </c>
      <c r="DQ8" s="35">
        <v>71.649000000000001</v>
      </c>
      <c r="DR8" s="35">
        <v>72.346999999999994</v>
      </c>
      <c r="DS8" s="35">
        <v>72.625</v>
      </c>
      <c r="DT8" s="35">
        <v>73.144999999999996</v>
      </c>
      <c r="DU8" s="35">
        <v>73.475999999999999</v>
      </c>
      <c r="DV8" s="35">
        <v>73.600999999999999</v>
      </c>
      <c r="DW8" s="35">
        <v>73.988</v>
      </c>
      <c r="DX8" s="35">
        <v>74.462000000000003</v>
      </c>
      <c r="DY8" s="35">
        <v>74.944000000000003</v>
      </c>
      <c r="DZ8" s="35">
        <v>75.430000000000007</v>
      </c>
      <c r="EA8" s="35">
        <v>76.143000000000001</v>
      </c>
      <c r="EB8" s="35">
        <v>76.796999999999997</v>
      </c>
      <c r="EC8" s="35">
        <v>78.22</v>
      </c>
      <c r="ED8" s="35">
        <v>79.091999999999999</v>
      </c>
      <c r="EE8" s="35">
        <v>79.653999999999996</v>
      </c>
      <c r="EF8" s="35">
        <v>80.375</v>
      </c>
      <c r="EG8" s="35">
        <v>80.977000000000004</v>
      </c>
      <c r="EH8" s="35">
        <v>81.665999999999997</v>
      </c>
      <c r="EI8" s="35">
        <v>82.375</v>
      </c>
      <c r="EJ8" s="35">
        <v>83.129000000000005</v>
      </c>
      <c r="EK8" s="35">
        <v>83.938000000000002</v>
      </c>
      <c r="EL8" s="35">
        <v>85.043000000000006</v>
      </c>
      <c r="EM8" s="35">
        <v>85.81</v>
      </c>
      <c r="EN8" s="35">
        <v>86.706000000000003</v>
      </c>
      <c r="EO8" s="35">
        <v>87.328999999999994</v>
      </c>
      <c r="EP8" s="35">
        <v>88.063999999999993</v>
      </c>
      <c r="EQ8" s="35">
        <v>88.677000000000007</v>
      </c>
      <c r="ER8" s="35">
        <v>89.334000000000003</v>
      </c>
      <c r="ES8" s="35">
        <v>89.799000000000007</v>
      </c>
      <c r="ET8" s="35">
        <v>90.566999999999993</v>
      </c>
      <c r="EU8" s="35">
        <v>91.290999999999997</v>
      </c>
      <c r="EV8" s="35">
        <v>91.92</v>
      </c>
      <c r="EW8" s="35">
        <v>92.656999999999996</v>
      </c>
      <c r="EX8" s="35">
        <v>93.438000000000002</v>
      </c>
      <c r="EY8" s="35">
        <v>94.394999999999996</v>
      </c>
      <c r="EZ8" s="35">
        <v>95.102999999999994</v>
      </c>
      <c r="FA8" s="35">
        <v>94.65</v>
      </c>
      <c r="FB8" s="35">
        <v>93.855999999999995</v>
      </c>
      <c r="FC8" s="35">
        <v>93.873000000000005</v>
      </c>
      <c r="FD8" s="35">
        <v>94.16</v>
      </c>
      <c r="FE8" s="35">
        <v>94.884</v>
      </c>
      <c r="FF8" s="35">
        <v>95.488</v>
      </c>
      <c r="FG8" s="35">
        <v>96.22</v>
      </c>
      <c r="FH8" s="35">
        <v>96.602000000000004</v>
      </c>
      <c r="FI8" s="35">
        <v>97.388000000000005</v>
      </c>
      <c r="FJ8" s="35">
        <v>98.263000000000005</v>
      </c>
      <c r="FK8" s="35">
        <v>99.152000000000001</v>
      </c>
      <c r="FL8" s="35">
        <v>99.497</v>
      </c>
      <c r="FM8" s="35">
        <v>99.364000000000004</v>
      </c>
      <c r="FN8" s="35">
        <v>99.707999999999998</v>
      </c>
      <c r="FO8" s="35">
        <v>99.927999999999997</v>
      </c>
      <c r="FP8" s="35">
        <v>100.12</v>
      </c>
      <c r="FQ8" s="35">
        <v>100.244</v>
      </c>
      <c r="FR8" s="35">
        <v>100.239</v>
      </c>
      <c r="FS8" s="35">
        <v>100.437</v>
      </c>
      <c r="FT8" s="35">
        <v>100.762</v>
      </c>
      <c r="FU8" s="35">
        <v>102.295</v>
      </c>
      <c r="FV8" s="35">
        <v>102.03100000000001</v>
      </c>
      <c r="FW8" s="35">
        <v>102.482</v>
      </c>
      <c r="FX8" s="35">
        <v>102.961</v>
      </c>
      <c r="FY8" s="35">
        <v>103.099</v>
      </c>
      <c r="FZ8" s="35">
        <v>102.93300000000001</v>
      </c>
      <c r="GA8" s="35">
        <v>103.13500000000001</v>
      </c>
      <c r="GB8" s="35">
        <v>103.29300000000001</v>
      </c>
      <c r="GC8" s="35">
        <v>103.211</v>
      </c>
      <c r="GD8" s="35">
        <v>102.953</v>
      </c>
      <c r="GE8" s="35">
        <v>103.50700000000001</v>
      </c>
      <c r="GF8" s="35">
        <v>103.90900000000001</v>
      </c>
      <c r="GG8" s="35">
        <v>104.41</v>
      </c>
      <c r="GH8" s="35">
        <v>104.913</v>
      </c>
      <c r="GI8" s="35">
        <v>105.255</v>
      </c>
      <c r="GJ8" s="35">
        <v>105.72</v>
      </c>
      <c r="GK8" s="35">
        <v>106.48</v>
      </c>
      <c r="GL8" s="35">
        <v>107.559</v>
      </c>
      <c r="GM8" s="35">
        <v>108.345</v>
      </c>
      <c r="GN8" s="35">
        <v>108.973</v>
      </c>
      <c r="GO8" s="35">
        <v>109.77200000000001</v>
      </c>
      <c r="GP8" s="35">
        <v>110.943</v>
      </c>
      <c r="GQ8" s="35">
        <v>110.205</v>
      </c>
      <c r="GR8" s="35">
        <v>110.48</v>
      </c>
      <c r="GS8" s="35">
        <v>110.926</v>
      </c>
      <c r="GT8" s="35">
        <v>111.301</v>
      </c>
      <c r="GU8" s="35">
        <v>111.393</v>
      </c>
      <c r="GV8" s="35">
        <v>112.10899999999999</v>
      </c>
      <c r="GW8" s="35">
        <v>112.788</v>
      </c>
      <c r="GX8" s="35">
        <v>113.922</v>
      </c>
      <c r="GY8" s="35">
        <v>115.07899999999999</v>
      </c>
      <c r="GZ8" s="35">
        <v>116.325</v>
      </c>
      <c r="HA8" s="35">
        <v>117.568</v>
      </c>
      <c r="HB8" s="35">
        <v>119.203</v>
      </c>
      <c r="HC8">
        <v>120.95099999999999</v>
      </c>
      <c r="HD8">
        <v>122.383</v>
      </c>
      <c r="HE8">
        <v>123.336</v>
      </c>
      <c r="HF8">
        <v>124.324</v>
      </c>
    </row>
    <row r="9" spans="1:214" x14ac:dyDescent="0.35">
      <c r="A9" s="35" t="s">
        <v>2132</v>
      </c>
      <c r="B9" s="35">
        <v>13.706</v>
      </c>
      <c r="C9" s="35">
        <v>13.997</v>
      </c>
      <c r="D9" s="35">
        <v>14.25</v>
      </c>
      <c r="E9" s="35">
        <v>14.52</v>
      </c>
      <c r="F9" s="35">
        <v>14.849</v>
      </c>
      <c r="G9" s="35">
        <v>15.118</v>
      </c>
      <c r="H9" s="35">
        <v>15.331</v>
      </c>
      <c r="I9" s="35">
        <v>15.497999999999999</v>
      </c>
      <c r="J9" s="35">
        <v>15.845000000000001</v>
      </c>
      <c r="K9" s="35">
        <v>16.032</v>
      </c>
      <c r="L9" s="35">
        <v>16.276</v>
      </c>
      <c r="M9" s="35">
        <v>16.5</v>
      </c>
      <c r="N9" s="35">
        <v>16.824999999999999</v>
      </c>
      <c r="O9" s="35">
        <v>17.123999999999999</v>
      </c>
      <c r="P9" s="35">
        <v>17.353999999999999</v>
      </c>
      <c r="Q9" s="35">
        <v>17.683</v>
      </c>
      <c r="R9" s="35">
        <v>18.196000000000002</v>
      </c>
      <c r="S9" s="35">
        <v>18.829000000000001</v>
      </c>
      <c r="T9" s="35">
        <v>19.515999999999998</v>
      </c>
      <c r="U9" s="35">
        <v>20.09</v>
      </c>
      <c r="V9" s="35">
        <v>20.494</v>
      </c>
      <c r="W9" s="35">
        <v>20.9</v>
      </c>
      <c r="X9" s="35">
        <v>21.167000000000002</v>
      </c>
      <c r="Y9" s="35">
        <v>21.437999999999999</v>
      </c>
      <c r="Z9" s="35">
        <v>21.68</v>
      </c>
      <c r="AA9" s="35">
        <v>21.943000000000001</v>
      </c>
      <c r="AB9" s="35">
        <v>22.106000000000002</v>
      </c>
      <c r="AC9" s="35">
        <v>22.37</v>
      </c>
      <c r="AD9" s="35">
        <v>22.792000000000002</v>
      </c>
      <c r="AE9" s="35">
        <v>23.2</v>
      </c>
      <c r="AF9" s="35">
        <v>23.594999999999999</v>
      </c>
      <c r="AG9" s="35">
        <v>23.992999999999999</v>
      </c>
      <c r="AH9" s="35">
        <v>24.332000000000001</v>
      </c>
      <c r="AI9" s="35">
        <v>24.738</v>
      </c>
      <c r="AJ9" s="35">
        <v>25.114999999999998</v>
      </c>
      <c r="AK9" s="35">
        <v>25.475000000000001</v>
      </c>
      <c r="AL9" s="35">
        <v>26.081</v>
      </c>
      <c r="AM9" s="35">
        <v>26.678000000000001</v>
      </c>
      <c r="AN9" s="35">
        <v>27.582000000000001</v>
      </c>
      <c r="AO9" s="35">
        <v>28.120999999999999</v>
      </c>
      <c r="AP9" s="35">
        <v>28.853000000000002</v>
      </c>
      <c r="AQ9" s="35">
        <v>29.645</v>
      </c>
      <c r="AR9" s="35">
        <v>30.5</v>
      </c>
      <c r="AS9" s="35">
        <v>31.33</v>
      </c>
      <c r="AT9" s="35">
        <v>32.348999999999997</v>
      </c>
      <c r="AU9" s="35">
        <v>33.045000000000002</v>
      </c>
      <c r="AV9" s="35">
        <v>33.494</v>
      </c>
      <c r="AW9" s="35">
        <v>34.023000000000003</v>
      </c>
      <c r="AX9" s="35">
        <v>34.595999999999997</v>
      </c>
      <c r="AY9" s="35">
        <v>35.152000000000001</v>
      </c>
      <c r="AZ9" s="35">
        <v>35.704000000000001</v>
      </c>
      <c r="BA9" s="35">
        <v>36.158000000000001</v>
      </c>
      <c r="BB9" s="35">
        <v>36.417999999999999</v>
      </c>
      <c r="BC9" s="35">
        <v>36.817</v>
      </c>
      <c r="BD9" s="35">
        <v>37.173000000000002</v>
      </c>
      <c r="BE9" s="35">
        <v>37.456000000000003</v>
      </c>
      <c r="BF9" s="35">
        <v>37.999000000000002</v>
      </c>
      <c r="BG9" s="35">
        <v>38.360999999999997</v>
      </c>
      <c r="BH9" s="35">
        <v>38.719000000000001</v>
      </c>
      <c r="BI9" s="35">
        <v>39.103000000000002</v>
      </c>
      <c r="BJ9" s="35">
        <v>39.564</v>
      </c>
      <c r="BK9" s="35">
        <v>39.954000000000001</v>
      </c>
      <c r="BL9" s="35">
        <v>40.284999999999997</v>
      </c>
      <c r="BM9" s="35">
        <v>40.658000000000001</v>
      </c>
      <c r="BN9" s="35">
        <v>40.826999999999998</v>
      </c>
      <c r="BO9" s="35">
        <v>41.006999999999998</v>
      </c>
      <c r="BP9" s="35">
        <v>41.362000000000002</v>
      </c>
      <c r="BQ9" s="35">
        <v>41.887999999999998</v>
      </c>
      <c r="BR9" s="35">
        <v>42.487000000000002</v>
      </c>
      <c r="BS9" s="35">
        <v>43.006</v>
      </c>
      <c r="BT9" s="35">
        <v>43.521000000000001</v>
      </c>
      <c r="BU9" s="35">
        <v>43.78</v>
      </c>
      <c r="BV9" s="35">
        <v>44.005000000000003</v>
      </c>
      <c r="BW9" s="35">
        <v>44.433999999999997</v>
      </c>
      <c r="BX9" s="35">
        <v>44.808</v>
      </c>
      <c r="BY9" s="35">
        <v>45.320999999999998</v>
      </c>
      <c r="BZ9" s="35">
        <v>45.917000000000002</v>
      </c>
      <c r="CA9" s="35">
        <v>46.54</v>
      </c>
      <c r="CB9" s="35">
        <v>46.975999999999999</v>
      </c>
      <c r="CC9" s="35">
        <v>47.582999999999998</v>
      </c>
      <c r="CD9" s="35">
        <v>48.256</v>
      </c>
      <c r="CE9" s="35">
        <v>48.753999999999998</v>
      </c>
      <c r="CF9" s="35">
        <v>49.417000000000002</v>
      </c>
      <c r="CG9" s="35">
        <v>50.195</v>
      </c>
      <c r="CH9" s="35">
        <v>50.405999999999999</v>
      </c>
      <c r="CI9" s="35">
        <v>50.710999999999999</v>
      </c>
      <c r="CJ9" s="35">
        <v>51.128999999999998</v>
      </c>
      <c r="CK9" s="35">
        <v>51.575000000000003</v>
      </c>
      <c r="CL9" s="35">
        <v>51.942999999999998</v>
      </c>
      <c r="CM9" s="35">
        <v>52.563000000000002</v>
      </c>
      <c r="CN9" s="35">
        <v>52.951000000000001</v>
      </c>
      <c r="CO9" s="35">
        <v>53.311999999999998</v>
      </c>
      <c r="CP9" s="35">
        <v>53.622</v>
      </c>
      <c r="CQ9" s="35">
        <v>53.938000000000002</v>
      </c>
      <c r="CR9" s="35">
        <v>54.091999999999999</v>
      </c>
      <c r="CS9" s="35">
        <v>54.365000000000002</v>
      </c>
      <c r="CT9" s="35">
        <v>54.808999999999997</v>
      </c>
      <c r="CU9" s="35">
        <v>55.113999999999997</v>
      </c>
      <c r="CV9" s="35">
        <v>55.595999999999997</v>
      </c>
      <c r="CW9" s="35">
        <v>56.067999999999998</v>
      </c>
      <c r="CX9" s="35">
        <v>56.381</v>
      </c>
      <c r="CY9" s="35">
        <v>56.808999999999997</v>
      </c>
      <c r="CZ9" s="35">
        <v>57.042999999999999</v>
      </c>
      <c r="DA9" s="35">
        <v>57.261000000000003</v>
      </c>
      <c r="DB9" s="35">
        <v>57.832999999999998</v>
      </c>
      <c r="DC9" s="35">
        <v>57.911999999999999</v>
      </c>
      <c r="DD9" s="35">
        <v>58.277999999999999</v>
      </c>
      <c r="DE9" s="35">
        <v>58.695999999999998</v>
      </c>
      <c r="DF9" s="35">
        <v>59.085000000000001</v>
      </c>
      <c r="DG9" s="35">
        <v>59.276000000000003</v>
      </c>
      <c r="DH9" s="35">
        <v>59.533999999999999</v>
      </c>
      <c r="DI9" s="35">
        <v>60</v>
      </c>
      <c r="DJ9" s="35">
        <v>60.081000000000003</v>
      </c>
      <c r="DK9" s="35">
        <v>60.347000000000001</v>
      </c>
      <c r="DL9" s="35">
        <v>60.798999999999999</v>
      </c>
      <c r="DM9" s="35">
        <v>61.307000000000002</v>
      </c>
      <c r="DN9" s="35">
        <v>61.777999999999999</v>
      </c>
      <c r="DO9" s="35">
        <v>62.613999999999997</v>
      </c>
      <c r="DP9" s="35">
        <v>63.366</v>
      </c>
      <c r="DQ9" s="35">
        <v>64.093999999999994</v>
      </c>
      <c r="DR9" s="35">
        <v>64.912999999999997</v>
      </c>
      <c r="DS9" s="35">
        <v>65.602000000000004</v>
      </c>
      <c r="DT9" s="35">
        <v>66.305999999999997</v>
      </c>
      <c r="DU9" s="35">
        <v>67.134</v>
      </c>
      <c r="DV9" s="35">
        <v>67.936000000000007</v>
      </c>
      <c r="DW9" s="35">
        <v>68.201999999999998</v>
      </c>
      <c r="DX9" s="35">
        <v>68.381</v>
      </c>
      <c r="DY9" s="35">
        <v>68.513999999999996</v>
      </c>
      <c r="DZ9" s="35">
        <v>68.930999999999997</v>
      </c>
      <c r="EA9" s="35">
        <v>69.551000000000002</v>
      </c>
      <c r="EB9" s="35">
        <v>70.051000000000002</v>
      </c>
      <c r="EC9" s="35">
        <v>70.635999999999996</v>
      </c>
      <c r="ED9" s="35">
        <v>71.641999999999996</v>
      </c>
      <c r="EE9" s="35">
        <v>71.694000000000003</v>
      </c>
      <c r="EF9" s="35">
        <v>72.174999999999997</v>
      </c>
      <c r="EG9" s="35">
        <v>72.741</v>
      </c>
      <c r="EH9" s="35">
        <v>73.661000000000001</v>
      </c>
      <c r="EI9" s="35">
        <v>74.712999999999994</v>
      </c>
      <c r="EJ9" s="35">
        <v>75.923000000000002</v>
      </c>
      <c r="EK9" s="35">
        <v>77.230999999999995</v>
      </c>
      <c r="EL9" s="35">
        <v>77.924999999999997</v>
      </c>
      <c r="EM9" s="35">
        <v>78.921999999999997</v>
      </c>
      <c r="EN9" s="35">
        <v>80.183000000000007</v>
      </c>
      <c r="EO9" s="35">
        <v>81.492999999999995</v>
      </c>
      <c r="EP9" s="35">
        <v>82.072999999999993</v>
      </c>
      <c r="EQ9" s="35">
        <v>83.332999999999998</v>
      </c>
      <c r="ER9" s="35">
        <v>84.168999999999997</v>
      </c>
      <c r="ES9" s="35">
        <v>85.058999999999997</v>
      </c>
      <c r="ET9" s="35">
        <v>86.683000000000007</v>
      </c>
      <c r="EU9" s="35">
        <v>87.617000000000004</v>
      </c>
      <c r="EV9" s="35">
        <v>88.57</v>
      </c>
      <c r="EW9" s="35">
        <v>89.855000000000004</v>
      </c>
      <c r="EX9" s="35">
        <v>91.295000000000002</v>
      </c>
      <c r="EY9" s="35">
        <v>92.566000000000003</v>
      </c>
      <c r="EZ9" s="35">
        <v>93.808000000000007</v>
      </c>
      <c r="FA9" s="35">
        <v>92.691999999999993</v>
      </c>
      <c r="FB9" s="35">
        <v>91.491</v>
      </c>
      <c r="FC9" s="35">
        <v>91.691999999999993</v>
      </c>
      <c r="FD9" s="35">
        <v>92.161000000000001</v>
      </c>
      <c r="FE9" s="35">
        <v>92.837999999999994</v>
      </c>
      <c r="FF9" s="35">
        <v>93.757999999999996</v>
      </c>
      <c r="FG9" s="35">
        <v>94.382999999999996</v>
      </c>
      <c r="FH9" s="35">
        <v>94.876999999999995</v>
      </c>
      <c r="FI9" s="35">
        <v>95.677999999999997</v>
      </c>
      <c r="FJ9" s="35">
        <v>96.65</v>
      </c>
      <c r="FK9" s="35">
        <v>97.813999999999993</v>
      </c>
      <c r="FL9" s="35">
        <v>98.319000000000003</v>
      </c>
      <c r="FM9" s="35">
        <v>98.203999999999994</v>
      </c>
      <c r="FN9" s="35">
        <v>99.400999999999996</v>
      </c>
      <c r="FO9" s="35">
        <v>99.402000000000001</v>
      </c>
      <c r="FP9" s="35">
        <v>99.99</v>
      </c>
      <c r="FQ9" s="35">
        <v>101.208</v>
      </c>
      <c r="FR9" s="35">
        <v>102.371</v>
      </c>
      <c r="FS9" s="35">
        <v>102.91200000000001</v>
      </c>
      <c r="FT9" s="35">
        <v>103.727</v>
      </c>
      <c r="FU9" s="35">
        <v>104.318</v>
      </c>
      <c r="FV9" s="35">
        <v>105.145</v>
      </c>
      <c r="FW9" s="35">
        <v>105.502</v>
      </c>
      <c r="FX9" s="35">
        <v>106.09</v>
      </c>
      <c r="FY9" s="35">
        <v>106.054</v>
      </c>
      <c r="FZ9" s="35">
        <v>105.176</v>
      </c>
      <c r="GA9" s="35">
        <v>105.863</v>
      </c>
      <c r="GB9" s="35">
        <v>105.96899999999999</v>
      </c>
      <c r="GC9" s="35">
        <v>105.61499999999999</v>
      </c>
      <c r="GD9" s="35">
        <v>104.83</v>
      </c>
      <c r="GE9" s="35">
        <v>105.637</v>
      </c>
      <c r="GF9" s="35">
        <v>105.985</v>
      </c>
      <c r="GG9" s="35">
        <v>106.504</v>
      </c>
      <c r="GH9" s="35">
        <v>107.483</v>
      </c>
      <c r="GI9" s="35">
        <v>107.785</v>
      </c>
      <c r="GJ9" s="35">
        <v>108.75700000000001</v>
      </c>
      <c r="GK9" s="35">
        <v>110.11199999999999</v>
      </c>
      <c r="GL9" s="35">
        <v>111.45399999999999</v>
      </c>
      <c r="GM9" s="35">
        <v>112.669</v>
      </c>
      <c r="GN9" s="35">
        <v>113.702</v>
      </c>
      <c r="GO9" s="35">
        <v>114.28700000000001</v>
      </c>
      <c r="GP9" s="35">
        <v>113.974</v>
      </c>
      <c r="GQ9" s="35">
        <v>114.81699999999999</v>
      </c>
      <c r="GR9" s="35">
        <v>115.11799999999999</v>
      </c>
      <c r="GS9" s="35">
        <v>115.545</v>
      </c>
      <c r="GT9" s="35">
        <v>116.77200000000001</v>
      </c>
      <c r="GU9" s="35">
        <v>116.705</v>
      </c>
      <c r="GV9" s="35">
        <v>117.738</v>
      </c>
      <c r="GW9" s="35">
        <v>119.056</v>
      </c>
      <c r="GX9" s="35">
        <v>121.58499999999999</v>
      </c>
      <c r="GY9" s="35">
        <v>124.087</v>
      </c>
      <c r="GZ9" s="35">
        <v>126.19499999999999</v>
      </c>
      <c r="HA9" s="35">
        <v>128.95699999999999</v>
      </c>
      <c r="HB9" s="35">
        <v>132.23400000000001</v>
      </c>
      <c r="HC9">
        <v>136.93</v>
      </c>
      <c r="HD9">
        <v>137.91399999999999</v>
      </c>
      <c r="HE9">
        <v>139.232</v>
      </c>
      <c r="HF9">
        <v>139.43199999999999</v>
      </c>
    </row>
    <row r="10" spans="1:214" x14ac:dyDescent="0.35">
      <c r="A10" s="35" t="s">
        <v>2133</v>
      </c>
      <c r="B10" s="35">
        <v>13.106999999999999</v>
      </c>
      <c r="C10" s="35">
        <v>13.368</v>
      </c>
      <c r="D10" s="35">
        <v>13.603999999999999</v>
      </c>
      <c r="E10" s="35">
        <v>13.833</v>
      </c>
      <c r="F10" s="35">
        <v>14.173999999999999</v>
      </c>
      <c r="G10" s="35">
        <v>14.439</v>
      </c>
      <c r="H10" s="35">
        <v>14.657</v>
      </c>
      <c r="I10" s="35">
        <v>14.79</v>
      </c>
      <c r="J10" s="35">
        <v>15.162000000000001</v>
      </c>
      <c r="K10" s="35">
        <v>15.361000000000001</v>
      </c>
      <c r="L10" s="35">
        <v>15.6</v>
      </c>
      <c r="M10" s="35">
        <v>15.794</v>
      </c>
      <c r="N10" s="35">
        <v>16.106000000000002</v>
      </c>
      <c r="O10" s="35">
        <v>16.378</v>
      </c>
      <c r="P10" s="35">
        <v>16.568000000000001</v>
      </c>
      <c r="Q10" s="35">
        <v>16.846</v>
      </c>
      <c r="R10" s="35">
        <v>17.254999999999999</v>
      </c>
      <c r="S10" s="35">
        <v>17.719000000000001</v>
      </c>
      <c r="T10" s="35">
        <v>18.228000000000002</v>
      </c>
      <c r="U10" s="35">
        <v>18.704000000000001</v>
      </c>
      <c r="V10" s="35">
        <v>19.077999999999999</v>
      </c>
      <c r="W10" s="35">
        <v>19.538</v>
      </c>
      <c r="X10" s="35">
        <v>19.838000000000001</v>
      </c>
      <c r="Y10" s="35">
        <v>20.126999999999999</v>
      </c>
      <c r="Z10" s="35">
        <v>20.388999999999999</v>
      </c>
      <c r="AA10" s="35">
        <v>20.655000000000001</v>
      </c>
      <c r="AB10" s="35">
        <v>20.835999999999999</v>
      </c>
      <c r="AC10" s="35">
        <v>21.111000000000001</v>
      </c>
      <c r="AD10" s="35">
        <v>21.54</v>
      </c>
      <c r="AE10" s="35">
        <v>21.968</v>
      </c>
      <c r="AF10" s="35">
        <v>22.361000000000001</v>
      </c>
      <c r="AG10" s="35">
        <v>22.771000000000001</v>
      </c>
      <c r="AH10" s="35">
        <v>23.102</v>
      </c>
      <c r="AI10" s="35">
        <v>23.472000000000001</v>
      </c>
      <c r="AJ10" s="35">
        <v>23.808</v>
      </c>
      <c r="AK10" s="35">
        <v>24.126999999999999</v>
      </c>
      <c r="AL10" s="35">
        <v>24.719000000000001</v>
      </c>
      <c r="AM10" s="35">
        <v>25.259</v>
      </c>
      <c r="AN10" s="35">
        <v>26.146000000000001</v>
      </c>
      <c r="AO10" s="35">
        <v>26.596</v>
      </c>
      <c r="AP10" s="35">
        <v>27.28</v>
      </c>
      <c r="AQ10" s="35">
        <v>28.02</v>
      </c>
      <c r="AR10" s="35">
        <v>28.798999999999999</v>
      </c>
      <c r="AS10" s="35">
        <v>29.565000000000001</v>
      </c>
      <c r="AT10" s="35">
        <v>30.556000000000001</v>
      </c>
      <c r="AU10" s="35">
        <v>31.195</v>
      </c>
      <c r="AV10" s="35">
        <v>31.568000000000001</v>
      </c>
      <c r="AW10" s="35">
        <v>32.052</v>
      </c>
      <c r="AX10" s="35">
        <v>32.613999999999997</v>
      </c>
      <c r="AY10" s="35">
        <v>33.134</v>
      </c>
      <c r="AZ10" s="35">
        <v>33.683999999999997</v>
      </c>
      <c r="BA10" s="35">
        <v>34.19</v>
      </c>
      <c r="BB10" s="35">
        <v>34.482999999999997</v>
      </c>
      <c r="BC10" s="35">
        <v>34.954000000000001</v>
      </c>
      <c r="BD10" s="35">
        <v>35.363</v>
      </c>
      <c r="BE10" s="35">
        <v>35.694000000000003</v>
      </c>
      <c r="BF10" s="35">
        <v>36.32</v>
      </c>
      <c r="BG10" s="35">
        <v>36.716000000000001</v>
      </c>
      <c r="BH10" s="35">
        <v>37.11</v>
      </c>
      <c r="BI10" s="35">
        <v>37.548000000000002</v>
      </c>
      <c r="BJ10" s="35">
        <v>38.043999999999997</v>
      </c>
      <c r="BK10" s="35">
        <v>38.478999999999999</v>
      </c>
      <c r="BL10" s="35">
        <v>38.835999999999999</v>
      </c>
      <c r="BM10" s="35">
        <v>39.226999999999997</v>
      </c>
      <c r="BN10" s="35">
        <v>39.371000000000002</v>
      </c>
      <c r="BO10" s="35">
        <v>39.488999999999997</v>
      </c>
      <c r="BP10" s="35">
        <v>39.826999999999998</v>
      </c>
      <c r="BQ10" s="35">
        <v>40.351999999999997</v>
      </c>
      <c r="BR10" s="35">
        <v>41.005000000000003</v>
      </c>
      <c r="BS10" s="35">
        <v>41.545000000000002</v>
      </c>
      <c r="BT10" s="35">
        <v>42.072000000000003</v>
      </c>
      <c r="BU10" s="35">
        <v>42.329000000000001</v>
      </c>
      <c r="BV10" s="35">
        <v>42.517000000000003</v>
      </c>
      <c r="BW10" s="35">
        <v>42.975000000000001</v>
      </c>
      <c r="BX10" s="35">
        <v>43.356999999999999</v>
      </c>
      <c r="BY10" s="35">
        <v>43.918999999999997</v>
      </c>
      <c r="BZ10" s="35">
        <v>44.585000000000001</v>
      </c>
      <c r="CA10" s="35">
        <v>45.247999999999998</v>
      </c>
      <c r="CB10" s="35">
        <v>45.692999999999998</v>
      </c>
      <c r="CC10" s="35">
        <v>46.363999999999997</v>
      </c>
      <c r="CD10" s="35">
        <v>47.098999999999997</v>
      </c>
      <c r="CE10" s="35">
        <v>47.601999999999997</v>
      </c>
      <c r="CF10" s="35">
        <v>48.293999999999997</v>
      </c>
      <c r="CG10" s="35">
        <v>49.207999999999998</v>
      </c>
      <c r="CH10" s="35">
        <v>49.442</v>
      </c>
      <c r="CI10" s="35">
        <v>49.752000000000002</v>
      </c>
      <c r="CJ10" s="35">
        <v>50.226999999999997</v>
      </c>
      <c r="CK10" s="35">
        <v>50.798000000000002</v>
      </c>
      <c r="CL10" s="35">
        <v>51.277999999999999</v>
      </c>
      <c r="CM10" s="35">
        <v>51.975000000000001</v>
      </c>
      <c r="CN10" s="35">
        <v>52.42</v>
      </c>
      <c r="CO10" s="35">
        <v>52.802999999999997</v>
      </c>
      <c r="CP10" s="35">
        <v>53.091999999999999</v>
      </c>
      <c r="CQ10" s="35">
        <v>53.405999999999999</v>
      </c>
      <c r="CR10" s="35">
        <v>53.58</v>
      </c>
      <c r="CS10" s="35">
        <v>53.853999999999999</v>
      </c>
      <c r="CT10" s="35">
        <v>54.305</v>
      </c>
      <c r="CU10" s="35">
        <v>54.621000000000002</v>
      </c>
      <c r="CV10" s="35">
        <v>55.097999999999999</v>
      </c>
      <c r="CW10" s="35">
        <v>55.569000000000003</v>
      </c>
      <c r="CX10" s="35">
        <v>55.825000000000003</v>
      </c>
      <c r="CY10" s="35">
        <v>56.253999999999998</v>
      </c>
      <c r="CZ10" s="35">
        <v>56.468000000000004</v>
      </c>
      <c r="DA10" s="35">
        <v>56.66</v>
      </c>
      <c r="DB10" s="35">
        <v>57.283999999999999</v>
      </c>
      <c r="DC10" s="35">
        <v>57.366</v>
      </c>
      <c r="DD10" s="35">
        <v>57.746000000000002</v>
      </c>
      <c r="DE10" s="35">
        <v>58.213999999999999</v>
      </c>
      <c r="DF10" s="35">
        <v>58.613</v>
      </c>
      <c r="DG10" s="35">
        <v>58.753</v>
      </c>
      <c r="DH10" s="35">
        <v>59.033999999999999</v>
      </c>
      <c r="DI10" s="35">
        <v>59.515999999999998</v>
      </c>
      <c r="DJ10" s="35">
        <v>59.61</v>
      </c>
      <c r="DK10" s="35">
        <v>59.927</v>
      </c>
      <c r="DL10" s="35">
        <v>60.395000000000003</v>
      </c>
      <c r="DM10" s="35">
        <v>60.939</v>
      </c>
      <c r="DN10" s="35">
        <v>61.46</v>
      </c>
      <c r="DO10" s="35">
        <v>62.381999999999998</v>
      </c>
      <c r="DP10" s="35">
        <v>63.246000000000002</v>
      </c>
      <c r="DQ10" s="35">
        <v>64.018000000000001</v>
      </c>
      <c r="DR10" s="35">
        <v>64.912000000000006</v>
      </c>
      <c r="DS10" s="35">
        <v>65.59</v>
      </c>
      <c r="DT10" s="35">
        <v>66.358999999999995</v>
      </c>
      <c r="DU10" s="35">
        <v>67.293000000000006</v>
      </c>
      <c r="DV10" s="35">
        <v>68.191000000000003</v>
      </c>
      <c r="DW10" s="35">
        <v>68.48</v>
      </c>
      <c r="DX10" s="35">
        <v>68.652000000000001</v>
      </c>
      <c r="DY10" s="35">
        <v>68.728999999999999</v>
      </c>
      <c r="DZ10" s="35">
        <v>69.174999999999997</v>
      </c>
      <c r="EA10" s="35">
        <v>69.855999999999995</v>
      </c>
      <c r="EB10" s="35">
        <v>70.427999999999997</v>
      </c>
      <c r="EC10" s="35">
        <v>71.129000000000005</v>
      </c>
      <c r="ED10" s="35">
        <v>72.244</v>
      </c>
      <c r="EE10" s="35">
        <v>72.290999999999997</v>
      </c>
      <c r="EF10" s="35">
        <v>72.872</v>
      </c>
      <c r="EG10" s="35">
        <v>73.531999999999996</v>
      </c>
      <c r="EH10" s="35">
        <v>74.569999999999993</v>
      </c>
      <c r="EI10" s="35">
        <v>75.561000000000007</v>
      </c>
      <c r="EJ10" s="35">
        <v>76.591999999999999</v>
      </c>
      <c r="EK10" s="35">
        <v>77.790000000000006</v>
      </c>
      <c r="EL10" s="35">
        <v>78.498000000000005</v>
      </c>
      <c r="EM10" s="35">
        <v>79.393000000000001</v>
      </c>
      <c r="EN10" s="35">
        <v>80.545000000000002</v>
      </c>
      <c r="EO10" s="35">
        <v>81.906000000000006</v>
      </c>
      <c r="EP10" s="35">
        <v>82.507999999999996</v>
      </c>
      <c r="EQ10" s="35">
        <v>83.641999999999996</v>
      </c>
      <c r="ER10" s="35">
        <v>84.402000000000001</v>
      </c>
      <c r="ES10" s="35">
        <v>85.034999999999997</v>
      </c>
      <c r="ET10" s="35">
        <v>86.531999999999996</v>
      </c>
      <c r="EU10" s="35">
        <v>87.468999999999994</v>
      </c>
      <c r="EV10" s="35">
        <v>88.447000000000003</v>
      </c>
      <c r="EW10" s="35">
        <v>89.787999999999997</v>
      </c>
      <c r="EX10" s="35">
        <v>91.369</v>
      </c>
      <c r="EY10" s="35">
        <v>92.781000000000006</v>
      </c>
      <c r="EZ10" s="35">
        <v>94.036000000000001</v>
      </c>
      <c r="FA10" s="35">
        <v>92.242000000000004</v>
      </c>
      <c r="FB10" s="35">
        <v>90.620999999999995</v>
      </c>
      <c r="FC10" s="35">
        <v>91.066999999999993</v>
      </c>
      <c r="FD10" s="35">
        <v>91.849000000000004</v>
      </c>
      <c r="FE10" s="35">
        <v>92.700999999999993</v>
      </c>
      <c r="FF10" s="35">
        <v>93.771000000000001</v>
      </c>
      <c r="FG10" s="35">
        <v>94.444999999999993</v>
      </c>
      <c r="FH10" s="35">
        <v>94.984999999999999</v>
      </c>
      <c r="FI10" s="35">
        <v>95.872</v>
      </c>
      <c r="FJ10" s="35">
        <v>96.936000000000007</v>
      </c>
      <c r="FK10" s="35">
        <v>98.144999999999996</v>
      </c>
      <c r="FL10" s="35">
        <v>98.516999999999996</v>
      </c>
      <c r="FM10" s="35">
        <v>98.168000000000006</v>
      </c>
      <c r="FN10" s="35">
        <v>99.47</v>
      </c>
      <c r="FO10" s="35">
        <v>99.296000000000006</v>
      </c>
      <c r="FP10" s="35">
        <v>99.897000000000006</v>
      </c>
      <c r="FQ10" s="35">
        <v>101.337</v>
      </c>
      <c r="FR10" s="35">
        <v>102.663</v>
      </c>
      <c r="FS10" s="35">
        <v>103.21</v>
      </c>
      <c r="FT10" s="35">
        <v>104.08199999999999</v>
      </c>
      <c r="FU10" s="35">
        <v>104.636</v>
      </c>
      <c r="FV10" s="35">
        <v>105.515</v>
      </c>
      <c r="FW10" s="35">
        <v>105.848</v>
      </c>
      <c r="FX10" s="35">
        <v>106.45399999999999</v>
      </c>
      <c r="FY10" s="35">
        <v>106.371</v>
      </c>
      <c r="FZ10" s="35">
        <v>105.31</v>
      </c>
      <c r="GA10" s="35">
        <v>106.047</v>
      </c>
      <c r="GB10" s="35">
        <v>106.111</v>
      </c>
      <c r="GC10" s="35">
        <v>105.693</v>
      </c>
      <c r="GD10" s="35">
        <v>104.792</v>
      </c>
      <c r="GE10" s="35">
        <v>105.589</v>
      </c>
      <c r="GF10" s="35">
        <v>105.995</v>
      </c>
      <c r="GG10" s="35">
        <v>106.51600000000001</v>
      </c>
      <c r="GH10" s="35">
        <v>107.553</v>
      </c>
      <c r="GI10" s="35">
        <v>107.795</v>
      </c>
      <c r="GJ10" s="35">
        <v>108.76900000000001</v>
      </c>
      <c r="GK10" s="35">
        <v>110.288</v>
      </c>
      <c r="GL10" s="35">
        <v>111.703</v>
      </c>
      <c r="GM10" s="35">
        <v>112.842</v>
      </c>
      <c r="GN10" s="35">
        <v>113.922</v>
      </c>
      <c r="GO10" s="35">
        <v>114.376</v>
      </c>
      <c r="GP10" s="35">
        <v>113.89400000000001</v>
      </c>
      <c r="GQ10" s="35">
        <v>114.622</v>
      </c>
      <c r="GR10" s="35">
        <v>114.86799999999999</v>
      </c>
      <c r="GS10" s="35">
        <v>115.35299999999999</v>
      </c>
      <c r="GT10" s="35">
        <v>116.78700000000001</v>
      </c>
      <c r="GU10" s="35">
        <v>116.756</v>
      </c>
      <c r="GV10" s="35">
        <v>117.753</v>
      </c>
      <c r="GW10" s="35">
        <v>119.242</v>
      </c>
      <c r="GX10" s="35">
        <v>121.91800000000001</v>
      </c>
      <c r="GY10" s="35">
        <v>124.303</v>
      </c>
      <c r="GZ10" s="35">
        <v>126.26600000000001</v>
      </c>
      <c r="HA10" s="35">
        <v>128.84200000000001</v>
      </c>
      <c r="HB10" s="35">
        <v>131.98500000000001</v>
      </c>
      <c r="HC10">
        <v>136.744</v>
      </c>
      <c r="HD10">
        <v>137.30199999999999</v>
      </c>
      <c r="HE10">
        <v>138.524</v>
      </c>
      <c r="HF10">
        <v>138.44300000000001</v>
      </c>
    </row>
    <row r="11" spans="1:214" x14ac:dyDescent="0.35">
      <c r="A11" s="35" t="s">
        <v>2134</v>
      </c>
      <c r="B11" s="35">
        <v>16.824999999999999</v>
      </c>
      <c r="C11" s="35">
        <v>17.248000000000001</v>
      </c>
      <c r="D11" s="35">
        <v>17.582000000000001</v>
      </c>
      <c r="E11" s="35">
        <v>18.027999999999999</v>
      </c>
      <c r="F11" s="35">
        <v>18.332000000000001</v>
      </c>
      <c r="G11" s="35">
        <v>18.625</v>
      </c>
      <c r="H11" s="35">
        <v>18.827999999999999</v>
      </c>
      <c r="I11" s="35">
        <v>19.152999999999999</v>
      </c>
      <c r="J11" s="35">
        <v>19.398</v>
      </c>
      <c r="K11" s="35">
        <v>19.533999999999999</v>
      </c>
      <c r="L11" s="35">
        <v>19.805</v>
      </c>
      <c r="M11" s="35">
        <v>20.175000000000001</v>
      </c>
      <c r="N11" s="35">
        <v>20.564</v>
      </c>
      <c r="O11" s="35">
        <v>20.997</v>
      </c>
      <c r="P11" s="35">
        <v>21.425000000000001</v>
      </c>
      <c r="Q11" s="35">
        <v>22</v>
      </c>
      <c r="R11" s="35">
        <v>23.02</v>
      </c>
      <c r="S11" s="35">
        <v>24.466999999999999</v>
      </c>
      <c r="T11" s="35">
        <v>26.030999999999999</v>
      </c>
      <c r="U11" s="35">
        <v>27.113</v>
      </c>
      <c r="V11" s="35">
        <v>27.689</v>
      </c>
      <c r="W11" s="35">
        <v>27.826000000000001</v>
      </c>
      <c r="X11" s="35">
        <v>27.914000000000001</v>
      </c>
      <c r="Y11" s="35">
        <v>28.084</v>
      </c>
      <c r="Z11" s="35">
        <v>28.222000000000001</v>
      </c>
      <c r="AA11" s="35">
        <v>28.463999999999999</v>
      </c>
      <c r="AB11" s="35">
        <v>28.526</v>
      </c>
      <c r="AC11" s="35">
        <v>28.72</v>
      </c>
      <c r="AD11" s="35">
        <v>29.091999999999999</v>
      </c>
      <c r="AE11" s="35">
        <v>29.379000000000001</v>
      </c>
      <c r="AF11" s="35">
        <v>29.774000000000001</v>
      </c>
      <c r="AG11" s="35">
        <v>30.091999999999999</v>
      </c>
      <c r="AH11" s="35">
        <v>30.465</v>
      </c>
      <c r="AI11" s="35">
        <v>31.064</v>
      </c>
      <c r="AJ11" s="35">
        <v>31.658000000000001</v>
      </c>
      <c r="AK11" s="35">
        <v>32.223999999999997</v>
      </c>
      <c r="AL11" s="35">
        <v>32.889000000000003</v>
      </c>
      <c r="AM11" s="35">
        <v>33.781999999999996</v>
      </c>
      <c r="AN11" s="35">
        <v>34.768000000000001</v>
      </c>
      <c r="AO11" s="35">
        <v>35.753999999999998</v>
      </c>
      <c r="AP11" s="35">
        <v>36.731000000000002</v>
      </c>
      <c r="AQ11" s="35">
        <v>37.784999999999997</v>
      </c>
      <c r="AR11" s="35">
        <v>39.027000000000001</v>
      </c>
      <c r="AS11" s="35">
        <v>40.182000000000002</v>
      </c>
      <c r="AT11" s="35">
        <v>41.32</v>
      </c>
      <c r="AU11" s="35">
        <v>42.308</v>
      </c>
      <c r="AV11" s="35">
        <v>43.174999999999997</v>
      </c>
      <c r="AW11" s="35">
        <v>43.944000000000003</v>
      </c>
      <c r="AX11" s="35">
        <v>44.56</v>
      </c>
      <c r="AY11" s="35">
        <v>45.305</v>
      </c>
      <c r="AZ11" s="35">
        <v>45.84</v>
      </c>
      <c r="BA11" s="35">
        <v>45.956000000000003</v>
      </c>
      <c r="BB11" s="35">
        <v>45.999000000000002</v>
      </c>
      <c r="BC11" s="35">
        <v>45.936999999999998</v>
      </c>
      <c r="BD11" s="35">
        <v>45.963000000000001</v>
      </c>
      <c r="BE11" s="35">
        <v>45.95</v>
      </c>
      <c r="BF11" s="35">
        <v>46</v>
      </c>
      <c r="BG11" s="35">
        <v>46.162999999999997</v>
      </c>
      <c r="BH11" s="35">
        <v>46.311999999999998</v>
      </c>
      <c r="BI11" s="35">
        <v>46.405999999999999</v>
      </c>
      <c r="BJ11" s="35">
        <v>46.664000000000001</v>
      </c>
      <c r="BK11" s="35">
        <v>46.808</v>
      </c>
      <c r="BL11" s="35">
        <v>47</v>
      </c>
      <c r="BM11" s="35">
        <v>47.28</v>
      </c>
      <c r="BN11" s="35">
        <v>47.573999999999998</v>
      </c>
      <c r="BO11" s="35">
        <v>48.063000000000002</v>
      </c>
      <c r="BP11" s="35">
        <v>48.500999999999998</v>
      </c>
      <c r="BQ11" s="35">
        <v>49.026000000000003</v>
      </c>
      <c r="BR11" s="35">
        <v>49.34</v>
      </c>
      <c r="BS11" s="35">
        <v>49.755000000000003</v>
      </c>
      <c r="BT11" s="35">
        <v>50.198</v>
      </c>
      <c r="BU11" s="35">
        <v>50.463999999999999</v>
      </c>
      <c r="BV11" s="35">
        <v>50.87</v>
      </c>
      <c r="BW11" s="35">
        <v>51.151000000000003</v>
      </c>
      <c r="BX11" s="35">
        <v>51.481000000000002</v>
      </c>
      <c r="BY11" s="35">
        <v>51.753</v>
      </c>
      <c r="BZ11" s="35">
        <v>52.003</v>
      </c>
      <c r="CA11" s="35">
        <v>52.424999999999997</v>
      </c>
      <c r="CB11" s="35">
        <v>52.814</v>
      </c>
      <c r="CC11" s="35">
        <v>53.104999999999997</v>
      </c>
      <c r="CD11" s="35">
        <v>53.487000000000002</v>
      </c>
      <c r="CE11" s="35">
        <v>53.959000000000003</v>
      </c>
      <c r="CF11" s="35">
        <v>54.482999999999997</v>
      </c>
      <c r="CG11" s="35">
        <v>54.628</v>
      </c>
      <c r="CH11" s="35">
        <v>54.735999999999997</v>
      </c>
      <c r="CI11" s="35">
        <v>55.018000000000001</v>
      </c>
      <c r="CJ11" s="35">
        <v>55.164000000000001</v>
      </c>
      <c r="CK11" s="35">
        <v>55.026000000000003</v>
      </c>
      <c r="CL11" s="35">
        <v>54.881999999999998</v>
      </c>
      <c r="CM11" s="35">
        <v>55.142000000000003</v>
      </c>
      <c r="CN11" s="35">
        <v>55.253999999999998</v>
      </c>
      <c r="CO11" s="35">
        <v>55.506</v>
      </c>
      <c r="CP11" s="35">
        <v>55.918999999999997</v>
      </c>
      <c r="CQ11" s="35">
        <v>56.244999999999997</v>
      </c>
      <c r="CR11" s="35">
        <v>56.302</v>
      </c>
      <c r="CS11" s="35">
        <v>56.564999999999998</v>
      </c>
      <c r="CT11" s="35">
        <v>56.978000000000002</v>
      </c>
      <c r="CU11" s="35">
        <v>57.225000000000001</v>
      </c>
      <c r="CV11" s="35">
        <v>57.725999999999999</v>
      </c>
      <c r="CW11" s="35">
        <v>58.207000000000001</v>
      </c>
      <c r="CX11" s="35">
        <v>58.787999999999997</v>
      </c>
      <c r="CY11" s="35">
        <v>59.207999999999998</v>
      </c>
      <c r="CZ11" s="35">
        <v>59.534999999999997</v>
      </c>
      <c r="DA11" s="35">
        <v>59.878</v>
      </c>
      <c r="DB11" s="35">
        <v>60.198999999999998</v>
      </c>
      <c r="DC11" s="35">
        <v>60.265999999999998</v>
      </c>
      <c r="DD11" s="35">
        <v>60.564999999999998</v>
      </c>
      <c r="DE11" s="35">
        <v>60.761000000000003</v>
      </c>
      <c r="DF11" s="35">
        <v>61.103999999999999</v>
      </c>
      <c r="DG11" s="35">
        <v>61.521000000000001</v>
      </c>
      <c r="DH11" s="35">
        <v>61.677</v>
      </c>
      <c r="DI11" s="35">
        <v>62.073999999999998</v>
      </c>
      <c r="DJ11" s="35">
        <v>62.094999999999999</v>
      </c>
      <c r="DK11" s="35">
        <v>62.134</v>
      </c>
      <c r="DL11" s="35">
        <v>62.517000000000003</v>
      </c>
      <c r="DM11" s="35">
        <v>62.87</v>
      </c>
      <c r="DN11" s="35">
        <v>63.122</v>
      </c>
      <c r="DO11" s="35">
        <v>63.59</v>
      </c>
      <c r="DP11" s="35">
        <v>63.857999999999997</v>
      </c>
      <c r="DQ11" s="35">
        <v>64.402000000000001</v>
      </c>
      <c r="DR11" s="35">
        <v>64.912000000000006</v>
      </c>
      <c r="DS11" s="35">
        <v>65.650999999999996</v>
      </c>
      <c r="DT11" s="35">
        <v>66.081000000000003</v>
      </c>
      <c r="DU11" s="35">
        <v>66.47</v>
      </c>
      <c r="DV11" s="35">
        <v>66.88</v>
      </c>
      <c r="DW11" s="35">
        <v>67.052000000000007</v>
      </c>
      <c r="DX11" s="35">
        <v>67.262</v>
      </c>
      <c r="DY11" s="35">
        <v>67.623000000000005</v>
      </c>
      <c r="DZ11" s="35">
        <v>67.921000000000006</v>
      </c>
      <c r="EA11" s="35">
        <v>68.290000000000006</v>
      </c>
      <c r="EB11" s="35">
        <v>68.5</v>
      </c>
      <c r="EC11" s="35">
        <v>68.617999999999995</v>
      </c>
      <c r="ED11" s="35">
        <v>69.186999999999998</v>
      </c>
      <c r="EE11" s="35">
        <v>69.259</v>
      </c>
      <c r="EF11" s="35">
        <v>69.346999999999994</v>
      </c>
      <c r="EG11" s="35">
        <v>69.539000000000001</v>
      </c>
      <c r="EH11" s="35">
        <v>69.992000000000004</v>
      </c>
      <c r="EI11" s="35">
        <v>71.278000000000006</v>
      </c>
      <c r="EJ11" s="35">
        <v>73.197000000000003</v>
      </c>
      <c r="EK11" s="35">
        <v>74.954999999999998</v>
      </c>
      <c r="EL11" s="35">
        <v>75.587999999999994</v>
      </c>
      <c r="EM11" s="35">
        <v>77.010000000000005</v>
      </c>
      <c r="EN11" s="35">
        <v>78.724999999999994</v>
      </c>
      <c r="EO11" s="35">
        <v>79.822999999999993</v>
      </c>
      <c r="EP11" s="35">
        <v>80.319000000000003</v>
      </c>
      <c r="EQ11" s="35">
        <v>82.088999999999999</v>
      </c>
      <c r="ER11" s="35">
        <v>83.231999999999999</v>
      </c>
      <c r="ES11" s="35">
        <v>85.185000000000002</v>
      </c>
      <c r="ET11" s="35">
        <v>87.334000000000003</v>
      </c>
      <c r="EU11" s="35">
        <v>88.247</v>
      </c>
      <c r="EV11" s="35">
        <v>89.096999999999994</v>
      </c>
      <c r="EW11" s="35">
        <v>90.144999999999996</v>
      </c>
      <c r="EX11" s="35">
        <v>90.998999999999995</v>
      </c>
      <c r="EY11" s="35">
        <v>91.698999999999998</v>
      </c>
      <c r="EZ11" s="35">
        <v>92.884</v>
      </c>
      <c r="FA11" s="35">
        <v>94.585999999999999</v>
      </c>
      <c r="FB11" s="35">
        <v>95.176000000000002</v>
      </c>
      <c r="FC11" s="35">
        <v>94.34</v>
      </c>
      <c r="FD11" s="35">
        <v>93.49</v>
      </c>
      <c r="FE11" s="35">
        <v>93.418000000000006</v>
      </c>
      <c r="FF11" s="35">
        <v>93.683000000000007</v>
      </c>
      <c r="FG11" s="35">
        <v>94.09</v>
      </c>
      <c r="FH11" s="35">
        <v>94.385999999999996</v>
      </c>
      <c r="FI11" s="35">
        <v>94.81</v>
      </c>
      <c r="FJ11" s="35">
        <v>95.382999999999996</v>
      </c>
      <c r="FK11" s="35">
        <v>96.346999999999994</v>
      </c>
      <c r="FL11" s="35">
        <v>97.436000000000007</v>
      </c>
      <c r="FM11" s="35">
        <v>98.352000000000004</v>
      </c>
      <c r="FN11" s="35">
        <v>99.088999999999999</v>
      </c>
      <c r="FO11" s="35">
        <v>99.879000000000005</v>
      </c>
      <c r="FP11" s="35">
        <v>100.417</v>
      </c>
      <c r="FQ11" s="35">
        <v>100.61499999999999</v>
      </c>
      <c r="FR11" s="35">
        <v>101.023</v>
      </c>
      <c r="FS11" s="35">
        <v>101.538</v>
      </c>
      <c r="FT11" s="35">
        <v>102.08499999999999</v>
      </c>
      <c r="FU11" s="35">
        <v>102.85599999999999</v>
      </c>
      <c r="FV11" s="35">
        <v>103.435</v>
      </c>
      <c r="FW11" s="35">
        <v>103.907</v>
      </c>
      <c r="FX11" s="35">
        <v>104.40900000000001</v>
      </c>
      <c r="FY11" s="35">
        <v>104.593</v>
      </c>
      <c r="FZ11" s="35">
        <v>104.562</v>
      </c>
      <c r="GA11" s="35">
        <v>105.021</v>
      </c>
      <c r="GB11" s="35">
        <v>105.319</v>
      </c>
      <c r="GC11" s="35">
        <v>105.261</v>
      </c>
      <c r="GD11" s="35">
        <v>105.006</v>
      </c>
      <c r="GE11" s="35">
        <v>105.86199999999999</v>
      </c>
      <c r="GF11" s="35">
        <v>105.94199999999999</v>
      </c>
      <c r="GG11" s="35">
        <v>106.45399999999999</v>
      </c>
      <c r="GH11" s="35">
        <v>107.16800000000001</v>
      </c>
      <c r="GI11" s="35">
        <v>107.74</v>
      </c>
      <c r="GJ11" s="35">
        <v>108.705</v>
      </c>
      <c r="GK11" s="35">
        <v>109.33</v>
      </c>
      <c r="GL11" s="35">
        <v>110.357</v>
      </c>
      <c r="GM11" s="35">
        <v>111.901</v>
      </c>
      <c r="GN11" s="35">
        <v>112.724</v>
      </c>
      <c r="GO11" s="35">
        <v>113.887</v>
      </c>
      <c r="GP11" s="35">
        <v>114.33199999999999</v>
      </c>
      <c r="GQ11" s="35">
        <v>115.681</v>
      </c>
      <c r="GR11" s="35">
        <v>116.229</v>
      </c>
      <c r="GS11" s="35">
        <v>116.4</v>
      </c>
      <c r="GT11" s="35">
        <v>116.702</v>
      </c>
      <c r="GU11" s="35">
        <v>116.47799999999999</v>
      </c>
      <c r="GV11" s="35">
        <v>117.664</v>
      </c>
      <c r="GW11" s="35">
        <v>118.202</v>
      </c>
      <c r="GX11" s="35">
        <v>120.054</v>
      </c>
      <c r="GY11" s="35">
        <v>123.077</v>
      </c>
      <c r="GZ11" s="35">
        <v>125.86199999999999</v>
      </c>
      <c r="HA11" s="35">
        <v>129.51499999999999</v>
      </c>
      <c r="HB11" s="35">
        <v>133.441</v>
      </c>
      <c r="HC11">
        <v>137.82300000000001</v>
      </c>
      <c r="HD11">
        <v>140.93</v>
      </c>
      <c r="HE11">
        <v>142.715</v>
      </c>
      <c r="HF11">
        <v>144.28899999999999</v>
      </c>
    </row>
    <row r="12" spans="1:214" x14ac:dyDescent="0.35">
      <c r="A12" s="35" t="s">
        <v>2135</v>
      </c>
      <c r="B12" s="35">
        <v>7</v>
      </c>
      <c r="C12" s="35">
        <v>7.2</v>
      </c>
      <c r="D12" s="35">
        <v>7.3</v>
      </c>
      <c r="E12" s="35">
        <v>7.5</v>
      </c>
      <c r="F12" s="35">
        <v>7.8</v>
      </c>
      <c r="G12" s="35">
        <v>8</v>
      </c>
      <c r="H12" s="35">
        <v>8.1</v>
      </c>
      <c r="I12" s="35">
        <v>8.3000000000000007</v>
      </c>
      <c r="J12" s="35">
        <v>8.5</v>
      </c>
      <c r="K12" s="35">
        <v>8.6999999999999993</v>
      </c>
      <c r="L12" s="35">
        <v>8.9</v>
      </c>
      <c r="M12" s="35">
        <v>9.1999999999999993</v>
      </c>
      <c r="N12" s="35">
        <v>9.5</v>
      </c>
      <c r="O12" s="35">
        <v>10</v>
      </c>
      <c r="P12" s="35">
        <v>10.5</v>
      </c>
      <c r="Q12" s="35">
        <v>11</v>
      </c>
      <c r="R12" s="35">
        <v>11.7</v>
      </c>
      <c r="S12" s="35">
        <v>12.4</v>
      </c>
      <c r="T12" s="35">
        <v>13.1</v>
      </c>
      <c r="U12" s="35">
        <v>13.8</v>
      </c>
      <c r="V12" s="35">
        <v>14.5</v>
      </c>
      <c r="W12" s="35">
        <v>15.2</v>
      </c>
      <c r="X12" s="35">
        <v>16</v>
      </c>
      <c r="Y12" s="35">
        <v>16.8</v>
      </c>
      <c r="Z12" s="35">
        <v>17.600000000000001</v>
      </c>
      <c r="AA12" s="35">
        <v>18.399999999999999</v>
      </c>
      <c r="AB12" s="35">
        <v>19.2</v>
      </c>
      <c r="AC12" s="35">
        <v>20</v>
      </c>
      <c r="AD12" s="35">
        <v>20.9</v>
      </c>
      <c r="AE12" s="35">
        <v>21.7</v>
      </c>
      <c r="AF12" s="35">
        <v>22.5</v>
      </c>
      <c r="AG12" s="35">
        <v>23.3</v>
      </c>
      <c r="AH12" s="35">
        <v>24.2</v>
      </c>
      <c r="AI12" s="35">
        <v>25</v>
      </c>
      <c r="AJ12" s="35">
        <v>26</v>
      </c>
      <c r="AK12" s="35">
        <v>27</v>
      </c>
      <c r="AL12" s="35">
        <v>28</v>
      </c>
      <c r="AM12" s="35">
        <v>29.2</v>
      </c>
      <c r="AN12" s="35">
        <v>30.5</v>
      </c>
      <c r="AO12" s="35">
        <v>32</v>
      </c>
      <c r="AP12" s="35">
        <v>33.6</v>
      </c>
      <c r="AQ12" s="35">
        <v>35.299999999999997</v>
      </c>
      <c r="AR12" s="35">
        <v>37</v>
      </c>
      <c r="AS12" s="35">
        <v>38.799999999999997</v>
      </c>
      <c r="AT12" s="35">
        <v>40.700000000000003</v>
      </c>
      <c r="AU12" s="35">
        <v>42.6</v>
      </c>
      <c r="AV12" s="35">
        <v>44.4</v>
      </c>
      <c r="AW12" s="35">
        <v>46.3</v>
      </c>
      <c r="AX12" s="35">
        <v>48.2</v>
      </c>
      <c r="AY12" s="35">
        <v>50.1</v>
      </c>
      <c r="AZ12" s="35">
        <v>51.8</v>
      </c>
      <c r="BA12" s="35">
        <v>53.6</v>
      </c>
      <c r="BB12" s="35">
        <v>55.2</v>
      </c>
      <c r="BC12" s="35">
        <v>56.9</v>
      </c>
      <c r="BD12" s="35">
        <v>58.7</v>
      </c>
      <c r="BE12" s="35">
        <v>60.4</v>
      </c>
      <c r="BF12" s="35">
        <v>62.5</v>
      </c>
      <c r="BG12" s="35">
        <v>64.099999999999994</v>
      </c>
      <c r="BH12" s="35">
        <v>65.599999999999994</v>
      </c>
      <c r="BI12" s="35">
        <v>66.900000000000006</v>
      </c>
      <c r="BJ12" s="35">
        <v>67.900000000000006</v>
      </c>
      <c r="BK12" s="35">
        <v>69.099999999999994</v>
      </c>
      <c r="BL12" s="35">
        <v>70.3</v>
      </c>
      <c r="BM12" s="35">
        <v>71.599999999999994</v>
      </c>
      <c r="BN12" s="35">
        <v>73</v>
      </c>
      <c r="BO12" s="35">
        <v>74.5</v>
      </c>
      <c r="BP12" s="35">
        <v>76</v>
      </c>
      <c r="BQ12" s="35">
        <v>77.599999999999994</v>
      </c>
      <c r="BR12" s="35">
        <v>79.599999999999994</v>
      </c>
      <c r="BS12" s="35">
        <v>81.099999999999994</v>
      </c>
      <c r="BT12" s="35">
        <v>82.3</v>
      </c>
      <c r="BU12" s="35">
        <v>83.3</v>
      </c>
      <c r="BV12" s="35">
        <v>83.4</v>
      </c>
      <c r="BW12" s="35">
        <v>85</v>
      </c>
      <c r="BX12" s="35">
        <v>87</v>
      </c>
      <c r="BY12" s="35">
        <v>89.7</v>
      </c>
      <c r="BZ12" s="35">
        <v>93.8</v>
      </c>
      <c r="CA12" s="35">
        <v>96.9</v>
      </c>
      <c r="CB12" s="35">
        <v>99.7</v>
      </c>
      <c r="CC12" s="35">
        <v>102.3</v>
      </c>
      <c r="CD12" s="35">
        <v>104.3</v>
      </c>
      <c r="CE12" s="35">
        <v>106.5</v>
      </c>
      <c r="CF12" s="35">
        <v>108.7</v>
      </c>
      <c r="CG12" s="35">
        <v>111</v>
      </c>
      <c r="CH12" s="35">
        <v>112.9</v>
      </c>
      <c r="CI12" s="35">
        <v>115.7</v>
      </c>
      <c r="CJ12" s="35">
        <v>118.9</v>
      </c>
      <c r="CK12" s="35">
        <v>122.5</v>
      </c>
      <c r="CL12" s="35">
        <v>127.2</v>
      </c>
      <c r="CM12" s="35">
        <v>131</v>
      </c>
      <c r="CN12" s="35">
        <v>134.5</v>
      </c>
      <c r="CO12" s="35">
        <v>137.69999999999999</v>
      </c>
      <c r="CP12" s="35">
        <v>143.4</v>
      </c>
      <c r="CQ12" s="35">
        <v>144.69999999999999</v>
      </c>
      <c r="CR12" s="35">
        <v>147.5</v>
      </c>
      <c r="CS12" s="35">
        <v>151.6</v>
      </c>
      <c r="CT12" s="35">
        <v>156.9</v>
      </c>
      <c r="CU12" s="35">
        <v>162.19999999999999</v>
      </c>
      <c r="CV12" s="35">
        <v>167.1</v>
      </c>
      <c r="CW12" s="35">
        <v>171.6</v>
      </c>
      <c r="CX12" s="35">
        <v>175.7</v>
      </c>
      <c r="CY12" s="35">
        <v>179.6</v>
      </c>
      <c r="CZ12" s="35">
        <v>183.2</v>
      </c>
      <c r="DA12" s="35">
        <v>186.5</v>
      </c>
      <c r="DB12" s="35">
        <v>189.6</v>
      </c>
      <c r="DC12" s="35">
        <v>192.9</v>
      </c>
      <c r="DD12" s="35">
        <v>196.5</v>
      </c>
      <c r="DE12" s="35">
        <v>200.4</v>
      </c>
      <c r="DF12" s="35">
        <v>204.4</v>
      </c>
      <c r="DG12" s="35">
        <v>207.1</v>
      </c>
      <c r="DH12" s="35">
        <v>208.3</v>
      </c>
      <c r="DI12" s="35">
        <v>207.9</v>
      </c>
      <c r="DJ12" s="35">
        <v>206.4</v>
      </c>
      <c r="DK12" s="35">
        <v>205.3</v>
      </c>
      <c r="DL12" s="35">
        <v>205</v>
      </c>
      <c r="DM12" s="35">
        <v>205.5</v>
      </c>
      <c r="DN12" s="35">
        <v>206.6</v>
      </c>
      <c r="DO12" s="35">
        <v>207.9</v>
      </c>
      <c r="DP12" s="35">
        <v>209.4</v>
      </c>
      <c r="DQ12" s="35">
        <v>211</v>
      </c>
      <c r="DR12" s="35">
        <v>213</v>
      </c>
      <c r="DS12" s="35">
        <v>216.1</v>
      </c>
      <c r="DT12" s="35">
        <v>220.7</v>
      </c>
      <c r="DU12" s="35">
        <v>226.7</v>
      </c>
      <c r="DV12" s="35">
        <v>233.8</v>
      </c>
      <c r="DW12" s="35">
        <v>240.4</v>
      </c>
      <c r="DX12" s="35">
        <v>245.8</v>
      </c>
      <c r="DY12" s="35">
        <v>250.3</v>
      </c>
      <c r="DZ12" s="35">
        <v>254.1</v>
      </c>
      <c r="EA12" s="35">
        <v>257.89999999999998</v>
      </c>
      <c r="EB12" s="35">
        <v>261.60000000000002</v>
      </c>
      <c r="EC12" s="35">
        <v>265.2</v>
      </c>
      <c r="ED12" s="35">
        <v>268.89999999999998</v>
      </c>
      <c r="EE12" s="35">
        <v>273.39999999999998</v>
      </c>
      <c r="EF12" s="35">
        <v>279</v>
      </c>
      <c r="EG12" s="35">
        <v>285.5</v>
      </c>
      <c r="EH12" s="35">
        <v>293</v>
      </c>
      <c r="EI12" s="35">
        <v>300.39999999999998</v>
      </c>
      <c r="EJ12" s="35">
        <v>308.60000000000002</v>
      </c>
      <c r="EK12" s="35">
        <v>315.39999999999998</v>
      </c>
      <c r="EL12" s="35">
        <v>323.2</v>
      </c>
      <c r="EM12" s="35">
        <v>329.2</v>
      </c>
      <c r="EN12" s="35">
        <v>335.1</v>
      </c>
      <c r="EO12" s="35">
        <v>341</v>
      </c>
      <c r="EP12" s="35">
        <v>389.6</v>
      </c>
      <c r="EQ12" s="35">
        <v>395.6</v>
      </c>
      <c r="ER12" s="35">
        <v>402.1</v>
      </c>
      <c r="ES12" s="35">
        <v>409.1</v>
      </c>
      <c r="ET12" s="35">
        <v>416.4</v>
      </c>
      <c r="EU12" s="35">
        <v>424.1</v>
      </c>
      <c r="EV12" s="35">
        <v>432</v>
      </c>
      <c r="EW12" s="35">
        <v>440.3</v>
      </c>
      <c r="EX12" s="35">
        <v>448.8</v>
      </c>
      <c r="EY12" s="35">
        <v>457.3</v>
      </c>
      <c r="EZ12" s="35">
        <v>465.9</v>
      </c>
      <c r="FA12" s="35">
        <v>474.5</v>
      </c>
      <c r="FB12" s="35">
        <v>482.9</v>
      </c>
      <c r="FC12" s="35">
        <v>490.4</v>
      </c>
      <c r="FD12" s="35">
        <v>496.7</v>
      </c>
      <c r="FE12" s="35">
        <v>501.8</v>
      </c>
      <c r="FF12" s="35">
        <v>506</v>
      </c>
      <c r="FG12" s="35">
        <v>510.5</v>
      </c>
      <c r="FH12" s="35">
        <v>515.70000000000005</v>
      </c>
      <c r="FI12" s="35">
        <v>521.4</v>
      </c>
      <c r="FJ12" s="35">
        <v>527.6</v>
      </c>
      <c r="FK12" s="35">
        <v>533.4</v>
      </c>
      <c r="FL12" s="35">
        <v>538.5</v>
      </c>
      <c r="FM12" s="35">
        <v>542.9</v>
      </c>
      <c r="FN12" s="35">
        <v>547</v>
      </c>
      <c r="FO12" s="35">
        <v>551.6</v>
      </c>
      <c r="FP12" s="35">
        <v>557.1</v>
      </c>
      <c r="FQ12" s="35">
        <v>563.4</v>
      </c>
      <c r="FR12" s="35">
        <v>570.29999999999995</v>
      </c>
      <c r="FS12" s="35">
        <v>567.1</v>
      </c>
      <c r="FT12" s="35">
        <v>573.70000000000005</v>
      </c>
      <c r="FU12" s="35">
        <v>580.20000000000005</v>
      </c>
      <c r="FV12" s="35">
        <v>587.5</v>
      </c>
      <c r="FW12" s="35">
        <v>595.6</v>
      </c>
      <c r="FX12" s="35">
        <v>604</v>
      </c>
      <c r="FY12" s="35">
        <v>612.79999999999995</v>
      </c>
      <c r="FZ12" s="35">
        <v>622.4</v>
      </c>
      <c r="GA12" s="35">
        <v>631.5</v>
      </c>
      <c r="GB12" s="35">
        <v>639.5</v>
      </c>
      <c r="GC12" s="35">
        <v>646.4</v>
      </c>
      <c r="GD12" s="35">
        <v>652.4</v>
      </c>
      <c r="GE12" s="35">
        <v>658.6</v>
      </c>
      <c r="GF12" s="35">
        <v>665.2</v>
      </c>
      <c r="GG12" s="35">
        <v>672.2</v>
      </c>
      <c r="GH12" s="35">
        <v>678.5</v>
      </c>
      <c r="GI12" s="35">
        <v>687.4</v>
      </c>
      <c r="GJ12" s="35">
        <v>696.3</v>
      </c>
      <c r="GK12" s="35">
        <v>705.1</v>
      </c>
      <c r="GL12" s="35">
        <v>714.3</v>
      </c>
      <c r="GM12" s="35">
        <v>725.6</v>
      </c>
      <c r="GN12" s="35">
        <v>739.2</v>
      </c>
      <c r="GO12" s="35">
        <v>755.3</v>
      </c>
      <c r="GP12" s="35">
        <v>772.6</v>
      </c>
      <c r="GQ12" s="35">
        <v>785.8</v>
      </c>
      <c r="GR12" s="35">
        <v>793.7</v>
      </c>
      <c r="GS12" s="35">
        <v>796.3</v>
      </c>
      <c r="GT12" s="35">
        <v>795.3</v>
      </c>
      <c r="GU12" s="35">
        <v>808</v>
      </c>
      <c r="GV12" s="35">
        <v>822.1</v>
      </c>
      <c r="GW12" s="35">
        <v>837.5</v>
      </c>
      <c r="GX12" s="35">
        <v>857.6</v>
      </c>
      <c r="GY12" s="35">
        <v>875.4</v>
      </c>
      <c r="GZ12" s="35">
        <v>889.5</v>
      </c>
      <c r="HA12" s="35">
        <v>900</v>
      </c>
      <c r="HB12" s="35">
        <v>908</v>
      </c>
      <c r="HC12">
        <v>911.8</v>
      </c>
      <c r="HD12">
        <v>920.3</v>
      </c>
      <c r="HE12">
        <v>941.6</v>
      </c>
      <c r="HF12">
        <v>966.5</v>
      </c>
    </row>
    <row r="13" spans="1:214" x14ac:dyDescent="0.35">
      <c r="A13" s="35" t="s">
        <v>2136</v>
      </c>
      <c r="B13" s="35">
        <v>5</v>
      </c>
      <c r="C13" s="35">
        <v>5.3</v>
      </c>
      <c r="D13" s="35">
        <v>5.6</v>
      </c>
      <c r="E13" s="35">
        <v>5.9</v>
      </c>
      <c r="F13" s="35">
        <v>6.2</v>
      </c>
      <c r="G13" s="35">
        <v>6.6</v>
      </c>
      <c r="H13" s="35">
        <v>6.9</v>
      </c>
      <c r="I13" s="35">
        <v>7.3</v>
      </c>
      <c r="J13" s="35">
        <v>7.8</v>
      </c>
      <c r="K13" s="35">
        <v>8</v>
      </c>
      <c r="L13" s="35">
        <v>8.6</v>
      </c>
      <c r="M13" s="35">
        <v>8.5</v>
      </c>
      <c r="N13" s="35">
        <v>9</v>
      </c>
      <c r="O13" s="35">
        <v>9.6</v>
      </c>
      <c r="P13" s="35">
        <v>9.6999999999999993</v>
      </c>
      <c r="Q13" s="35">
        <v>10.1</v>
      </c>
      <c r="R13" s="35">
        <v>10.199999999999999</v>
      </c>
      <c r="S13" s="35">
        <v>11.1</v>
      </c>
      <c r="T13" s="35">
        <v>11.4</v>
      </c>
      <c r="U13" s="35">
        <v>12</v>
      </c>
      <c r="V13" s="35">
        <v>13.3</v>
      </c>
      <c r="W13" s="35">
        <v>13.8</v>
      </c>
      <c r="X13" s="35">
        <v>13.8</v>
      </c>
      <c r="Y13" s="35">
        <v>14.6</v>
      </c>
      <c r="Z13" s="35">
        <v>15.2</v>
      </c>
      <c r="AA13" s="35">
        <v>14.9</v>
      </c>
      <c r="AB13" s="35">
        <v>15.9</v>
      </c>
      <c r="AC13" s="35">
        <v>15.9</v>
      </c>
      <c r="AD13" s="35">
        <v>16.2</v>
      </c>
      <c r="AE13" s="35">
        <v>17.5</v>
      </c>
      <c r="AF13" s="35">
        <v>16.7</v>
      </c>
      <c r="AG13" s="35">
        <v>16.5</v>
      </c>
      <c r="AH13" s="35">
        <v>17.5</v>
      </c>
      <c r="AI13" s="35">
        <v>18.600000000000001</v>
      </c>
      <c r="AJ13" s="35">
        <v>18.899999999999999</v>
      </c>
      <c r="AK13" s="35">
        <v>19.5</v>
      </c>
      <c r="AL13" s="35">
        <v>20</v>
      </c>
      <c r="AM13" s="35">
        <v>20.8</v>
      </c>
      <c r="AN13" s="35">
        <v>21.1</v>
      </c>
      <c r="AO13" s="35">
        <v>22.4</v>
      </c>
      <c r="AP13" s="35">
        <v>23.4</v>
      </c>
      <c r="AQ13" s="35">
        <v>22.2</v>
      </c>
      <c r="AR13" s="35">
        <v>24.2</v>
      </c>
      <c r="AS13" s="35">
        <v>25.6</v>
      </c>
      <c r="AT13" s="35">
        <v>26.5</v>
      </c>
      <c r="AU13" s="35">
        <v>28.1</v>
      </c>
      <c r="AV13" s="35">
        <v>28.3</v>
      </c>
      <c r="AW13" s="35">
        <v>28</v>
      </c>
      <c r="AX13" s="35">
        <v>28.8</v>
      </c>
      <c r="AY13" s="35">
        <v>30.2</v>
      </c>
      <c r="AZ13" s="35">
        <v>30.8</v>
      </c>
      <c r="BA13" s="35">
        <v>30.8</v>
      </c>
      <c r="BB13" s="35">
        <v>33.200000000000003</v>
      </c>
      <c r="BC13" s="35">
        <v>33.4</v>
      </c>
      <c r="BD13" s="35">
        <v>34</v>
      </c>
      <c r="BE13" s="35">
        <v>34.9</v>
      </c>
      <c r="BF13" s="35">
        <v>35.700000000000003</v>
      </c>
      <c r="BG13" s="35">
        <v>36.200000000000003</v>
      </c>
      <c r="BH13" s="35">
        <v>36.799999999999997</v>
      </c>
      <c r="BI13" s="35">
        <v>37.6</v>
      </c>
      <c r="BJ13" s="35">
        <v>38.4</v>
      </c>
      <c r="BK13" s="35">
        <v>39.200000000000003</v>
      </c>
      <c r="BL13" s="35">
        <v>40.1</v>
      </c>
      <c r="BM13" s="35">
        <v>41.1</v>
      </c>
      <c r="BN13" s="35">
        <v>42.1</v>
      </c>
      <c r="BO13" s="35">
        <v>43.1</v>
      </c>
      <c r="BP13" s="35">
        <v>44.1</v>
      </c>
      <c r="BQ13" s="35">
        <v>45.2</v>
      </c>
      <c r="BR13" s="35">
        <v>46.2</v>
      </c>
      <c r="BS13" s="35">
        <v>47.3</v>
      </c>
      <c r="BT13" s="35">
        <v>48.4</v>
      </c>
      <c r="BU13" s="35">
        <v>49.4</v>
      </c>
      <c r="BV13" s="35">
        <v>50.9</v>
      </c>
      <c r="BW13" s="35">
        <v>52.2</v>
      </c>
      <c r="BX13" s="35">
        <v>53.7</v>
      </c>
      <c r="BY13" s="35">
        <v>55.4</v>
      </c>
      <c r="BZ13" s="35">
        <v>57.4</v>
      </c>
      <c r="CA13" s="35">
        <v>59.6</v>
      </c>
      <c r="CB13" s="35">
        <v>61.9</v>
      </c>
      <c r="CC13" s="35">
        <v>64.400000000000006</v>
      </c>
      <c r="CD13" s="35">
        <v>66.599999999999994</v>
      </c>
      <c r="CE13" s="35">
        <v>70.3</v>
      </c>
      <c r="CF13" s="35">
        <v>74.900000000000006</v>
      </c>
      <c r="CG13" s="35">
        <v>80.7</v>
      </c>
      <c r="CH13" s="35">
        <v>83.7</v>
      </c>
      <c r="CI13" s="35">
        <v>93.1</v>
      </c>
      <c r="CJ13" s="35">
        <v>98.4</v>
      </c>
      <c r="CK13" s="35">
        <v>112.5</v>
      </c>
      <c r="CL13" s="35">
        <v>108.3</v>
      </c>
      <c r="CM13" s="35">
        <v>115.4</v>
      </c>
      <c r="CN13" s="35">
        <v>120.6</v>
      </c>
      <c r="CO13" s="35">
        <v>120.8</v>
      </c>
      <c r="CP13" s="35">
        <v>124.4</v>
      </c>
      <c r="CQ13" s="35">
        <v>124.8</v>
      </c>
      <c r="CR13" s="35">
        <v>135.19999999999999</v>
      </c>
      <c r="CS13" s="35">
        <v>136</v>
      </c>
      <c r="CT13" s="35">
        <v>136.6</v>
      </c>
      <c r="CU13" s="35">
        <v>137.1</v>
      </c>
      <c r="CV13" s="35">
        <v>136.19999999999999</v>
      </c>
      <c r="CW13" s="35">
        <v>147.80000000000001</v>
      </c>
      <c r="CX13" s="35">
        <v>152.5</v>
      </c>
      <c r="CY13" s="35">
        <v>152.5</v>
      </c>
      <c r="CZ13" s="35">
        <v>152.69999999999999</v>
      </c>
      <c r="DA13" s="35">
        <v>140.69999999999999</v>
      </c>
      <c r="DB13" s="35">
        <v>151.30000000000001</v>
      </c>
      <c r="DC13" s="35">
        <v>165.8</v>
      </c>
      <c r="DD13" s="35">
        <v>158.80000000000001</v>
      </c>
      <c r="DE13" s="35">
        <v>156.9</v>
      </c>
      <c r="DF13" s="35">
        <v>161.4</v>
      </c>
      <c r="DG13" s="35">
        <v>159.4</v>
      </c>
      <c r="DH13" s="35">
        <v>163.69999999999999</v>
      </c>
      <c r="DI13" s="35">
        <v>168</v>
      </c>
      <c r="DJ13" s="35">
        <v>167.2</v>
      </c>
      <c r="DK13" s="35">
        <v>170</v>
      </c>
      <c r="DL13" s="35">
        <v>168.1</v>
      </c>
      <c r="DM13" s="35">
        <v>175.4</v>
      </c>
      <c r="DN13" s="35">
        <v>181.1</v>
      </c>
      <c r="DO13" s="35">
        <v>179.1</v>
      </c>
      <c r="DP13" s="35">
        <v>186.7</v>
      </c>
      <c r="DQ13" s="35">
        <v>191.3</v>
      </c>
      <c r="DR13" s="35">
        <v>190.2</v>
      </c>
      <c r="DS13" s="35">
        <v>198.3</v>
      </c>
      <c r="DT13" s="35">
        <v>204.8</v>
      </c>
      <c r="DU13" s="35">
        <v>204.8</v>
      </c>
      <c r="DV13" s="35">
        <v>215</v>
      </c>
      <c r="DW13" s="35">
        <v>230.1</v>
      </c>
      <c r="DX13" s="35">
        <v>217.4</v>
      </c>
      <c r="DY13" s="35">
        <v>246.5</v>
      </c>
      <c r="DZ13" s="35">
        <v>244.9</v>
      </c>
      <c r="EA13" s="35">
        <v>243.8</v>
      </c>
      <c r="EB13" s="35">
        <v>251.1</v>
      </c>
      <c r="EC13" s="35">
        <v>260.3</v>
      </c>
      <c r="ED13" s="35">
        <v>260.7</v>
      </c>
      <c r="EE13" s="35">
        <v>260.10000000000002</v>
      </c>
      <c r="EF13" s="35">
        <v>271.7</v>
      </c>
      <c r="EG13" s="35">
        <v>265.7</v>
      </c>
      <c r="EH13" s="35">
        <v>283.39999999999998</v>
      </c>
      <c r="EI13" s="35">
        <v>293</v>
      </c>
      <c r="EJ13" s="35">
        <v>288.3</v>
      </c>
      <c r="EK13" s="35">
        <v>294.5</v>
      </c>
      <c r="EL13" s="35">
        <v>301.3</v>
      </c>
      <c r="EM13" s="35">
        <v>310.8</v>
      </c>
      <c r="EN13" s="35">
        <v>300.10000000000002</v>
      </c>
      <c r="EO13" s="35">
        <v>305.39999999999998</v>
      </c>
      <c r="EP13" s="35">
        <v>291.3</v>
      </c>
      <c r="EQ13" s="35">
        <v>294.89999999999998</v>
      </c>
      <c r="ER13" s="35">
        <v>308.7</v>
      </c>
      <c r="ES13" s="35">
        <v>301.39999999999998</v>
      </c>
      <c r="ET13" s="35">
        <v>332.5</v>
      </c>
      <c r="EU13" s="35">
        <v>314.7</v>
      </c>
      <c r="EV13" s="35">
        <v>319.60000000000002</v>
      </c>
      <c r="EW13" s="35">
        <v>329.9</v>
      </c>
      <c r="EX13" s="35">
        <v>331.6</v>
      </c>
      <c r="EY13" s="35">
        <v>339.2</v>
      </c>
      <c r="EZ13" s="35">
        <v>340.8</v>
      </c>
      <c r="FA13" s="35">
        <v>341.8</v>
      </c>
      <c r="FB13" s="35">
        <v>358.4</v>
      </c>
      <c r="FC13" s="35">
        <v>368.9</v>
      </c>
      <c r="FD13" s="35">
        <v>378.2</v>
      </c>
      <c r="FE13" s="35">
        <v>372.8</v>
      </c>
      <c r="FF13" s="35">
        <v>382.1</v>
      </c>
      <c r="FG13" s="35">
        <v>385.7</v>
      </c>
      <c r="FH13" s="35">
        <v>405.6</v>
      </c>
      <c r="FI13" s="35">
        <v>414.1</v>
      </c>
      <c r="FJ13" s="35">
        <v>418.8</v>
      </c>
      <c r="FK13" s="35">
        <v>409.7</v>
      </c>
      <c r="FL13" s="35">
        <v>396.4</v>
      </c>
      <c r="FM13" s="35">
        <v>399.3</v>
      </c>
      <c r="FN13" s="35">
        <v>400.6</v>
      </c>
      <c r="FO13" s="35">
        <v>421.7</v>
      </c>
      <c r="FP13" s="35">
        <v>419</v>
      </c>
      <c r="FQ13" s="35">
        <v>428.9</v>
      </c>
      <c r="FR13" s="35">
        <v>424.8</v>
      </c>
      <c r="FS13" s="35">
        <v>438.4</v>
      </c>
      <c r="FT13" s="35">
        <v>448.2</v>
      </c>
      <c r="FU13" s="35">
        <v>448.6</v>
      </c>
      <c r="FV13" s="35">
        <v>459.5</v>
      </c>
      <c r="FW13" s="35">
        <v>481.5</v>
      </c>
      <c r="FX13" s="35">
        <v>507.2</v>
      </c>
      <c r="FY13" s="35">
        <v>515.29999999999995</v>
      </c>
      <c r="FZ13" s="35">
        <v>523.6</v>
      </c>
      <c r="GA13" s="35">
        <v>537.9</v>
      </c>
      <c r="GB13" s="35">
        <v>540.4</v>
      </c>
      <c r="GC13" s="35">
        <v>541.79999999999995</v>
      </c>
      <c r="GD13" s="35">
        <v>550.5</v>
      </c>
      <c r="GE13" s="35">
        <v>558.79999999999995</v>
      </c>
      <c r="GF13" s="35">
        <v>566.5</v>
      </c>
      <c r="GG13" s="35">
        <v>575.29999999999995</v>
      </c>
      <c r="GH13" s="35">
        <v>572.4</v>
      </c>
      <c r="GI13" s="35">
        <v>567.9</v>
      </c>
      <c r="GJ13" s="35">
        <v>578.79999999999995</v>
      </c>
      <c r="GK13" s="35">
        <v>575.79999999999995</v>
      </c>
      <c r="GL13" s="35">
        <v>581.9</v>
      </c>
      <c r="GM13" s="35">
        <v>592.6</v>
      </c>
      <c r="GN13" s="35">
        <v>595</v>
      </c>
      <c r="GO13" s="35">
        <v>589.5</v>
      </c>
      <c r="GP13" s="35">
        <v>598.70000000000005</v>
      </c>
      <c r="GQ13" s="35">
        <v>614.4</v>
      </c>
      <c r="GR13" s="35">
        <v>622.4</v>
      </c>
      <c r="GS13" s="35">
        <v>620.70000000000005</v>
      </c>
      <c r="GT13" s="35">
        <v>606.6</v>
      </c>
      <c r="GU13" s="35">
        <v>654.70000000000005</v>
      </c>
      <c r="GV13" s="35">
        <v>690.7</v>
      </c>
      <c r="GW13" s="35">
        <v>678.3</v>
      </c>
      <c r="GX13" s="35">
        <v>704.4</v>
      </c>
      <c r="GY13" s="35">
        <v>744.8</v>
      </c>
      <c r="GZ13" s="35">
        <v>748.2</v>
      </c>
      <c r="HA13" s="35">
        <v>745</v>
      </c>
      <c r="HB13" s="35">
        <v>763.1</v>
      </c>
      <c r="HC13">
        <v>789.5</v>
      </c>
      <c r="HD13">
        <v>786.1</v>
      </c>
      <c r="HE13">
        <v>796.2</v>
      </c>
      <c r="HF13">
        <v>813.1</v>
      </c>
    </row>
    <row r="14" spans="1:214" x14ac:dyDescent="0.35">
      <c r="A14" s="35" t="s">
        <v>2137</v>
      </c>
      <c r="B14" s="35">
        <v>2.9</v>
      </c>
      <c r="C14" s="35">
        <v>3.9</v>
      </c>
      <c r="D14" s="35">
        <v>4.5999999999999996</v>
      </c>
      <c r="E14" s="35">
        <v>5.4</v>
      </c>
      <c r="F14" s="35">
        <v>5.7</v>
      </c>
      <c r="G14" s="35">
        <v>6.3</v>
      </c>
      <c r="H14" s="35">
        <v>6.3</v>
      </c>
      <c r="I14" s="35">
        <v>6.3</v>
      </c>
      <c r="J14" s="35">
        <v>6.5</v>
      </c>
      <c r="K14" s="35">
        <v>6.9</v>
      </c>
      <c r="L14" s="35">
        <v>5.8</v>
      </c>
      <c r="M14" s="35">
        <v>5</v>
      </c>
      <c r="N14" s="35">
        <v>4.5999999999999996</v>
      </c>
      <c r="O14" s="35">
        <v>4.5</v>
      </c>
      <c r="P14" s="35">
        <v>4.5</v>
      </c>
      <c r="Q14" s="35">
        <v>4.7</v>
      </c>
      <c r="R14" s="35">
        <v>5.8</v>
      </c>
      <c r="S14" s="35">
        <v>6.7</v>
      </c>
      <c r="T14" s="35">
        <v>6.9</v>
      </c>
      <c r="U14" s="35">
        <v>8.6</v>
      </c>
      <c r="V14" s="35">
        <v>14.2</v>
      </c>
      <c r="W14" s="35">
        <v>19.399999999999999</v>
      </c>
      <c r="X14" s="35">
        <v>20.2</v>
      </c>
      <c r="Y14" s="35">
        <v>18.8</v>
      </c>
      <c r="Z14" s="35">
        <v>17.7</v>
      </c>
      <c r="AA14" s="35">
        <v>16.3</v>
      </c>
      <c r="AB14" s="35">
        <v>16.100000000000001</v>
      </c>
      <c r="AC14" s="35">
        <v>15.5</v>
      </c>
      <c r="AD14" s="35">
        <v>15.5</v>
      </c>
      <c r="AE14" s="35">
        <v>13.3</v>
      </c>
      <c r="AF14" s="35">
        <v>11.9</v>
      </c>
      <c r="AG14" s="35">
        <v>11.8</v>
      </c>
      <c r="AH14" s="35">
        <v>10.8</v>
      </c>
      <c r="AI14" s="35">
        <v>9.4</v>
      </c>
      <c r="AJ14" s="35">
        <v>9</v>
      </c>
      <c r="AK14" s="35">
        <v>8.5</v>
      </c>
      <c r="AL14" s="35">
        <v>9.4</v>
      </c>
      <c r="AM14" s="35">
        <v>9.1999999999999993</v>
      </c>
      <c r="AN14" s="35">
        <v>9.6</v>
      </c>
      <c r="AO14" s="35">
        <v>10.6</v>
      </c>
      <c r="AP14" s="35">
        <v>12</v>
      </c>
      <c r="AQ14" s="35">
        <v>15.7</v>
      </c>
      <c r="AR14" s="35">
        <v>19</v>
      </c>
      <c r="AS14" s="35">
        <v>17.8</v>
      </c>
      <c r="AT14" s="35">
        <v>16.399999999999999</v>
      </c>
      <c r="AU14" s="35">
        <v>15.5</v>
      </c>
      <c r="AV14" s="35">
        <v>15</v>
      </c>
      <c r="AW14" s="35">
        <v>16.600000000000001</v>
      </c>
      <c r="AX14" s="35">
        <v>19.100000000000001</v>
      </c>
      <c r="AY14" s="35">
        <v>23.9</v>
      </c>
      <c r="AZ14" s="35">
        <v>26.1</v>
      </c>
      <c r="BA14" s="35">
        <v>31.8</v>
      </c>
      <c r="BB14" s="35">
        <v>30.3</v>
      </c>
      <c r="BC14" s="35">
        <v>32.1</v>
      </c>
      <c r="BD14" s="35">
        <v>23.3</v>
      </c>
      <c r="BE14" s="35">
        <v>20</v>
      </c>
      <c r="BF14" s="35">
        <v>17.3</v>
      </c>
      <c r="BG14" s="35">
        <v>15.7</v>
      </c>
      <c r="BH14" s="35">
        <v>15.1</v>
      </c>
      <c r="BI14" s="35">
        <v>15.9</v>
      </c>
      <c r="BJ14" s="35">
        <v>16.899999999999999</v>
      </c>
      <c r="BK14" s="35">
        <v>16</v>
      </c>
      <c r="BL14" s="35">
        <v>15</v>
      </c>
      <c r="BM14" s="35">
        <v>15.6</v>
      </c>
      <c r="BN14" s="35">
        <v>15.6</v>
      </c>
      <c r="BO14" s="35">
        <v>16.399999999999999</v>
      </c>
      <c r="BP14" s="35">
        <v>17</v>
      </c>
      <c r="BQ14" s="35">
        <v>16.899999999999999</v>
      </c>
      <c r="BR14" s="35">
        <v>15.5</v>
      </c>
      <c r="BS14" s="35">
        <v>15.1</v>
      </c>
      <c r="BT14" s="35">
        <v>14.4</v>
      </c>
      <c r="BU14" s="35">
        <v>13.5</v>
      </c>
      <c r="BV14" s="35">
        <v>13.9</v>
      </c>
      <c r="BW14" s="35">
        <v>13.2</v>
      </c>
      <c r="BX14" s="35">
        <v>13.2</v>
      </c>
      <c r="BY14" s="35">
        <v>13</v>
      </c>
      <c r="BZ14" s="35">
        <v>13.6</v>
      </c>
      <c r="CA14" s="35">
        <v>13.7</v>
      </c>
      <c r="CB14" s="35">
        <v>14.6</v>
      </c>
      <c r="CC14" s="35">
        <v>15.8</v>
      </c>
      <c r="CD14" s="35">
        <v>16.399999999999999</v>
      </c>
      <c r="CE14" s="35">
        <v>17.100000000000001</v>
      </c>
      <c r="CF14" s="35">
        <v>18.2</v>
      </c>
      <c r="CG14" s="35">
        <v>21</v>
      </c>
      <c r="CH14" s="35">
        <v>24.3</v>
      </c>
      <c r="CI14" s="35">
        <v>27.5</v>
      </c>
      <c r="CJ14" s="35">
        <v>25.9</v>
      </c>
      <c r="CK14" s="35">
        <v>29.4</v>
      </c>
      <c r="CL14" s="35">
        <v>39.700000000000003</v>
      </c>
      <c r="CM14" s="35">
        <v>41.2</v>
      </c>
      <c r="CN14" s="35">
        <v>39.6</v>
      </c>
      <c r="CO14" s="35">
        <v>38</v>
      </c>
      <c r="CP14" s="35">
        <v>35.1</v>
      </c>
      <c r="CQ14" s="35">
        <v>35.5</v>
      </c>
      <c r="CR14" s="35">
        <v>35.5</v>
      </c>
      <c r="CS14" s="35">
        <v>33.200000000000003</v>
      </c>
      <c r="CT14" s="35">
        <v>28</v>
      </c>
      <c r="CU14" s="35">
        <v>24.4</v>
      </c>
      <c r="CV14" s="35">
        <v>22.1</v>
      </c>
      <c r="CW14" s="35">
        <v>21.3</v>
      </c>
      <c r="CX14" s="35">
        <v>20.9</v>
      </c>
      <c r="CY14" s="35">
        <v>21.6</v>
      </c>
      <c r="CZ14" s="35">
        <v>22</v>
      </c>
      <c r="DA14" s="35">
        <v>22.5</v>
      </c>
      <c r="DB14" s="35">
        <v>23</v>
      </c>
      <c r="DC14" s="35">
        <v>22.7</v>
      </c>
      <c r="DD14" s="35">
        <v>21.6</v>
      </c>
      <c r="DE14" s="35">
        <v>21.7</v>
      </c>
      <c r="DF14" s="35">
        <v>21</v>
      </c>
      <c r="DG14" s="35">
        <v>20.399999999999999</v>
      </c>
      <c r="DH14" s="35">
        <v>19.600000000000001</v>
      </c>
      <c r="DI14" s="35">
        <v>19.399999999999999</v>
      </c>
      <c r="DJ14" s="35">
        <v>19.399999999999999</v>
      </c>
      <c r="DK14" s="35">
        <v>19.3</v>
      </c>
      <c r="DL14" s="35">
        <v>20.3</v>
      </c>
      <c r="DM14" s="35">
        <v>19.8</v>
      </c>
      <c r="DN14" s="35">
        <v>20.8</v>
      </c>
      <c r="DO14" s="35">
        <v>20.9</v>
      </c>
      <c r="DP14" s="35">
        <v>20.3</v>
      </c>
      <c r="DQ14" s="35">
        <v>20</v>
      </c>
      <c r="DR14" s="35">
        <v>20.5</v>
      </c>
      <c r="DS14" s="35">
        <v>20</v>
      </c>
      <c r="DT14" s="35">
        <v>20.6</v>
      </c>
      <c r="DU14" s="35">
        <v>21.9</v>
      </c>
      <c r="DV14" s="35">
        <v>25.5</v>
      </c>
      <c r="DW14" s="35">
        <v>28.4</v>
      </c>
      <c r="DX14" s="35">
        <v>33.1</v>
      </c>
      <c r="DY14" s="35">
        <v>40.6</v>
      </c>
      <c r="DZ14" s="35">
        <v>42.8</v>
      </c>
      <c r="EA14" s="35">
        <v>60.5</v>
      </c>
      <c r="EB14" s="35">
        <v>56.9</v>
      </c>
      <c r="EC14" s="35">
        <v>53.7</v>
      </c>
      <c r="ED14" s="35">
        <v>51.8</v>
      </c>
      <c r="EE14" s="35">
        <v>55.2</v>
      </c>
      <c r="EF14" s="35">
        <v>54.2</v>
      </c>
      <c r="EG14" s="35">
        <v>51.5</v>
      </c>
      <c r="EH14" s="35">
        <v>42.3</v>
      </c>
      <c r="EI14" s="35">
        <v>35.9</v>
      </c>
      <c r="EJ14" s="35">
        <v>34.700000000000003</v>
      </c>
      <c r="EK14" s="35">
        <v>32.9</v>
      </c>
      <c r="EL14" s="35">
        <v>32.1</v>
      </c>
      <c r="EM14" s="35">
        <v>30.9</v>
      </c>
      <c r="EN14" s="35">
        <v>31.6</v>
      </c>
      <c r="EO14" s="35">
        <v>32.5</v>
      </c>
      <c r="EP14" s="35">
        <v>30.3</v>
      </c>
      <c r="EQ14" s="35">
        <v>29.5</v>
      </c>
      <c r="ER14" s="35">
        <v>30.6</v>
      </c>
      <c r="ES14" s="35">
        <v>31.1</v>
      </c>
      <c r="ET14" s="35">
        <v>32.299999999999997</v>
      </c>
      <c r="EU14" s="35">
        <v>31.8</v>
      </c>
      <c r="EV14" s="35">
        <v>32.799999999999997</v>
      </c>
      <c r="EW14" s="35">
        <v>34</v>
      </c>
      <c r="EX14" s="35">
        <v>36.299999999999997</v>
      </c>
      <c r="EY14" s="35">
        <v>38.200000000000003</v>
      </c>
      <c r="EZ14" s="35">
        <v>58.2</v>
      </c>
      <c r="FA14" s="35">
        <v>71.900000000000006</v>
      </c>
      <c r="FB14" s="35">
        <v>101.6</v>
      </c>
      <c r="FC14" s="35">
        <v>130.30000000000001</v>
      </c>
      <c r="FD14" s="35">
        <v>144.4</v>
      </c>
      <c r="FE14" s="35">
        <v>148.6</v>
      </c>
      <c r="FF14" s="35">
        <v>159.30000000000001</v>
      </c>
      <c r="FG14" s="35">
        <v>141.19999999999999</v>
      </c>
      <c r="FH14" s="35">
        <v>131</v>
      </c>
      <c r="FI14" s="35">
        <v>123.9</v>
      </c>
      <c r="FJ14" s="35">
        <v>116.7</v>
      </c>
      <c r="FK14" s="35">
        <v>109.3</v>
      </c>
      <c r="FL14" s="35">
        <v>102.9</v>
      </c>
      <c r="FM14" s="35">
        <v>99.8</v>
      </c>
      <c r="FN14" s="35">
        <v>94.6</v>
      </c>
      <c r="FO14" s="35">
        <v>86.3</v>
      </c>
      <c r="FP14" s="35">
        <v>78.400000000000006</v>
      </c>
      <c r="FQ14" s="35">
        <v>75.099999999999994</v>
      </c>
      <c r="FR14" s="35">
        <v>69</v>
      </c>
      <c r="FS14" s="35">
        <v>64.8</v>
      </c>
      <c r="FT14" s="35">
        <v>59.1</v>
      </c>
      <c r="FU14" s="35">
        <v>57.1</v>
      </c>
      <c r="FV14" s="35">
        <v>39</v>
      </c>
      <c r="FW14" s="35">
        <v>35.799999999999997</v>
      </c>
      <c r="FX14" s="35">
        <v>34</v>
      </c>
      <c r="FY14" s="35">
        <v>33</v>
      </c>
      <c r="FZ14" s="35">
        <v>32.9</v>
      </c>
      <c r="GA14" s="35">
        <v>32.4</v>
      </c>
      <c r="GB14" s="35">
        <v>32.5</v>
      </c>
      <c r="GC14" s="35">
        <v>32.4</v>
      </c>
      <c r="GD14" s="35">
        <v>32.4</v>
      </c>
      <c r="GE14" s="35">
        <v>32.299999999999997</v>
      </c>
      <c r="GF14" s="35">
        <v>32.1</v>
      </c>
      <c r="GG14" s="35">
        <v>31.3</v>
      </c>
      <c r="GH14" s="35">
        <v>31.3</v>
      </c>
      <c r="GI14" s="35">
        <v>29.6</v>
      </c>
      <c r="GJ14" s="35">
        <v>29.6</v>
      </c>
      <c r="GK14" s="35">
        <v>30.3</v>
      </c>
      <c r="GL14" s="35">
        <v>29.7</v>
      </c>
      <c r="GM14" s="35">
        <v>27</v>
      </c>
      <c r="GN14" s="35">
        <v>26.5</v>
      </c>
      <c r="GO14" s="35">
        <v>27.8</v>
      </c>
      <c r="GP14" s="35">
        <v>29.4</v>
      </c>
      <c r="GQ14" s="35">
        <v>26.9</v>
      </c>
      <c r="GR14" s="35">
        <v>26.4</v>
      </c>
      <c r="GS14" s="35">
        <v>27.7</v>
      </c>
      <c r="GT14" s="35">
        <v>40.700000000000003</v>
      </c>
      <c r="GU14" s="35">
        <v>1007.5</v>
      </c>
      <c r="GV14" s="35">
        <v>792.9</v>
      </c>
      <c r="GW14" s="35">
        <v>308.5</v>
      </c>
      <c r="GX14" s="35">
        <v>556.20000000000005</v>
      </c>
      <c r="GY14" s="35">
        <v>448.6</v>
      </c>
      <c r="GZ14" s="35">
        <v>245.1</v>
      </c>
      <c r="HA14" s="35">
        <v>33.799999999999997</v>
      </c>
      <c r="HB14" s="35">
        <v>23.6</v>
      </c>
      <c r="HC14">
        <v>18.600000000000001</v>
      </c>
      <c r="HD14">
        <v>18.5</v>
      </c>
      <c r="HE14">
        <v>20.399999999999999</v>
      </c>
      <c r="HF14">
        <v>22.8</v>
      </c>
    </row>
    <row r="15" spans="1:214" x14ac:dyDescent="0.35">
      <c r="A15" s="35" t="s">
        <v>2138</v>
      </c>
      <c r="B15" s="35">
        <v>63</v>
      </c>
      <c r="C15" s="35">
        <v>73.099999999999994</v>
      </c>
      <c r="D15" s="35">
        <v>73.5</v>
      </c>
      <c r="E15" s="35">
        <v>77.400000000000006</v>
      </c>
      <c r="F15" s="35">
        <v>79.3</v>
      </c>
      <c r="G15" s="35">
        <v>86.9</v>
      </c>
      <c r="H15" s="35">
        <v>86.9</v>
      </c>
      <c r="I15" s="35">
        <v>88.5</v>
      </c>
      <c r="J15" s="35">
        <v>91.4</v>
      </c>
      <c r="K15" s="35">
        <v>91.9</v>
      </c>
      <c r="L15" s="35">
        <v>92.9</v>
      </c>
      <c r="M15" s="35">
        <v>103.1</v>
      </c>
      <c r="N15" s="35">
        <v>105.4</v>
      </c>
      <c r="O15" s="35">
        <v>107.6</v>
      </c>
      <c r="P15" s="35">
        <v>109.2</v>
      </c>
      <c r="Q15" s="35">
        <v>112.3</v>
      </c>
      <c r="R15" s="35">
        <v>117.5</v>
      </c>
      <c r="S15" s="35">
        <v>125.4</v>
      </c>
      <c r="T15" s="35">
        <v>132.19999999999999</v>
      </c>
      <c r="U15" s="35">
        <v>139.1</v>
      </c>
      <c r="V15" s="35">
        <v>149.80000000000001</v>
      </c>
      <c r="W15" s="35">
        <v>164.6</v>
      </c>
      <c r="X15" s="35">
        <v>167.7</v>
      </c>
      <c r="Y15" s="35">
        <v>170.4</v>
      </c>
      <c r="Z15" s="35">
        <v>174.7</v>
      </c>
      <c r="AA15" s="35">
        <v>173.1</v>
      </c>
      <c r="AB15" s="35">
        <v>180.1</v>
      </c>
      <c r="AC15" s="35">
        <v>182.7</v>
      </c>
      <c r="AD15" s="35">
        <v>185.5</v>
      </c>
      <c r="AE15" s="35">
        <v>186.4</v>
      </c>
      <c r="AF15" s="35">
        <v>191.7</v>
      </c>
      <c r="AG15" s="35">
        <v>194.3</v>
      </c>
      <c r="AH15" s="35">
        <v>197.7</v>
      </c>
      <c r="AI15" s="35">
        <v>199</v>
      </c>
      <c r="AJ15" s="35">
        <v>207.1</v>
      </c>
      <c r="AK15" s="35">
        <v>209.9</v>
      </c>
      <c r="AL15" s="35">
        <v>214.9</v>
      </c>
      <c r="AM15" s="35">
        <v>219.2</v>
      </c>
      <c r="AN15" s="35">
        <v>234.6</v>
      </c>
      <c r="AO15" s="35">
        <v>240.7</v>
      </c>
      <c r="AP15" s="35">
        <v>251.2</v>
      </c>
      <c r="AQ15" s="35">
        <v>256.2</v>
      </c>
      <c r="AR15" s="35">
        <v>287.89999999999998</v>
      </c>
      <c r="AS15" s="35">
        <v>290.7</v>
      </c>
      <c r="AT15" s="35">
        <v>296.10000000000002</v>
      </c>
      <c r="AU15" s="35">
        <v>299</v>
      </c>
      <c r="AV15" s="35">
        <v>317</v>
      </c>
      <c r="AW15" s="35">
        <v>319.2</v>
      </c>
      <c r="AX15" s="35">
        <v>324.3</v>
      </c>
      <c r="AY15" s="35">
        <v>333.2</v>
      </c>
      <c r="AZ15" s="35">
        <v>349.7</v>
      </c>
      <c r="BA15" s="35">
        <v>365.2</v>
      </c>
      <c r="BB15" s="35">
        <v>368</v>
      </c>
      <c r="BC15" s="35">
        <v>373.7</v>
      </c>
      <c r="BD15" s="35">
        <v>368.5</v>
      </c>
      <c r="BE15" s="35">
        <v>371.8</v>
      </c>
      <c r="BF15" s="35">
        <v>376.3</v>
      </c>
      <c r="BG15" s="35">
        <v>379</v>
      </c>
      <c r="BH15" s="35">
        <v>380.4</v>
      </c>
      <c r="BI15" s="35">
        <v>387.9</v>
      </c>
      <c r="BJ15" s="35">
        <v>398.1</v>
      </c>
      <c r="BK15" s="35">
        <v>400.5</v>
      </c>
      <c r="BL15" s="35">
        <v>405.6</v>
      </c>
      <c r="BM15" s="35">
        <v>408.3</v>
      </c>
      <c r="BN15" s="35">
        <v>419.9</v>
      </c>
      <c r="BO15" s="35">
        <v>425.6</v>
      </c>
      <c r="BP15" s="35">
        <v>433.1</v>
      </c>
      <c r="BQ15" s="35">
        <v>435.8</v>
      </c>
      <c r="BR15" s="35">
        <v>441.9</v>
      </c>
      <c r="BS15" s="35">
        <v>447.5</v>
      </c>
      <c r="BT15" s="35">
        <v>449.4</v>
      </c>
      <c r="BU15" s="35">
        <v>452.8</v>
      </c>
      <c r="BV15" s="35">
        <v>470.3</v>
      </c>
      <c r="BW15" s="35">
        <v>473.4</v>
      </c>
      <c r="BX15" s="35">
        <v>478.8</v>
      </c>
      <c r="BY15" s="35">
        <v>484.9</v>
      </c>
      <c r="BZ15" s="35">
        <v>508.2</v>
      </c>
      <c r="CA15" s="35">
        <v>515.70000000000005</v>
      </c>
      <c r="CB15" s="35">
        <v>524.70000000000005</v>
      </c>
      <c r="CC15" s="35">
        <v>535.79999999999995</v>
      </c>
      <c r="CD15" s="35">
        <v>556.20000000000005</v>
      </c>
      <c r="CE15" s="35">
        <v>567.5</v>
      </c>
      <c r="CF15" s="35">
        <v>578.1</v>
      </c>
      <c r="CG15" s="35">
        <v>596.79999999999995</v>
      </c>
      <c r="CH15" s="35">
        <v>622.5</v>
      </c>
      <c r="CI15" s="35">
        <v>643.5</v>
      </c>
      <c r="CJ15" s="35">
        <v>653.79999999999995</v>
      </c>
      <c r="CK15" s="35">
        <v>682.3</v>
      </c>
      <c r="CL15" s="35">
        <v>710.5</v>
      </c>
      <c r="CM15" s="35">
        <v>729.1</v>
      </c>
      <c r="CN15" s="35">
        <v>741.3</v>
      </c>
      <c r="CO15" s="35">
        <v>746</v>
      </c>
      <c r="CP15" s="35">
        <v>766.5</v>
      </c>
      <c r="CQ15" s="35">
        <v>771.7</v>
      </c>
      <c r="CR15" s="35">
        <v>786.3</v>
      </c>
      <c r="CS15" s="35">
        <v>791.3</v>
      </c>
      <c r="CT15" s="35">
        <v>805.3</v>
      </c>
      <c r="CU15" s="35">
        <v>810.1</v>
      </c>
      <c r="CV15" s="35">
        <v>813.6</v>
      </c>
      <c r="CW15" s="35">
        <v>833.8</v>
      </c>
      <c r="CX15" s="35">
        <v>857.9</v>
      </c>
      <c r="CY15" s="35">
        <v>865.6</v>
      </c>
      <c r="CZ15" s="35">
        <v>870.7</v>
      </c>
      <c r="DA15" s="35">
        <v>864.6</v>
      </c>
      <c r="DB15" s="35">
        <v>893.2</v>
      </c>
      <c r="DC15" s="35">
        <v>912.9</v>
      </c>
      <c r="DD15" s="35">
        <v>908.5</v>
      </c>
      <c r="DE15" s="35">
        <v>910.7</v>
      </c>
      <c r="DF15" s="35">
        <v>930.5</v>
      </c>
      <c r="DG15" s="35">
        <v>931.3</v>
      </c>
      <c r="DH15" s="35">
        <v>937.2</v>
      </c>
      <c r="DI15" s="35">
        <v>942.7</v>
      </c>
      <c r="DJ15" s="35">
        <v>951.8</v>
      </c>
      <c r="DK15" s="35">
        <v>956</v>
      </c>
      <c r="DL15" s="35">
        <v>957.4</v>
      </c>
      <c r="DM15" s="35">
        <v>966.4</v>
      </c>
      <c r="DN15" s="35">
        <v>983.4</v>
      </c>
      <c r="DO15" s="35">
        <v>985</v>
      </c>
      <c r="DP15" s="35">
        <v>996.1</v>
      </c>
      <c r="DQ15" s="35">
        <v>1004.3</v>
      </c>
      <c r="DR15" s="35">
        <v>1016.9</v>
      </c>
      <c r="DS15" s="35">
        <v>1042.3</v>
      </c>
      <c r="DT15" s="35">
        <v>1054.7</v>
      </c>
      <c r="DU15" s="35">
        <v>1065.5999999999999</v>
      </c>
      <c r="DV15" s="35">
        <v>1107.8</v>
      </c>
      <c r="DW15" s="35">
        <v>1139.0999999999999</v>
      </c>
      <c r="DX15" s="35">
        <v>1145.2</v>
      </c>
      <c r="DY15" s="35">
        <v>1191.2</v>
      </c>
      <c r="DZ15" s="35">
        <v>1221</v>
      </c>
      <c r="EA15" s="35">
        <v>1247.0999999999999</v>
      </c>
      <c r="EB15" s="35">
        <v>1259.9000000000001</v>
      </c>
      <c r="EC15" s="35">
        <v>1276.2</v>
      </c>
      <c r="ED15" s="35">
        <v>1294.5999999999999</v>
      </c>
      <c r="EE15" s="35">
        <v>1312.6</v>
      </c>
      <c r="EF15" s="35">
        <v>1335.5</v>
      </c>
      <c r="EG15" s="35">
        <v>1341.2</v>
      </c>
      <c r="EH15" s="35">
        <v>1379.6</v>
      </c>
      <c r="EI15" s="35">
        <v>1400.6</v>
      </c>
      <c r="EJ15" s="35">
        <v>1409.8</v>
      </c>
      <c r="EK15" s="35">
        <v>1427.9</v>
      </c>
      <c r="EL15" s="35">
        <v>1464.4</v>
      </c>
      <c r="EM15" s="35">
        <v>1486</v>
      </c>
      <c r="EN15" s="35">
        <v>1501</v>
      </c>
      <c r="EO15" s="35">
        <v>1512.3</v>
      </c>
      <c r="EP15" s="35">
        <v>1566.7</v>
      </c>
      <c r="EQ15" s="35">
        <v>1583.2</v>
      </c>
      <c r="ER15" s="35">
        <v>1608.5</v>
      </c>
      <c r="ES15" s="35">
        <v>1613.8</v>
      </c>
      <c r="ET15" s="35">
        <v>1680.2</v>
      </c>
      <c r="EU15" s="35">
        <v>1680.4</v>
      </c>
      <c r="EV15" s="35">
        <v>1700.2</v>
      </c>
      <c r="EW15" s="35">
        <v>1728.6</v>
      </c>
      <c r="EX15" s="35">
        <v>1768.2</v>
      </c>
      <c r="EY15" s="35">
        <v>2113</v>
      </c>
      <c r="EZ15" s="35">
        <v>1905.3</v>
      </c>
      <c r="FA15" s="35">
        <v>1890.8</v>
      </c>
      <c r="FB15" s="35">
        <v>2001.9</v>
      </c>
      <c r="FC15" s="35">
        <v>2140</v>
      </c>
      <c r="FD15" s="35">
        <v>2136.9</v>
      </c>
      <c r="FE15" s="35">
        <v>2152.1</v>
      </c>
      <c r="FF15" s="35">
        <v>2262.1999999999998</v>
      </c>
      <c r="FG15" s="35">
        <v>2268.6999999999998</v>
      </c>
      <c r="FH15" s="35">
        <v>2292</v>
      </c>
      <c r="FI15" s="35">
        <v>2302.6999999999998</v>
      </c>
      <c r="FJ15" s="35">
        <v>2313</v>
      </c>
      <c r="FK15" s="35">
        <v>2312.1</v>
      </c>
      <c r="FL15" s="35">
        <v>2303.1999999999998</v>
      </c>
      <c r="FM15" s="35">
        <v>2312.1999999999998</v>
      </c>
      <c r="FN15" s="35">
        <v>2296.8000000000002</v>
      </c>
      <c r="FO15" s="35">
        <v>2321.8000000000002</v>
      </c>
      <c r="FP15" s="35">
        <v>2325.6</v>
      </c>
      <c r="FQ15" s="35">
        <v>2346.1</v>
      </c>
      <c r="FR15" s="35">
        <v>2365.6999999999998</v>
      </c>
      <c r="FS15" s="35">
        <v>2378.3000000000002</v>
      </c>
      <c r="FT15" s="35">
        <v>2396</v>
      </c>
      <c r="FU15" s="35">
        <v>2403.6999999999998</v>
      </c>
      <c r="FV15" s="35">
        <v>2433.1999999999998</v>
      </c>
      <c r="FW15" s="35">
        <v>2484.5</v>
      </c>
      <c r="FX15" s="35">
        <v>2524.6</v>
      </c>
      <c r="FY15" s="35">
        <v>2552.1</v>
      </c>
      <c r="FZ15" s="35">
        <v>2597.6999999999998</v>
      </c>
      <c r="GA15" s="35">
        <v>2633.9</v>
      </c>
      <c r="GB15" s="35">
        <v>2647.8</v>
      </c>
      <c r="GC15" s="35">
        <v>2661.2</v>
      </c>
      <c r="GD15" s="35">
        <v>2686.2</v>
      </c>
      <c r="GE15" s="35">
        <v>2706.5</v>
      </c>
      <c r="GF15" s="35">
        <v>2726.3</v>
      </c>
      <c r="GG15" s="35">
        <v>2750.1</v>
      </c>
      <c r="GH15" s="35">
        <v>2779.1</v>
      </c>
      <c r="GI15" s="35">
        <v>2789.7</v>
      </c>
      <c r="GJ15" s="35">
        <v>2823.4</v>
      </c>
      <c r="GK15" s="35">
        <v>2837.6</v>
      </c>
      <c r="GL15" s="35">
        <v>2891.7</v>
      </c>
      <c r="GM15" s="35">
        <v>2916.6</v>
      </c>
      <c r="GN15" s="35">
        <v>2939.2</v>
      </c>
      <c r="GO15" s="35">
        <v>2958.7</v>
      </c>
      <c r="GP15" s="35">
        <v>3048.6</v>
      </c>
      <c r="GQ15" s="35">
        <v>3082.7</v>
      </c>
      <c r="GR15" s="35">
        <v>3107.3</v>
      </c>
      <c r="GS15" s="35">
        <v>3120.1</v>
      </c>
      <c r="GT15" s="35">
        <v>3169.8</v>
      </c>
      <c r="GU15" s="35">
        <v>5512</v>
      </c>
      <c r="GV15" s="35">
        <v>4344.3</v>
      </c>
      <c r="GW15" s="35">
        <v>3722.2</v>
      </c>
      <c r="GX15" s="35">
        <v>5962.9</v>
      </c>
      <c r="GY15" s="35">
        <v>4305.7</v>
      </c>
      <c r="GZ15" s="35">
        <v>4064.4</v>
      </c>
      <c r="HA15" s="35">
        <v>3852.5</v>
      </c>
      <c r="HB15" s="35">
        <v>3797.7</v>
      </c>
      <c r="HC15">
        <v>3809.1</v>
      </c>
      <c r="HD15">
        <v>3823</v>
      </c>
      <c r="HE15">
        <v>3928.7</v>
      </c>
      <c r="HF15">
        <v>3966.4</v>
      </c>
    </row>
    <row r="16" spans="1:214" x14ac:dyDescent="0.35">
      <c r="A16" s="35" t="s">
        <v>2139</v>
      </c>
      <c r="B16" s="35">
        <v>1.2</v>
      </c>
      <c r="C16" s="35">
        <v>1.3</v>
      </c>
      <c r="D16" s="35">
        <v>1.3</v>
      </c>
      <c r="E16" s="35">
        <v>1.3</v>
      </c>
      <c r="F16" s="35">
        <v>1.4</v>
      </c>
      <c r="G16" s="35">
        <v>1.4</v>
      </c>
      <c r="H16" s="35">
        <v>1.5</v>
      </c>
      <c r="I16" s="35">
        <v>1.5</v>
      </c>
      <c r="J16" s="35">
        <v>1.7</v>
      </c>
      <c r="K16" s="35">
        <v>1.8</v>
      </c>
      <c r="L16" s="35">
        <v>1.8</v>
      </c>
      <c r="M16" s="35">
        <v>1.9</v>
      </c>
      <c r="N16" s="35">
        <v>1.8</v>
      </c>
      <c r="O16" s="35">
        <v>1.8</v>
      </c>
      <c r="P16" s="35">
        <v>1.8</v>
      </c>
      <c r="Q16" s="35">
        <v>1.9</v>
      </c>
      <c r="R16" s="35">
        <v>1.9</v>
      </c>
      <c r="S16" s="35">
        <v>2</v>
      </c>
      <c r="T16" s="35">
        <v>2.1</v>
      </c>
      <c r="U16" s="35">
        <v>2.2000000000000002</v>
      </c>
      <c r="V16" s="35">
        <v>2.2999999999999998</v>
      </c>
      <c r="W16" s="35">
        <v>2.4</v>
      </c>
      <c r="X16" s="35">
        <v>2.6</v>
      </c>
      <c r="Y16" s="35">
        <v>2.7</v>
      </c>
      <c r="Z16" s="35">
        <v>2.8</v>
      </c>
      <c r="AA16" s="35">
        <v>3</v>
      </c>
      <c r="AB16" s="35">
        <v>3.1</v>
      </c>
      <c r="AC16" s="35">
        <v>3.2</v>
      </c>
      <c r="AD16" s="35">
        <v>3.3</v>
      </c>
      <c r="AE16" s="35">
        <v>3.4</v>
      </c>
      <c r="AF16" s="35">
        <v>3.5</v>
      </c>
      <c r="AG16" s="35">
        <v>3.6</v>
      </c>
      <c r="AH16" s="35">
        <v>3.7</v>
      </c>
      <c r="AI16" s="35">
        <v>3.8</v>
      </c>
      <c r="AJ16" s="35">
        <v>3.9</v>
      </c>
      <c r="AK16" s="35">
        <v>4</v>
      </c>
      <c r="AL16" s="35">
        <v>4.0999999999999996</v>
      </c>
      <c r="AM16" s="35">
        <v>4.3</v>
      </c>
      <c r="AN16" s="35">
        <v>4.4000000000000004</v>
      </c>
      <c r="AO16" s="35">
        <v>4.5</v>
      </c>
      <c r="AP16" s="35">
        <v>4.5999999999999996</v>
      </c>
      <c r="AQ16" s="35">
        <v>4.8</v>
      </c>
      <c r="AR16" s="35">
        <v>5</v>
      </c>
      <c r="AS16" s="35">
        <v>5.3</v>
      </c>
      <c r="AT16" s="35">
        <v>5.6</v>
      </c>
      <c r="AU16" s="35">
        <v>5.9</v>
      </c>
      <c r="AV16" s="35">
        <v>6.1</v>
      </c>
      <c r="AW16" s="35">
        <v>6.3</v>
      </c>
      <c r="AX16" s="35">
        <v>6.7</v>
      </c>
      <c r="AY16" s="35">
        <v>6.9</v>
      </c>
      <c r="AZ16" s="35">
        <v>7.2</v>
      </c>
      <c r="BA16" s="35">
        <v>7.5</v>
      </c>
      <c r="BB16" s="35">
        <v>7.7</v>
      </c>
      <c r="BC16" s="35">
        <v>8</v>
      </c>
      <c r="BD16" s="35">
        <v>8.3000000000000007</v>
      </c>
      <c r="BE16" s="35">
        <v>8.5</v>
      </c>
      <c r="BF16" s="35">
        <v>8.8000000000000007</v>
      </c>
      <c r="BG16" s="35">
        <v>9.1</v>
      </c>
      <c r="BH16" s="35">
        <v>9.3000000000000007</v>
      </c>
      <c r="BI16" s="35">
        <v>9.5</v>
      </c>
      <c r="BJ16" s="35">
        <v>9.9</v>
      </c>
      <c r="BK16" s="35">
        <v>10.199999999999999</v>
      </c>
      <c r="BL16" s="35">
        <v>10.6</v>
      </c>
      <c r="BM16" s="35">
        <v>11</v>
      </c>
      <c r="BN16" s="35">
        <v>11.3</v>
      </c>
      <c r="BO16" s="35">
        <v>11.7</v>
      </c>
      <c r="BP16" s="35">
        <v>12.1</v>
      </c>
      <c r="BQ16" s="35">
        <v>12.7</v>
      </c>
      <c r="BR16" s="35">
        <v>12.7</v>
      </c>
      <c r="BS16" s="35">
        <v>12.9</v>
      </c>
      <c r="BT16" s="35">
        <v>13.5</v>
      </c>
      <c r="BU16" s="35">
        <v>13.7</v>
      </c>
      <c r="BV16" s="35">
        <v>14.2</v>
      </c>
      <c r="BW16" s="35">
        <v>14.8</v>
      </c>
      <c r="BX16" s="35">
        <v>15.1</v>
      </c>
      <c r="BY16" s="35">
        <v>15.4</v>
      </c>
      <c r="BZ16" s="35">
        <v>15.9</v>
      </c>
      <c r="CA16" s="35">
        <v>16.3</v>
      </c>
      <c r="CB16" s="35">
        <v>16.7</v>
      </c>
      <c r="CC16" s="35">
        <v>17.100000000000001</v>
      </c>
      <c r="CD16" s="35">
        <v>17.3</v>
      </c>
      <c r="CE16" s="35">
        <v>17.899999999999999</v>
      </c>
      <c r="CF16" s="35">
        <v>18.7</v>
      </c>
      <c r="CG16" s="35">
        <v>19.600000000000001</v>
      </c>
      <c r="CH16" s="35">
        <v>20.9</v>
      </c>
      <c r="CI16" s="35">
        <v>22.1</v>
      </c>
      <c r="CJ16" s="35">
        <v>23.1</v>
      </c>
      <c r="CK16" s="35">
        <v>24.2</v>
      </c>
      <c r="CL16" s="35">
        <v>25</v>
      </c>
      <c r="CM16" s="35">
        <v>25.8</v>
      </c>
      <c r="CN16" s="35">
        <v>26.4</v>
      </c>
      <c r="CO16" s="35">
        <v>26.8</v>
      </c>
      <c r="CP16" s="35">
        <v>28</v>
      </c>
      <c r="CQ16" s="35">
        <v>28.3</v>
      </c>
      <c r="CR16" s="35">
        <v>28.7</v>
      </c>
      <c r="CS16" s="35">
        <v>29.2</v>
      </c>
      <c r="CT16" s="35">
        <v>30.1</v>
      </c>
      <c r="CU16" s="35">
        <v>30.7</v>
      </c>
      <c r="CV16" s="35">
        <v>31.2</v>
      </c>
      <c r="CW16" s="35">
        <v>31.6</v>
      </c>
      <c r="CX16" s="35">
        <v>31.9</v>
      </c>
      <c r="CY16" s="35">
        <v>32.299999999999997</v>
      </c>
      <c r="CZ16" s="35">
        <v>32.9</v>
      </c>
      <c r="DA16" s="35">
        <v>33.5</v>
      </c>
      <c r="DB16" s="35">
        <v>34</v>
      </c>
      <c r="DC16" s="35">
        <v>34.6</v>
      </c>
      <c r="DD16" s="35">
        <v>35.200000000000003</v>
      </c>
      <c r="DE16" s="35">
        <v>35.799999999999997</v>
      </c>
      <c r="DF16" s="35">
        <v>37.200000000000003</v>
      </c>
      <c r="DG16" s="35">
        <v>38</v>
      </c>
      <c r="DH16" s="35">
        <v>38.6</v>
      </c>
      <c r="DI16" s="35">
        <v>39</v>
      </c>
      <c r="DJ16" s="35">
        <v>39.1</v>
      </c>
      <c r="DK16" s="35">
        <v>39.299999999999997</v>
      </c>
      <c r="DL16" s="35">
        <v>40</v>
      </c>
      <c r="DM16" s="35">
        <v>41.1</v>
      </c>
      <c r="DN16" s="35">
        <v>42.3</v>
      </c>
      <c r="DO16" s="35">
        <v>43.5</v>
      </c>
      <c r="DP16" s="35">
        <v>44.7</v>
      </c>
      <c r="DQ16" s="35">
        <v>45.8</v>
      </c>
      <c r="DR16" s="35">
        <v>46.9</v>
      </c>
      <c r="DS16" s="35">
        <v>48.1</v>
      </c>
      <c r="DT16" s="35">
        <v>49.3</v>
      </c>
      <c r="DU16" s="35">
        <v>50.6</v>
      </c>
      <c r="DV16" s="35">
        <v>51.5</v>
      </c>
      <c r="DW16" s="35">
        <v>52.5</v>
      </c>
      <c r="DX16" s="35">
        <v>53.4</v>
      </c>
      <c r="DY16" s="35">
        <v>54.3</v>
      </c>
      <c r="DZ16" s="35">
        <v>55.2</v>
      </c>
      <c r="EA16" s="35">
        <v>56</v>
      </c>
      <c r="EB16" s="35">
        <v>56.8</v>
      </c>
      <c r="EC16" s="35">
        <v>57.6</v>
      </c>
      <c r="ED16" s="35">
        <v>58.5</v>
      </c>
      <c r="EE16" s="35">
        <v>59.7</v>
      </c>
      <c r="EF16" s="35">
        <v>61.1</v>
      </c>
      <c r="EG16" s="35">
        <v>62.7</v>
      </c>
      <c r="EH16" s="35">
        <v>64.8</v>
      </c>
      <c r="EI16" s="35">
        <v>66.400000000000006</v>
      </c>
      <c r="EJ16" s="35">
        <v>67.7</v>
      </c>
      <c r="EK16" s="35">
        <v>68.7</v>
      </c>
      <c r="EL16" s="35">
        <v>70.3</v>
      </c>
      <c r="EM16" s="35">
        <v>71.2</v>
      </c>
      <c r="EN16" s="35">
        <v>72.099999999999994</v>
      </c>
      <c r="EO16" s="35">
        <v>73</v>
      </c>
      <c r="EP16" s="35">
        <v>74.400000000000006</v>
      </c>
      <c r="EQ16" s="35">
        <v>74.900000000000006</v>
      </c>
      <c r="ER16" s="35">
        <v>75.5</v>
      </c>
      <c r="ES16" s="35">
        <v>76.3</v>
      </c>
      <c r="ET16" s="35">
        <v>78</v>
      </c>
      <c r="EU16" s="35">
        <v>78.8</v>
      </c>
      <c r="EV16" s="35">
        <v>79.599999999999994</v>
      </c>
      <c r="EW16" s="35">
        <v>80.3</v>
      </c>
      <c r="EX16" s="35">
        <v>80.5</v>
      </c>
      <c r="EY16" s="35">
        <v>81</v>
      </c>
      <c r="EZ16" s="35">
        <v>81.2</v>
      </c>
      <c r="FA16" s="35">
        <v>81.2</v>
      </c>
      <c r="FB16" s="35">
        <v>80.599999999999994</v>
      </c>
      <c r="FC16" s="35">
        <v>80.3</v>
      </c>
      <c r="FD16" s="35">
        <v>79.900000000000006</v>
      </c>
      <c r="FE16" s="35">
        <v>79.5</v>
      </c>
      <c r="FF16" s="35">
        <v>79.5</v>
      </c>
      <c r="FG16" s="35">
        <v>79.3</v>
      </c>
      <c r="FH16" s="35">
        <v>79.3</v>
      </c>
      <c r="FI16" s="35">
        <v>79.5</v>
      </c>
      <c r="FJ16" s="35">
        <v>80.400000000000006</v>
      </c>
      <c r="FK16" s="35">
        <v>81.5</v>
      </c>
      <c r="FL16" s="35">
        <v>82.7</v>
      </c>
      <c r="FM16" s="35">
        <v>84.1</v>
      </c>
      <c r="FN16" s="35">
        <v>85.2</v>
      </c>
      <c r="FO16" s="35">
        <v>86.3</v>
      </c>
      <c r="FP16" s="35">
        <v>86.9</v>
      </c>
      <c r="FQ16" s="35">
        <v>86.8</v>
      </c>
      <c r="FR16" s="35">
        <v>86.6</v>
      </c>
      <c r="FS16" s="35">
        <v>86.8</v>
      </c>
      <c r="FT16" s="35">
        <v>87.5</v>
      </c>
      <c r="FU16" s="35">
        <v>88.9</v>
      </c>
      <c r="FV16" s="35">
        <v>90.9</v>
      </c>
      <c r="FW16" s="35">
        <v>92.6</v>
      </c>
      <c r="FX16" s="35">
        <v>94.2</v>
      </c>
      <c r="FY16" s="35">
        <v>95.7</v>
      </c>
      <c r="FZ16" s="35">
        <v>99.4</v>
      </c>
      <c r="GA16" s="35">
        <v>100.7</v>
      </c>
      <c r="GB16" s="35">
        <v>101.6</v>
      </c>
      <c r="GC16" s="35">
        <v>101.9</v>
      </c>
      <c r="GD16" s="35">
        <v>103</v>
      </c>
      <c r="GE16" s="35">
        <v>103.1</v>
      </c>
      <c r="GF16" s="35">
        <v>103.4</v>
      </c>
      <c r="GG16" s="35">
        <v>104</v>
      </c>
      <c r="GH16" s="35">
        <v>105.4</v>
      </c>
      <c r="GI16" s="35">
        <v>106.1</v>
      </c>
      <c r="GJ16" s="35">
        <v>107.1</v>
      </c>
      <c r="GK16" s="35">
        <v>108.5</v>
      </c>
      <c r="GL16" s="35">
        <v>110.7</v>
      </c>
      <c r="GM16" s="35">
        <v>112.3</v>
      </c>
      <c r="GN16" s="35">
        <v>113.9</v>
      </c>
      <c r="GO16" s="35">
        <v>115.5</v>
      </c>
      <c r="GP16" s="35">
        <v>116.8</v>
      </c>
      <c r="GQ16" s="35">
        <v>117.4</v>
      </c>
      <c r="GR16" s="35">
        <v>117</v>
      </c>
      <c r="GS16" s="35">
        <v>115.5</v>
      </c>
      <c r="GT16" s="35">
        <v>110</v>
      </c>
      <c r="GU16" s="35">
        <v>108</v>
      </c>
      <c r="GV16" s="35">
        <v>107</v>
      </c>
      <c r="GW16" s="35">
        <v>107.3</v>
      </c>
      <c r="GX16" s="35">
        <v>108.3</v>
      </c>
      <c r="GY16" s="35">
        <v>109.6</v>
      </c>
      <c r="GZ16" s="35">
        <v>111</v>
      </c>
      <c r="HA16" s="35">
        <v>112.4</v>
      </c>
      <c r="HB16" s="35">
        <v>114.1</v>
      </c>
      <c r="HC16">
        <v>115.4</v>
      </c>
      <c r="HD16">
        <v>116.4</v>
      </c>
      <c r="HE16">
        <v>117</v>
      </c>
      <c r="HF16">
        <v>117.8</v>
      </c>
    </row>
    <row r="17" spans="1:214" x14ac:dyDescent="0.35">
      <c r="A17" s="35" t="s">
        <v>2140</v>
      </c>
      <c r="B17" s="35">
        <v>104.6</v>
      </c>
      <c r="C17" s="35">
        <v>105.5</v>
      </c>
      <c r="D17" s="35">
        <v>100.7</v>
      </c>
      <c r="E17" s="35">
        <v>101.5</v>
      </c>
      <c r="F17" s="35">
        <v>98.3</v>
      </c>
      <c r="G17" s="35">
        <v>100.7</v>
      </c>
      <c r="H17" s="35">
        <v>102.3</v>
      </c>
      <c r="I17" s="35">
        <v>105.5</v>
      </c>
      <c r="J17" s="35">
        <v>119.8</v>
      </c>
      <c r="K17" s="35">
        <v>123.4</v>
      </c>
      <c r="L17" s="35">
        <v>124.3</v>
      </c>
      <c r="M17" s="35">
        <v>127.1</v>
      </c>
      <c r="N17" s="35">
        <v>126.4</v>
      </c>
      <c r="O17" s="35">
        <v>129.19999999999999</v>
      </c>
      <c r="P17" s="35">
        <v>134.1</v>
      </c>
      <c r="Q17" s="35">
        <v>140</v>
      </c>
      <c r="R17" s="35">
        <v>142.80000000000001</v>
      </c>
      <c r="S17" s="35">
        <v>148.9</v>
      </c>
      <c r="T17" s="35">
        <v>154.9</v>
      </c>
      <c r="U17" s="35">
        <v>157.6</v>
      </c>
      <c r="V17" s="35">
        <v>158</v>
      </c>
      <c r="W17" s="35">
        <v>121.1</v>
      </c>
      <c r="X17" s="35">
        <v>152.80000000000001</v>
      </c>
      <c r="Y17" s="35">
        <v>158.5</v>
      </c>
      <c r="Z17" s="35">
        <v>162.5</v>
      </c>
      <c r="AA17" s="35">
        <v>169.3</v>
      </c>
      <c r="AB17" s="35">
        <v>176.1</v>
      </c>
      <c r="AC17" s="35">
        <v>182.7</v>
      </c>
      <c r="AD17" s="35">
        <v>188.8</v>
      </c>
      <c r="AE17" s="35">
        <v>195.7</v>
      </c>
      <c r="AF17" s="35">
        <v>198.6</v>
      </c>
      <c r="AG17" s="35">
        <v>208.5</v>
      </c>
      <c r="AH17" s="35">
        <v>212</v>
      </c>
      <c r="AI17" s="35">
        <v>223.1</v>
      </c>
      <c r="AJ17" s="35">
        <v>236.3</v>
      </c>
      <c r="AK17" s="35">
        <v>247.2</v>
      </c>
      <c r="AL17" s="35">
        <v>253.6</v>
      </c>
      <c r="AM17" s="35">
        <v>262</v>
      </c>
      <c r="AN17" s="35">
        <v>274.8</v>
      </c>
      <c r="AO17" s="35">
        <v>285.2</v>
      </c>
      <c r="AP17" s="35">
        <v>284.8</v>
      </c>
      <c r="AQ17" s="35">
        <v>292.2</v>
      </c>
      <c r="AR17" s="35">
        <v>302.2</v>
      </c>
      <c r="AS17" s="35">
        <v>318.89999999999998</v>
      </c>
      <c r="AT17" s="35">
        <v>330.9</v>
      </c>
      <c r="AU17" s="35">
        <v>342.7</v>
      </c>
      <c r="AV17" s="35">
        <v>356.9</v>
      </c>
      <c r="AW17" s="35">
        <v>352.7</v>
      </c>
      <c r="AX17" s="35">
        <v>352.5</v>
      </c>
      <c r="AY17" s="35">
        <v>359.7</v>
      </c>
      <c r="AZ17" s="35">
        <v>350.1</v>
      </c>
      <c r="BA17" s="35">
        <v>356.6</v>
      </c>
      <c r="BB17" s="35">
        <v>350.9</v>
      </c>
      <c r="BC17" s="35">
        <v>359.6</v>
      </c>
      <c r="BD17" s="35">
        <v>345.4</v>
      </c>
      <c r="BE17" s="35">
        <v>355.7</v>
      </c>
      <c r="BF17" s="35">
        <v>361.2</v>
      </c>
      <c r="BG17" s="35">
        <v>370.4</v>
      </c>
      <c r="BH17" s="35">
        <v>384.1</v>
      </c>
      <c r="BI17" s="35">
        <v>395.9</v>
      </c>
      <c r="BJ17" s="35">
        <v>432.3</v>
      </c>
      <c r="BK17" s="35">
        <v>388.5</v>
      </c>
      <c r="BL17" s="35">
        <v>421.5</v>
      </c>
      <c r="BM17" s="35">
        <v>428.9</v>
      </c>
      <c r="BN17" s="35">
        <v>426.3</v>
      </c>
      <c r="BO17" s="35">
        <v>429.4</v>
      </c>
      <c r="BP17" s="35">
        <v>439.5</v>
      </c>
      <c r="BQ17" s="35">
        <v>456</v>
      </c>
      <c r="BR17" s="35">
        <v>450.7</v>
      </c>
      <c r="BS17" s="35">
        <v>511.7</v>
      </c>
      <c r="BT17" s="35">
        <v>489</v>
      </c>
      <c r="BU17" s="35">
        <v>507</v>
      </c>
      <c r="BV17" s="35">
        <v>502.1</v>
      </c>
      <c r="BW17" s="35">
        <v>497.8</v>
      </c>
      <c r="BX17" s="35">
        <v>506.7</v>
      </c>
      <c r="BY17" s="35">
        <v>517.20000000000005</v>
      </c>
      <c r="BZ17" s="35">
        <v>552.9</v>
      </c>
      <c r="CA17" s="35">
        <v>566.70000000000005</v>
      </c>
      <c r="CB17" s="35">
        <v>571.6</v>
      </c>
      <c r="CC17" s="35">
        <v>579.79999999999995</v>
      </c>
      <c r="CD17" s="35">
        <v>582.5</v>
      </c>
      <c r="CE17" s="35">
        <v>594.6</v>
      </c>
      <c r="CF17" s="35">
        <v>600.70000000000005</v>
      </c>
      <c r="CG17" s="35">
        <v>600.79999999999995</v>
      </c>
      <c r="CH17" s="35">
        <v>580.79999999999995</v>
      </c>
      <c r="CI17" s="35">
        <v>585.9</v>
      </c>
      <c r="CJ17" s="35">
        <v>590.20000000000005</v>
      </c>
      <c r="CK17" s="35">
        <v>598.70000000000005</v>
      </c>
      <c r="CL17" s="35">
        <v>588.9</v>
      </c>
      <c r="CM17" s="35">
        <v>607.20000000000005</v>
      </c>
      <c r="CN17" s="35">
        <v>616.20000000000005</v>
      </c>
      <c r="CO17" s="35">
        <v>638.9</v>
      </c>
      <c r="CP17" s="35">
        <v>617</v>
      </c>
      <c r="CQ17" s="35">
        <v>643.5</v>
      </c>
      <c r="CR17" s="35">
        <v>659.2</v>
      </c>
      <c r="CS17" s="35">
        <v>675.3</v>
      </c>
      <c r="CT17" s="35">
        <v>673.7</v>
      </c>
      <c r="CU17" s="35">
        <v>697.8</v>
      </c>
      <c r="CV17" s="35">
        <v>695.4</v>
      </c>
      <c r="CW17" s="35">
        <v>705.4</v>
      </c>
      <c r="CX17" s="35">
        <v>724.6</v>
      </c>
      <c r="CY17" s="35">
        <v>746.8</v>
      </c>
      <c r="CZ17" s="35">
        <v>752.2</v>
      </c>
      <c r="DA17" s="35">
        <v>770</v>
      </c>
      <c r="DB17" s="35">
        <v>801.7</v>
      </c>
      <c r="DC17" s="35">
        <v>839.6</v>
      </c>
      <c r="DD17" s="35">
        <v>843.5</v>
      </c>
      <c r="DE17" s="35">
        <v>863.5</v>
      </c>
      <c r="DF17" s="35">
        <v>902.1</v>
      </c>
      <c r="DG17" s="35">
        <v>916.2</v>
      </c>
      <c r="DH17" s="35">
        <v>941.1</v>
      </c>
      <c r="DI17" s="35">
        <v>967.8</v>
      </c>
      <c r="DJ17" s="35">
        <v>996.1</v>
      </c>
      <c r="DK17" s="35">
        <v>1022.4</v>
      </c>
      <c r="DL17" s="35">
        <v>1043.2</v>
      </c>
      <c r="DM17" s="35">
        <v>1068</v>
      </c>
      <c r="DN17" s="35">
        <v>1077.9000000000001</v>
      </c>
      <c r="DO17" s="35">
        <v>1095.2</v>
      </c>
      <c r="DP17" s="35">
        <v>1120.5999999999999</v>
      </c>
      <c r="DQ17" s="35">
        <v>1154</v>
      </c>
      <c r="DR17" s="35">
        <v>1208.8</v>
      </c>
      <c r="DS17" s="35">
        <v>1230.2</v>
      </c>
      <c r="DT17" s="35">
        <v>1247.7</v>
      </c>
      <c r="DU17" s="35">
        <v>1258.7</v>
      </c>
      <c r="DV17" s="35">
        <v>1301.9000000000001</v>
      </c>
      <c r="DW17" s="35">
        <v>1308.9000000000001</v>
      </c>
      <c r="DX17" s="35">
        <v>1113.5999999999999</v>
      </c>
      <c r="DY17" s="35">
        <v>1231.8</v>
      </c>
      <c r="DZ17" s="35">
        <v>1075.2</v>
      </c>
      <c r="EA17" s="35">
        <v>1051</v>
      </c>
      <c r="EB17" s="35">
        <v>1044.0999999999999</v>
      </c>
      <c r="EC17" s="35">
        <v>1038.4000000000001</v>
      </c>
      <c r="ED17" s="35">
        <v>1021.3</v>
      </c>
      <c r="EE17" s="35">
        <v>1020.8</v>
      </c>
      <c r="EF17" s="35">
        <v>950.7</v>
      </c>
      <c r="EG17" s="35">
        <v>1021.3</v>
      </c>
      <c r="EH17" s="35">
        <v>1012.3</v>
      </c>
      <c r="EI17" s="35">
        <v>1026.8</v>
      </c>
      <c r="EJ17" s="35">
        <v>1064.4000000000001</v>
      </c>
      <c r="EK17" s="35">
        <v>1091.5999999999999</v>
      </c>
      <c r="EL17" s="35">
        <v>1172.3</v>
      </c>
      <c r="EM17" s="35">
        <v>1196.3</v>
      </c>
      <c r="EN17" s="35">
        <v>1225.5</v>
      </c>
      <c r="EO17" s="35">
        <v>1255.8</v>
      </c>
      <c r="EP17" s="35">
        <v>1320.5</v>
      </c>
      <c r="EQ17" s="35">
        <v>1351.3</v>
      </c>
      <c r="ER17" s="35">
        <v>1358.6</v>
      </c>
      <c r="ES17" s="35">
        <v>1397.5</v>
      </c>
      <c r="ET17" s="35">
        <v>1466.5</v>
      </c>
      <c r="EU17" s="35">
        <v>1495.9</v>
      </c>
      <c r="EV17" s="35">
        <v>1498.9</v>
      </c>
      <c r="EW17" s="35">
        <v>1508.6</v>
      </c>
      <c r="EX17" s="35">
        <v>1535.1</v>
      </c>
      <c r="EY17" s="35">
        <v>1552.5</v>
      </c>
      <c r="EZ17" s="35">
        <v>1497.5</v>
      </c>
      <c r="FA17" s="35">
        <v>1444.9</v>
      </c>
      <c r="FB17" s="35">
        <v>1202.4000000000001</v>
      </c>
      <c r="FC17" s="35">
        <v>1131.0999999999999</v>
      </c>
      <c r="FD17" s="35">
        <v>1135.3</v>
      </c>
      <c r="FE17" s="35">
        <v>1140.7</v>
      </c>
      <c r="FF17" s="35">
        <v>1191.8</v>
      </c>
      <c r="FG17" s="35">
        <v>1213.2</v>
      </c>
      <c r="FH17" s="35">
        <v>1256.3</v>
      </c>
      <c r="FI17" s="35">
        <v>1289.0999999999999</v>
      </c>
      <c r="FJ17" s="35">
        <v>1426.6</v>
      </c>
      <c r="FK17" s="35">
        <v>1445.9</v>
      </c>
      <c r="FL17" s="35">
        <v>1471.4</v>
      </c>
      <c r="FM17" s="35">
        <v>1470.9</v>
      </c>
      <c r="FN17" s="35">
        <v>1468.3</v>
      </c>
      <c r="FO17" s="35">
        <v>1487.7</v>
      </c>
      <c r="FP17" s="35">
        <v>1510</v>
      </c>
      <c r="FQ17" s="35">
        <v>1572</v>
      </c>
      <c r="FR17" s="35">
        <v>1650</v>
      </c>
      <c r="FS17" s="35">
        <v>1682.5</v>
      </c>
      <c r="FT17" s="35">
        <v>1674.9</v>
      </c>
      <c r="FU17" s="35">
        <v>1698.1</v>
      </c>
      <c r="FV17" s="35">
        <v>1744.8</v>
      </c>
      <c r="FW17" s="35">
        <v>1758.4</v>
      </c>
      <c r="FX17" s="35">
        <v>1798.6</v>
      </c>
      <c r="FY17" s="35">
        <v>1836.5</v>
      </c>
      <c r="FZ17" s="35">
        <v>1904.6</v>
      </c>
      <c r="GA17" s="35">
        <v>1943</v>
      </c>
      <c r="GB17" s="35">
        <v>1947.3</v>
      </c>
      <c r="GC17" s="35">
        <v>1964.9</v>
      </c>
      <c r="GD17" s="35">
        <v>1924.6</v>
      </c>
      <c r="GE17" s="35">
        <v>1943.4</v>
      </c>
      <c r="GF17" s="35">
        <v>1972</v>
      </c>
      <c r="GG17" s="35">
        <v>1992.9</v>
      </c>
      <c r="GH17" s="35">
        <v>2004.1</v>
      </c>
      <c r="GI17" s="35">
        <v>2012</v>
      </c>
      <c r="GJ17" s="35">
        <v>2054.8000000000002</v>
      </c>
      <c r="GK17" s="35">
        <v>2123.6</v>
      </c>
      <c r="GL17" s="35">
        <v>2072.8000000000002</v>
      </c>
      <c r="GM17" s="35">
        <v>2057.6999999999998</v>
      </c>
      <c r="GN17" s="35">
        <v>2086</v>
      </c>
      <c r="GO17" s="35">
        <v>2083.1</v>
      </c>
      <c r="GP17" s="35">
        <v>2160.1999999999998</v>
      </c>
      <c r="GQ17" s="35">
        <v>2221.6</v>
      </c>
      <c r="GR17" s="35">
        <v>2195.8000000000002</v>
      </c>
      <c r="GS17" s="35">
        <v>2216</v>
      </c>
      <c r="GT17" s="35">
        <v>2249.1</v>
      </c>
      <c r="GU17" s="35">
        <v>2098.1999999999998</v>
      </c>
      <c r="GV17" s="35">
        <v>2237.5</v>
      </c>
      <c r="GW17" s="35">
        <v>2360.6999999999998</v>
      </c>
      <c r="GX17" s="35">
        <v>2509</v>
      </c>
      <c r="GY17" s="35">
        <v>2638.5</v>
      </c>
      <c r="GZ17" s="35">
        <v>2693.2</v>
      </c>
      <c r="HA17" s="35">
        <v>2806.1</v>
      </c>
      <c r="HB17" s="35">
        <v>3145.5</v>
      </c>
      <c r="HC17">
        <v>3188.5</v>
      </c>
      <c r="HD17">
        <v>3236.5</v>
      </c>
      <c r="HE17">
        <v>3232.3</v>
      </c>
      <c r="HF17">
        <v>2940</v>
      </c>
    </row>
    <row r="18" spans="1:214" x14ac:dyDescent="0.35">
      <c r="A18" s="35" t="s">
        <v>2141</v>
      </c>
      <c r="B18" s="35">
        <v>88.5</v>
      </c>
      <c r="C18" s="35">
        <v>90.5</v>
      </c>
      <c r="D18" s="35">
        <v>92.5</v>
      </c>
      <c r="E18" s="35">
        <v>94.1</v>
      </c>
      <c r="F18" s="35">
        <v>97.7</v>
      </c>
      <c r="G18" s="35">
        <v>98.9</v>
      </c>
      <c r="H18" s="35">
        <v>101.7</v>
      </c>
      <c r="I18" s="35">
        <v>103.7</v>
      </c>
      <c r="J18" s="35">
        <v>104.6</v>
      </c>
      <c r="K18" s="35">
        <v>106.8</v>
      </c>
      <c r="L18" s="35">
        <v>108.9</v>
      </c>
      <c r="M18" s="35">
        <v>111.5</v>
      </c>
      <c r="N18" s="35">
        <v>114.6</v>
      </c>
      <c r="O18" s="35">
        <v>116.2</v>
      </c>
      <c r="P18" s="35">
        <v>118.4</v>
      </c>
      <c r="Q18" s="35">
        <v>119.7</v>
      </c>
      <c r="R18" s="35">
        <v>120.8</v>
      </c>
      <c r="S18" s="35">
        <v>124.1</v>
      </c>
      <c r="T18" s="35">
        <v>127.1</v>
      </c>
      <c r="U18" s="35">
        <v>127.7</v>
      </c>
      <c r="V18" s="35">
        <v>128.80000000000001</v>
      </c>
      <c r="W18" s="35">
        <v>133</v>
      </c>
      <c r="X18" s="35">
        <v>138.19999999999999</v>
      </c>
      <c r="Y18" s="35">
        <v>141.1</v>
      </c>
      <c r="Z18" s="35">
        <v>141.69999999999999</v>
      </c>
      <c r="AA18" s="35">
        <v>144.9</v>
      </c>
      <c r="AB18" s="35">
        <v>147.69999999999999</v>
      </c>
      <c r="AC18" s="35">
        <v>151.30000000000001</v>
      </c>
      <c r="AD18" s="35">
        <v>154.80000000000001</v>
      </c>
      <c r="AE18" s="35">
        <v>158</v>
      </c>
      <c r="AF18" s="35">
        <v>161.5</v>
      </c>
      <c r="AG18" s="35">
        <v>164.3</v>
      </c>
      <c r="AH18" s="35">
        <v>166.9</v>
      </c>
      <c r="AI18" s="35">
        <v>173.1</v>
      </c>
      <c r="AJ18" s="35">
        <v>169.7</v>
      </c>
      <c r="AK18" s="35">
        <v>173.9</v>
      </c>
      <c r="AL18" s="35">
        <v>176.4</v>
      </c>
      <c r="AM18" s="35">
        <v>178.5</v>
      </c>
      <c r="AN18" s="35">
        <v>180.9</v>
      </c>
      <c r="AO18" s="35">
        <v>184.6</v>
      </c>
      <c r="AP18" s="35">
        <v>189.5</v>
      </c>
      <c r="AQ18" s="35">
        <v>196.9</v>
      </c>
      <c r="AR18" s="35">
        <v>204.3</v>
      </c>
      <c r="AS18" s="35">
        <v>210.6</v>
      </c>
      <c r="AT18" s="35">
        <v>230.8</v>
      </c>
      <c r="AU18" s="35">
        <v>235.5</v>
      </c>
      <c r="AV18" s="35">
        <v>237.5</v>
      </c>
      <c r="AW18" s="35">
        <v>238.8</v>
      </c>
      <c r="AX18" s="35">
        <v>237.4</v>
      </c>
      <c r="AY18" s="35">
        <v>238.3</v>
      </c>
      <c r="AZ18" s="35">
        <v>241.8</v>
      </c>
      <c r="BA18" s="35">
        <v>246.3</v>
      </c>
      <c r="BB18" s="35">
        <v>250.7</v>
      </c>
      <c r="BC18" s="35">
        <v>261.2</v>
      </c>
      <c r="BD18" s="35">
        <v>267.5</v>
      </c>
      <c r="BE18" s="35">
        <v>273.7</v>
      </c>
      <c r="BF18" s="35">
        <v>281.60000000000002</v>
      </c>
      <c r="BG18" s="35">
        <v>287.7</v>
      </c>
      <c r="BH18" s="35">
        <v>292.2</v>
      </c>
      <c r="BI18" s="35">
        <v>297.5</v>
      </c>
      <c r="BJ18" s="35">
        <v>301</v>
      </c>
      <c r="BK18" s="35">
        <v>305.7</v>
      </c>
      <c r="BL18" s="35">
        <v>311.89999999999998</v>
      </c>
      <c r="BM18" s="35">
        <v>313.89999999999998</v>
      </c>
      <c r="BN18" s="35">
        <v>317.5</v>
      </c>
      <c r="BO18" s="35">
        <v>319.5</v>
      </c>
      <c r="BP18" s="35">
        <v>326.2</v>
      </c>
      <c r="BQ18" s="35">
        <v>330.4</v>
      </c>
      <c r="BR18" s="35">
        <v>336</v>
      </c>
      <c r="BS18" s="35">
        <v>344.4</v>
      </c>
      <c r="BT18" s="35">
        <v>352.4</v>
      </c>
      <c r="BU18" s="35">
        <v>357.4</v>
      </c>
      <c r="BV18" s="35">
        <v>365.2</v>
      </c>
      <c r="BW18" s="35">
        <v>372.5</v>
      </c>
      <c r="BX18" s="35">
        <v>377.5</v>
      </c>
      <c r="BY18" s="35">
        <v>382.6</v>
      </c>
      <c r="BZ18" s="35">
        <v>391</v>
      </c>
      <c r="CA18" s="35">
        <v>397.5</v>
      </c>
      <c r="CB18" s="35">
        <v>403.9</v>
      </c>
      <c r="CC18" s="35">
        <v>403</v>
      </c>
      <c r="CD18" s="35">
        <v>419.5</v>
      </c>
      <c r="CE18" s="35">
        <v>419.5</v>
      </c>
      <c r="CF18" s="35">
        <v>426.8</v>
      </c>
      <c r="CG18" s="35">
        <v>434.2</v>
      </c>
      <c r="CH18" s="35">
        <v>444</v>
      </c>
      <c r="CI18" s="35">
        <v>451.6</v>
      </c>
      <c r="CJ18" s="35">
        <v>461.3</v>
      </c>
      <c r="CK18" s="35">
        <v>471.5</v>
      </c>
      <c r="CL18" s="35">
        <v>476.4</v>
      </c>
      <c r="CM18" s="35">
        <v>481.2</v>
      </c>
      <c r="CN18" s="35">
        <v>486</v>
      </c>
      <c r="CO18" s="35">
        <v>489.9</v>
      </c>
      <c r="CP18" s="35">
        <v>489.7</v>
      </c>
      <c r="CQ18" s="35">
        <v>497.6</v>
      </c>
      <c r="CR18" s="35">
        <v>504.9</v>
      </c>
      <c r="CS18" s="35">
        <v>520.29999999999995</v>
      </c>
      <c r="CT18" s="35">
        <v>531.5</v>
      </c>
      <c r="CU18" s="35">
        <v>544.4</v>
      </c>
      <c r="CV18" s="35">
        <v>550.5</v>
      </c>
      <c r="CW18" s="35">
        <v>554.6</v>
      </c>
      <c r="CX18" s="35">
        <v>555.29999999999995</v>
      </c>
      <c r="CY18" s="35">
        <v>553.6</v>
      </c>
      <c r="CZ18" s="35">
        <v>558.9</v>
      </c>
      <c r="DA18" s="35">
        <v>563.79999999999995</v>
      </c>
      <c r="DB18" s="35">
        <v>570.4</v>
      </c>
      <c r="DC18" s="35">
        <v>577.70000000000005</v>
      </c>
      <c r="DD18" s="35">
        <v>581.79999999999995</v>
      </c>
      <c r="DE18" s="35">
        <v>593.20000000000005</v>
      </c>
      <c r="DF18" s="35">
        <v>595.70000000000005</v>
      </c>
      <c r="DG18" s="35">
        <v>610.4</v>
      </c>
      <c r="DH18" s="35">
        <v>616.6</v>
      </c>
      <c r="DI18" s="35">
        <v>623.79999999999995</v>
      </c>
      <c r="DJ18" s="35">
        <v>629.1</v>
      </c>
      <c r="DK18" s="35">
        <v>635.5</v>
      </c>
      <c r="DL18" s="35">
        <v>643</v>
      </c>
      <c r="DM18" s="35">
        <v>650.29999999999995</v>
      </c>
      <c r="DN18" s="35">
        <v>657.5</v>
      </c>
      <c r="DO18" s="35">
        <v>667.1</v>
      </c>
      <c r="DP18" s="35">
        <v>679</v>
      </c>
      <c r="DQ18" s="35">
        <v>690.7</v>
      </c>
      <c r="DR18" s="35">
        <v>698.6</v>
      </c>
      <c r="DS18" s="35">
        <v>707.3</v>
      </c>
      <c r="DT18" s="35">
        <v>711.3</v>
      </c>
      <c r="DU18" s="35">
        <v>717.1</v>
      </c>
      <c r="DV18" s="35">
        <v>724.2</v>
      </c>
      <c r="DW18" s="35">
        <v>724.1</v>
      </c>
      <c r="DX18" s="35">
        <v>725.3</v>
      </c>
      <c r="DY18" s="35">
        <v>737.1</v>
      </c>
      <c r="DZ18" s="35">
        <v>744</v>
      </c>
      <c r="EA18" s="35">
        <v>751.3</v>
      </c>
      <c r="EB18" s="35">
        <v>768.5</v>
      </c>
      <c r="EC18" s="35">
        <v>776.3</v>
      </c>
      <c r="ED18" s="35">
        <v>788.6</v>
      </c>
      <c r="EE18" s="35">
        <v>800</v>
      </c>
      <c r="EF18" s="35">
        <v>813</v>
      </c>
      <c r="EG18" s="35">
        <v>820.9</v>
      </c>
      <c r="EH18" s="35">
        <v>847.3</v>
      </c>
      <c r="EI18" s="35">
        <v>859.9</v>
      </c>
      <c r="EJ18" s="35">
        <v>871.3</v>
      </c>
      <c r="EK18" s="35">
        <v>893.8</v>
      </c>
      <c r="EL18" s="35">
        <v>915.1</v>
      </c>
      <c r="EM18" s="35">
        <v>937.3</v>
      </c>
      <c r="EN18" s="35">
        <v>952.1</v>
      </c>
      <c r="EO18" s="35">
        <v>965.3</v>
      </c>
      <c r="EP18" s="35">
        <v>981.8</v>
      </c>
      <c r="EQ18" s="35">
        <v>991.7</v>
      </c>
      <c r="ER18" s="35">
        <v>1004.1</v>
      </c>
      <c r="ES18" s="35">
        <v>1010.5</v>
      </c>
      <c r="ET18" s="35">
        <v>1025.9000000000001</v>
      </c>
      <c r="EU18" s="35">
        <v>1033.0999999999999</v>
      </c>
      <c r="EV18" s="35">
        <v>1035.8</v>
      </c>
      <c r="EW18" s="35">
        <v>1052.5999999999999</v>
      </c>
      <c r="EX18" s="35">
        <v>1045.7</v>
      </c>
      <c r="EY18" s="35">
        <v>1054.7</v>
      </c>
      <c r="EZ18" s="35">
        <v>1058.5</v>
      </c>
      <c r="FA18" s="35">
        <v>1040</v>
      </c>
      <c r="FB18" s="35">
        <v>1015.9</v>
      </c>
      <c r="FC18" s="35">
        <v>1017.3</v>
      </c>
      <c r="FD18" s="35">
        <v>1028.8</v>
      </c>
      <c r="FE18" s="35">
        <v>1045.3</v>
      </c>
      <c r="FF18" s="35">
        <v>1044.5999999999999</v>
      </c>
      <c r="FG18" s="35">
        <v>1062.0999999999999</v>
      </c>
      <c r="FH18" s="35">
        <v>1069.0999999999999</v>
      </c>
      <c r="FI18" s="35">
        <v>1076.4000000000001</v>
      </c>
      <c r="FJ18" s="35">
        <v>1091.5</v>
      </c>
      <c r="FK18" s="35">
        <v>1105.5</v>
      </c>
      <c r="FL18" s="35">
        <v>1103.9000000000001</v>
      </c>
      <c r="FM18" s="35">
        <v>1114</v>
      </c>
      <c r="FN18" s="35">
        <v>1130.9000000000001</v>
      </c>
      <c r="FO18" s="35">
        <v>1133.9000000000001</v>
      </c>
      <c r="FP18" s="35">
        <v>1131.3</v>
      </c>
      <c r="FQ18" s="35">
        <v>1148.4000000000001</v>
      </c>
      <c r="FR18" s="35">
        <v>1174.5999999999999</v>
      </c>
      <c r="FS18" s="35">
        <v>1180.8</v>
      </c>
      <c r="FT18" s="35">
        <v>1195</v>
      </c>
      <c r="FU18" s="35">
        <v>1204.0999999999999</v>
      </c>
      <c r="FV18" s="35">
        <v>1220.5</v>
      </c>
      <c r="FW18" s="35">
        <v>1237.5</v>
      </c>
      <c r="FX18" s="35">
        <v>1248.4000000000001</v>
      </c>
      <c r="FY18" s="35">
        <v>1257</v>
      </c>
      <c r="FZ18" s="35">
        <v>1262.2</v>
      </c>
      <c r="GA18" s="35">
        <v>1273.0999999999999</v>
      </c>
      <c r="GB18" s="35">
        <v>1275.5</v>
      </c>
      <c r="GC18" s="35">
        <v>1289.9000000000001</v>
      </c>
      <c r="GD18" s="35">
        <v>1295.9000000000001</v>
      </c>
      <c r="GE18" s="35">
        <v>1301</v>
      </c>
      <c r="GF18" s="35">
        <v>1320.8</v>
      </c>
      <c r="GG18" s="35">
        <v>1328.9</v>
      </c>
      <c r="GH18" s="35">
        <v>1340</v>
      </c>
      <c r="GI18" s="35">
        <v>1356.6</v>
      </c>
      <c r="GJ18" s="35">
        <v>1376.1</v>
      </c>
      <c r="GK18" s="35">
        <v>1397.1</v>
      </c>
      <c r="GL18" s="35">
        <v>1427.5</v>
      </c>
      <c r="GM18" s="35">
        <v>1446.8</v>
      </c>
      <c r="GN18" s="35">
        <v>1469.3</v>
      </c>
      <c r="GO18" s="35">
        <v>1502.1</v>
      </c>
      <c r="GP18" s="35">
        <v>1504.7</v>
      </c>
      <c r="GQ18" s="35">
        <v>1516.1</v>
      </c>
      <c r="GR18" s="35">
        <v>1549.7</v>
      </c>
      <c r="GS18" s="35">
        <v>1549.6</v>
      </c>
      <c r="GT18" s="35">
        <v>1565.8</v>
      </c>
      <c r="GU18" s="35">
        <v>1426.5</v>
      </c>
      <c r="GV18" s="35">
        <v>1546.5</v>
      </c>
      <c r="GW18" s="35">
        <v>1566.4</v>
      </c>
      <c r="GX18" s="35">
        <v>1583.7</v>
      </c>
      <c r="GY18" s="35">
        <v>1676.7</v>
      </c>
      <c r="GZ18" s="35">
        <v>1680</v>
      </c>
      <c r="HA18" s="35">
        <v>1713.2</v>
      </c>
      <c r="HB18" s="35">
        <v>1750.1</v>
      </c>
      <c r="HC18">
        <v>1775.5</v>
      </c>
      <c r="HD18">
        <v>1785.1</v>
      </c>
      <c r="HE18">
        <v>1779</v>
      </c>
      <c r="HF18">
        <v>1793.2</v>
      </c>
    </row>
    <row r="19" spans="1:214" x14ac:dyDescent="0.35">
      <c r="A19" s="35" t="s">
        <v>2142</v>
      </c>
      <c r="B19" s="35">
        <v>30.7</v>
      </c>
      <c r="C19" s="35">
        <v>30.8</v>
      </c>
      <c r="D19" s="35">
        <v>31.7</v>
      </c>
      <c r="E19" s="35">
        <v>30.2</v>
      </c>
      <c r="F19" s="35">
        <v>34</v>
      </c>
      <c r="G19" s="35">
        <v>34.9</v>
      </c>
      <c r="H19" s="35">
        <v>34.1</v>
      </c>
      <c r="I19" s="35">
        <v>34.6</v>
      </c>
      <c r="J19" s="35">
        <v>36.799999999999997</v>
      </c>
      <c r="K19" s="35">
        <v>37.1</v>
      </c>
      <c r="L19" s="35">
        <v>38.299999999999997</v>
      </c>
      <c r="M19" s="35">
        <v>42.4</v>
      </c>
      <c r="N19" s="35">
        <v>45.3</v>
      </c>
      <c r="O19" s="35">
        <v>45.4</v>
      </c>
      <c r="P19" s="35">
        <v>43.4</v>
      </c>
      <c r="Q19" s="35">
        <v>45.6</v>
      </c>
      <c r="R19" s="35">
        <v>43.7</v>
      </c>
      <c r="S19" s="35">
        <v>45.9</v>
      </c>
      <c r="T19" s="35">
        <v>50.8</v>
      </c>
      <c r="U19" s="35">
        <v>44.6</v>
      </c>
      <c r="V19" s="35">
        <v>37.6</v>
      </c>
      <c r="W19" s="35">
        <v>40.799999999999997</v>
      </c>
      <c r="X19" s="35">
        <v>51.4</v>
      </c>
      <c r="Y19" s="35">
        <v>52.3</v>
      </c>
      <c r="Z19" s="35">
        <v>59.6</v>
      </c>
      <c r="AA19" s="35">
        <v>58.6</v>
      </c>
      <c r="AB19" s="35">
        <v>58.1</v>
      </c>
      <c r="AC19" s="35">
        <v>57.1</v>
      </c>
      <c r="AD19" s="35">
        <v>61.5</v>
      </c>
      <c r="AE19" s="35">
        <v>67.099999999999994</v>
      </c>
      <c r="AF19" s="35">
        <v>69.7</v>
      </c>
      <c r="AG19" s="35">
        <v>70.099999999999994</v>
      </c>
      <c r="AH19" s="35">
        <v>65</v>
      </c>
      <c r="AI19" s="35">
        <v>78.599999999999994</v>
      </c>
      <c r="AJ19" s="35">
        <v>79.099999999999994</v>
      </c>
      <c r="AK19" s="35">
        <v>83.3</v>
      </c>
      <c r="AL19" s="35">
        <v>80.3</v>
      </c>
      <c r="AM19" s="35">
        <v>80.3</v>
      </c>
      <c r="AN19" s="35">
        <v>78.900000000000006</v>
      </c>
      <c r="AO19" s="35">
        <v>75.3</v>
      </c>
      <c r="AP19" s="35">
        <v>83.1</v>
      </c>
      <c r="AQ19" s="35">
        <v>62.6</v>
      </c>
      <c r="AR19" s="35">
        <v>69.900000000000006</v>
      </c>
      <c r="AS19" s="35">
        <v>76.8</v>
      </c>
      <c r="AT19" s="35">
        <v>75.400000000000006</v>
      </c>
      <c r="AU19" s="35">
        <v>65.900000000000006</v>
      </c>
      <c r="AV19" s="35">
        <v>68.400000000000006</v>
      </c>
      <c r="AW19" s="35">
        <v>58.9</v>
      </c>
      <c r="AX19" s="35">
        <v>47.6</v>
      </c>
      <c r="AY19" s="35">
        <v>49</v>
      </c>
      <c r="AZ19" s="35">
        <v>49.8</v>
      </c>
      <c r="BA19" s="35">
        <v>45.1</v>
      </c>
      <c r="BB19" s="35">
        <v>47.1</v>
      </c>
      <c r="BC19" s="35">
        <v>61.9</v>
      </c>
      <c r="BD19" s="35">
        <v>70.7</v>
      </c>
      <c r="BE19" s="35">
        <v>72.400000000000006</v>
      </c>
      <c r="BF19" s="35">
        <v>84.9</v>
      </c>
      <c r="BG19" s="35">
        <v>83.7</v>
      </c>
      <c r="BH19" s="35">
        <v>71.3</v>
      </c>
      <c r="BI19" s="35">
        <v>72.099999999999994</v>
      </c>
      <c r="BJ19" s="35">
        <v>77.7</v>
      </c>
      <c r="BK19" s="35">
        <v>76</v>
      </c>
      <c r="BL19" s="35">
        <v>81.7</v>
      </c>
      <c r="BM19" s="35">
        <v>79.5</v>
      </c>
      <c r="BN19" s="35">
        <v>84.4</v>
      </c>
      <c r="BO19" s="35">
        <v>85.5</v>
      </c>
      <c r="BP19" s="35">
        <v>86.9</v>
      </c>
      <c r="BQ19" s="35">
        <v>97.9</v>
      </c>
      <c r="BR19" s="35">
        <v>98.7</v>
      </c>
      <c r="BS19" s="35">
        <v>111.8</v>
      </c>
      <c r="BT19" s="35">
        <v>116.2</v>
      </c>
      <c r="BU19" s="35">
        <v>110.7</v>
      </c>
      <c r="BV19" s="35">
        <v>108</v>
      </c>
      <c r="BW19" s="35">
        <v>115.3</v>
      </c>
      <c r="BX19" s="35">
        <v>125.1</v>
      </c>
      <c r="BY19" s="35">
        <v>130.9</v>
      </c>
      <c r="BZ19" s="35">
        <v>132.69999999999999</v>
      </c>
      <c r="CA19" s="35">
        <v>118.7</v>
      </c>
      <c r="CB19" s="35">
        <v>114.4</v>
      </c>
      <c r="CC19" s="35">
        <v>113.5</v>
      </c>
      <c r="CD19" s="35">
        <v>112.5</v>
      </c>
      <c r="CE19" s="35">
        <v>116.8</v>
      </c>
      <c r="CF19" s="35">
        <v>119.9</v>
      </c>
      <c r="CG19" s="35">
        <v>118.8</v>
      </c>
      <c r="CH19" s="35">
        <v>115.3</v>
      </c>
      <c r="CI19" s="35">
        <v>110.9</v>
      </c>
      <c r="CJ19" s="35">
        <v>111.9</v>
      </c>
      <c r="CK19" s="35">
        <v>113.1</v>
      </c>
      <c r="CL19" s="35">
        <v>125</v>
      </c>
      <c r="CM19" s="35">
        <v>126.8</v>
      </c>
      <c r="CN19" s="35">
        <v>122.1</v>
      </c>
      <c r="CO19" s="35">
        <v>131.6</v>
      </c>
      <c r="CP19" s="35">
        <v>136.4</v>
      </c>
      <c r="CQ19" s="35">
        <v>148.69999999999999</v>
      </c>
      <c r="CR19" s="35">
        <v>140.69999999999999</v>
      </c>
      <c r="CS19" s="35">
        <v>171.9</v>
      </c>
      <c r="CT19" s="35">
        <v>149.5</v>
      </c>
      <c r="CU19" s="35">
        <v>158</v>
      </c>
      <c r="CV19" s="35">
        <v>173.8</v>
      </c>
      <c r="CW19" s="35">
        <v>183.6</v>
      </c>
      <c r="CX19" s="35">
        <v>187.8</v>
      </c>
      <c r="CY19" s="35">
        <v>184.4</v>
      </c>
      <c r="CZ19" s="35">
        <v>191</v>
      </c>
      <c r="DA19" s="35">
        <v>187.1</v>
      </c>
      <c r="DB19" s="35">
        <v>194.3</v>
      </c>
      <c r="DC19" s="35">
        <v>205.5</v>
      </c>
      <c r="DD19" s="35">
        <v>205.9</v>
      </c>
      <c r="DE19" s="35">
        <v>208.6</v>
      </c>
      <c r="DF19" s="35">
        <v>210</v>
      </c>
      <c r="DG19" s="35">
        <v>214</v>
      </c>
      <c r="DH19" s="35">
        <v>226</v>
      </c>
      <c r="DI19" s="35">
        <v>215.9</v>
      </c>
      <c r="DJ19" s="35">
        <v>213.5</v>
      </c>
      <c r="DK19" s="35">
        <v>209.9</v>
      </c>
      <c r="DL19" s="35">
        <v>215.8</v>
      </c>
      <c r="DM19" s="35">
        <v>211.3</v>
      </c>
      <c r="DN19" s="35">
        <v>222.3</v>
      </c>
      <c r="DO19" s="35">
        <v>219.9</v>
      </c>
      <c r="DP19" s="35">
        <v>223.3</v>
      </c>
      <c r="DQ19" s="35">
        <v>228</v>
      </c>
      <c r="DR19" s="35">
        <v>239.4</v>
      </c>
      <c r="DS19" s="35">
        <v>237.6</v>
      </c>
      <c r="DT19" s="35">
        <v>219</v>
      </c>
      <c r="DU19" s="35">
        <v>221.3</v>
      </c>
      <c r="DV19" s="35">
        <v>185.1</v>
      </c>
      <c r="DW19" s="35">
        <v>179</v>
      </c>
      <c r="DX19" s="35">
        <v>159.30000000000001</v>
      </c>
      <c r="DY19" s="35">
        <v>142.4</v>
      </c>
      <c r="DZ19" s="35">
        <v>143.80000000000001</v>
      </c>
      <c r="EA19" s="35">
        <v>150</v>
      </c>
      <c r="EB19" s="35">
        <v>158</v>
      </c>
      <c r="EC19" s="35">
        <v>175.5</v>
      </c>
      <c r="ED19" s="35">
        <v>196.1</v>
      </c>
      <c r="EE19" s="35">
        <v>192.6</v>
      </c>
      <c r="EF19" s="35">
        <v>213.9</v>
      </c>
      <c r="EG19" s="35">
        <v>236.6</v>
      </c>
      <c r="EH19" s="35">
        <v>247</v>
      </c>
      <c r="EI19" s="35">
        <v>266.8</v>
      </c>
      <c r="EJ19" s="35">
        <v>288.3</v>
      </c>
      <c r="EK19" s="35">
        <v>293.60000000000002</v>
      </c>
      <c r="EL19" s="35">
        <v>370.6</v>
      </c>
      <c r="EM19" s="35">
        <v>359</v>
      </c>
      <c r="EN19" s="35">
        <v>365.2</v>
      </c>
      <c r="EO19" s="35">
        <v>402.9</v>
      </c>
      <c r="EP19" s="35">
        <v>416.9</v>
      </c>
      <c r="EQ19" s="35">
        <v>427.6</v>
      </c>
      <c r="ER19" s="35">
        <v>446.6</v>
      </c>
      <c r="ES19" s="35">
        <v>409.8</v>
      </c>
      <c r="ET19" s="35">
        <v>413.6</v>
      </c>
      <c r="EU19" s="35">
        <v>407.2</v>
      </c>
      <c r="EV19" s="35">
        <v>370.9</v>
      </c>
      <c r="EW19" s="35">
        <v>352.7</v>
      </c>
      <c r="EX19" s="35">
        <v>291.89999999999998</v>
      </c>
      <c r="EY19" s="35">
        <v>278.7</v>
      </c>
      <c r="EZ19" s="35">
        <v>264.39999999999998</v>
      </c>
      <c r="FA19" s="35">
        <v>162.6</v>
      </c>
      <c r="FB19" s="35">
        <v>166.5</v>
      </c>
      <c r="FC19" s="35">
        <v>188.6</v>
      </c>
      <c r="FD19" s="35">
        <v>200.7</v>
      </c>
      <c r="FE19" s="35">
        <v>234.2</v>
      </c>
      <c r="FF19" s="35">
        <v>249.8</v>
      </c>
      <c r="FG19" s="35">
        <v>255.6</v>
      </c>
      <c r="FH19" s="35">
        <v>272.60000000000002</v>
      </c>
      <c r="FI19" s="35">
        <v>284</v>
      </c>
      <c r="FJ19" s="35">
        <v>277.3</v>
      </c>
      <c r="FK19" s="35">
        <v>276.89999999999998</v>
      </c>
      <c r="FL19" s="35">
        <v>248.2</v>
      </c>
      <c r="FM19" s="35">
        <v>287</v>
      </c>
      <c r="FN19" s="35">
        <v>310.7</v>
      </c>
      <c r="FO19" s="35">
        <v>325</v>
      </c>
      <c r="FP19" s="35">
        <v>332.9</v>
      </c>
      <c r="FQ19" s="35">
        <v>332.8</v>
      </c>
      <c r="FR19" s="35">
        <v>350.8</v>
      </c>
      <c r="FS19" s="35">
        <v>347.3</v>
      </c>
      <c r="FT19" s="35">
        <v>354.3</v>
      </c>
      <c r="FU19" s="35">
        <v>356.9</v>
      </c>
      <c r="FV19" s="35">
        <v>392.8</v>
      </c>
      <c r="FW19" s="35">
        <v>415.1</v>
      </c>
      <c r="FX19" s="35">
        <v>387.1</v>
      </c>
      <c r="FY19" s="35">
        <v>389.8</v>
      </c>
      <c r="FZ19" s="35">
        <v>403.5</v>
      </c>
      <c r="GA19" s="35">
        <v>408.5</v>
      </c>
      <c r="GB19" s="35">
        <v>379.6</v>
      </c>
      <c r="GC19" s="35">
        <v>349.7</v>
      </c>
      <c r="GD19" s="35">
        <v>364.6</v>
      </c>
      <c r="GE19" s="35">
        <v>367.7</v>
      </c>
      <c r="GF19" s="35">
        <v>374.8</v>
      </c>
      <c r="GG19" s="35">
        <v>353.8</v>
      </c>
      <c r="GH19" s="35">
        <v>267.39999999999998</v>
      </c>
      <c r="GI19" s="35">
        <v>280</v>
      </c>
      <c r="GJ19" s="35">
        <v>295.39999999999998</v>
      </c>
      <c r="GK19" s="35">
        <v>297</v>
      </c>
      <c r="GL19" s="35">
        <v>262.3</v>
      </c>
      <c r="GM19" s="35">
        <v>288.39999999999998</v>
      </c>
      <c r="GN19" s="35">
        <v>290.3</v>
      </c>
      <c r="GO19" s="35">
        <v>300.5</v>
      </c>
      <c r="GP19" s="35">
        <v>276.39999999999998</v>
      </c>
      <c r="GQ19" s="35">
        <v>290.39999999999998</v>
      </c>
      <c r="GR19" s="35">
        <v>270.3</v>
      </c>
      <c r="GS19" s="35">
        <v>298.3</v>
      </c>
      <c r="GT19" s="35">
        <v>250.8</v>
      </c>
      <c r="GU19" s="35">
        <v>242.8</v>
      </c>
      <c r="GV19" s="35">
        <v>299.3</v>
      </c>
      <c r="GW19" s="35">
        <v>311.3</v>
      </c>
      <c r="GX19" s="35">
        <v>337.7</v>
      </c>
      <c r="GY19" s="35">
        <v>371.7</v>
      </c>
      <c r="GZ19" s="35">
        <v>372.9</v>
      </c>
      <c r="HA19" s="35">
        <v>415.3</v>
      </c>
      <c r="HB19">
        <v>479.7</v>
      </c>
      <c r="HC19">
        <v>463</v>
      </c>
      <c r="HD19">
        <v>441.3</v>
      </c>
      <c r="HE19">
        <v>449.3</v>
      </c>
    </row>
    <row r="20" spans="1:214" x14ac:dyDescent="0.35">
      <c r="A20" s="35" t="s">
        <v>2143</v>
      </c>
      <c r="B20" s="35">
        <v>247.9</v>
      </c>
      <c r="C20" s="35">
        <v>249.1</v>
      </c>
      <c r="D20" s="35">
        <v>254.6</v>
      </c>
      <c r="E20" s="35">
        <v>258.7</v>
      </c>
      <c r="F20" s="35">
        <v>261.89999999999998</v>
      </c>
      <c r="G20" s="35">
        <v>266.10000000000002</v>
      </c>
      <c r="H20" s="35">
        <v>269.8</v>
      </c>
      <c r="I20" s="35">
        <v>272.10000000000002</v>
      </c>
      <c r="J20" s="35">
        <v>282.2</v>
      </c>
      <c r="K20" s="35">
        <v>286.5</v>
      </c>
      <c r="L20" s="35">
        <v>284.3</v>
      </c>
      <c r="M20" s="35">
        <v>291.7</v>
      </c>
      <c r="N20" s="35">
        <v>299.60000000000002</v>
      </c>
      <c r="O20" s="35">
        <v>302.7</v>
      </c>
      <c r="P20" s="35">
        <v>304.2</v>
      </c>
      <c r="Q20" s="35">
        <v>312.60000000000002</v>
      </c>
      <c r="R20" s="35">
        <v>324.60000000000002</v>
      </c>
      <c r="S20" s="35">
        <v>335</v>
      </c>
      <c r="T20" s="35">
        <v>346.7</v>
      </c>
      <c r="U20" s="35">
        <v>359.2</v>
      </c>
      <c r="V20" s="35">
        <v>370.1</v>
      </c>
      <c r="W20" s="35">
        <v>373.4</v>
      </c>
      <c r="X20" s="35">
        <v>385.4</v>
      </c>
      <c r="Y20" s="35">
        <v>395.6</v>
      </c>
      <c r="Z20" s="35">
        <v>401.3</v>
      </c>
      <c r="AA20" s="35">
        <v>401</v>
      </c>
      <c r="AB20" s="35">
        <v>403.5</v>
      </c>
      <c r="AC20" s="35">
        <v>410.8</v>
      </c>
      <c r="AD20" s="35">
        <v>421.2</v>
      </c>
      <c r="AE20" s="35">
        <v>431.4</v>
      </c>
      <c r="AF20" s="35">
        <v>438</v>
      </c>
      <c r="AG20" s="35">
        <v>446.7</v>
      </c>
      <c r="AH20" s="35">
        <v>452.6</v>
      </c>
      <c r="AI20" s="35">
        <v>472.3</v>
      </c>
      <c r="AJ20" s="35">
        <v>484.2</v>
      </c>
      <c r="AK20" s="35">
        <v>496.2</v>
      </c>
      <c r="AL20" s="35">
        <v>501.8</v>
      </c>
      <c r="AM20" s="35">
        <v>516.5</v>
      </c>
      <c r="AN20" s="35">
        <v>533.1</v>
      </c>
      <c r="AO20" s="35">
        <v>547.79999999999995</v>
      </c>
      <c r="AP20" s="35">
        <v>568.79999999999995</v>
      </c>
      <c r="AQ20" s="35">
        <v>588.5</v>
      </c>
      <c r="AR20" s="35">
        <v>592.20000000000005</v>
      </c>
      <c r="AS20" s="35">
        <v>608.9</v>
      </c>
      <c r="AT20" s="35">
        <v>633.4</v>
      </c>
      <c r="AU20" s="35">
        <v>648.70000000000005</v>
      </c>
      <c r="AV20" s="35">
        <v>657.8</v>
      </c>
      <c r="AW20" s="35">
        <v>677.7</v>
      </c>
      <c r="AX20" s="35">
        <v>688.1</v>
      </c>
      <c r="AY20" s="35">
        <v>703.1</v>
      </c>
      <c r="AZ20" s="35">
        <v>717.3</v>
      </c>
      <c r="BA20" s="35">
        <v>737.4</v>
      </c>
      <c r="BB20" s="35">
        <v>747.9</v>
      </c>
      <c r="BC20" s="35">
        <v>761.1</v>
      </c>
      <c r="BD20" s="35">
        <v>782.2</v>
      </c>
      <c r="BE20" s="35">
        <v>775.1</v>
      </c>
      <c r="BF20" s="35">
        <v>794</v>
      </c>
      <c r="BG20" s="35">
        <v>819.1</v>
      </c>
      <c r="BH20" s="35">
        <v>835.7</v>
      </c>
      <c r="BI20" s="35">
        <v>862.8</v>
      </c>
      <c r="BJ20" s="35">
        <v>875.6</v>
      </c>
      <c r="BK20" s="35">
        <v>900.5</v>
      </c>
      <c r="BL20" s="35">
        <v>927.4</v>
      </c>
      <c r="BM20" s="35">
        <v>938.6</v>
      </c>
      <c r="BN20" s="35">
        <v>946.8</v>
      </c>
      <c r="BO20" s="35">
        <v>967.5</v>
      </c>
      <c r="BP20" s="35">
        <v>993.6</v>
      </c>
      <c r="BQ20" s="35">
        <v>996.4</v>
      </c>
      <c r="BR20" s="35">
        <v>1008.7</v>
      </c>
      <c r="BS20" s="35">
        <v>1025.2</v>
      </c>
      <c r="BT20" s="35">
        <v>1036.2</v>
      </c>
      <c r="BU20" s="35">
        <v>1056</v>
      </c>
      <c r="BV20" s="35">
        <v>1056.9000000000001</v>
      </c>
      <c r="BW20" s="35">
        <v>1070.4000000000001</v>
      </c>
      <c r="BX20" s="35">
        <v>1078.2</v>
      </c>
      <c r="BY20" s="35">
        <v>1109.9000000000001</v>
      </c>
      <c r="BZ20" s="35">
        <v>1116.5999999999999</v>
      </c>
      <c r="CA20" s="35">
        <v>1145.8</v>
      </c>
      <c r="CB20" s="35">
        <v>1164.5999999999999</v>
      </c>
      <c r="CC20" s="35">
        <v>1180.5</v>
      </c>
      <c r="CD20" s="35">
        <v>1212.5</v>
      </c>
      <c r="CE20" s="35">
        <v>1230.7</v>
      </c>
      <c r="CF20" s="35">
        <v>1242.5999999999999</v>
      </c>
      <c r="CG20" s="35">
        <v>1268.5</v>
      </c>
      <c r="CH20" s="35">
        <v>1284.2</v>
      </c>
      <c r="CI20" s="35">
        <v>1296.5999999999999</v>
      </c>
      <c r="CJ20" s="35">
        <v>1306.3</v>
      </c>
      <c r="CK20" s="35">
        <v>1308.8</v>
      </c>
      <c r="CL20" s="35">
        <v>1326.4</v>
      </c>
      <c r="CM20" s="35">
        <v>1334.8</v>
      </c>
      <c r="CN20" s="35">
        <v>1354</v>
      </c>
      <c r="CO20" s="35">
        <v>1362.8</v>
      </c>
      <c r="CP20" s="35">
        <v>1351.8</v>
      </c>
      <c r="CQ20" s="35">
        <v>1359.1</v>
      </c>
      <c r="CR20" s="35">
        <v>1367.4</v>
      </c>
      <c r="CS20" s="35">
        <v>1381.4</v>
      </c>
      <c r="CT20" s="35">
        <v>1373.4</v>
      </c>
      <c r="CU20" s="35">
        <v>1389.4</v>
      </c>
      <c r="CV20" s="35">
        <v>1423.4</v>
      </c>
      <c r="CW20" s="35">
        <v>1422.9</v>
      </c>
      <c r="CX20" s="35">
        <v>1437.6</v>
      </c>
      <c r="CY20" s="35">
        <v>1452.9</v>
      </c>
      <c r="CZ20" s="35">
        <v>1455.7</v>
      </c>
      <c r="DA20" s="35">
        <v>1451.6</v>
      </c>
      <c r="DB20" s="35">
        <v>1471.3</v>
      </c>
      <c r="DC20" s="35">
        <v>1487.7</v>
      </c>
      <c r="DD20" s="35">
        <v>1496.7</v>
      </c>
      <c r="DE20" s="35">
        <v>1515.7</v>
      </c>
      <c r="DF20" s="35">
        <v>1516</v>
      </c>
      <c r="DG20" s="35">
        <v>1542.5</v>
      </c>
      <c r="DH20" s="35">
        <v>1555.2</v>
      </c>
      <c r="DI20" s="35">
        <v>1574.8</v>
      </c>
      <c r="DJ20" s="35">
        <v>1568</v>
      </c>
      <c r="DK20" s="35">
        <v>1603.7</v>
      </c>
      <c r="DL20" s="35">
        <v>1627.3</v>
      </c>
      <c r="DM20" s="35">
        <v>1647.5</v>
      </c>
      <c r="DN20" s="35">
        <v>1669.1</v>
      </c>
      <c r="DO20" s="35">
        <v>1694.8</v>
      </c>
      <c r="DP20" s="35">
        <v>1734</v>
      </c>
      <c r="DQ20" s="35">
        <v>1781.7</v>
      </c>
      <c r="DR20" s="35">
        <v>1789.9</v>
      </c>
      <c r="DS20" s="35">
        <v>1822.5</v>
      </c>
      <c r="DT20" s="35">
        <v>1832.1</v>
      </c>
      <c r="DU20" s="35">
        <v>1861.3</v>
      </c>
      <c r="DV20" s="35">
        <v>1906.3</v>
      </c>
      <c r="DW20" s="35">
        <v>1947.7</v>
      </c>
      <c r="DX20" s="35">
        <v>1953.4</v>
      </c>
      <c r="DY20" s="35">
        <v>1992.7</v>
      </c>
      <c r="DZ20" s="35">
        <v>2040</v>
      </c>
      <c r="EA20" s="35">
        <v>2074.5</v>
      </c>
      <c r="EB20" s="35">
        <v>2101.3000000000002</v>
      </c>
      <c r="EC20" s="35">
        <v>2142.1999999999998</v>
      </c>
      <c r="ED20" s="35">
        <v>2172</v>
      </c>
      <c r="EE20" s="35">
        <v>2198.8000000000002</v>
      </c>
      <c r="EF20" s="35">
        <v>2220.4</v>
      </c>
      <c r="EG20" s="35">
        <v>2251.1999999999998</v>
      </c>
      <c r="EH20" s="35">
        <v>2286.6</v>
      </c>
      <c r="EI20" s="35">
        <v>2320.6999999999998</v>
      </c>
      <c r="EJ20" s="35">
        <v>2356.4</v>
      </c>
      <c r="EK20" s="35">
        <v>2388.8000000000002</v>
      </c>
      <c r="EL20" s="35">
        <v>2426.1</v>
      </c>
      <c r="EM20" s="35">
        <v>2452.1999999999998</v>
      </c>
      <c r="EN20" s="35">
        <v>2494.4</v>
      </c>
      <c r="EO20" s="35">
        <v>2528.4</v>
      </c>
      <c r="EP20" s="35">
        <v>2580.1</v>
      </c>
      <c r="EQ20" s="35">
        <v>2610.6</v>
      </c>
      <c r="ER20" s="35">
        <v>2630.3</v>
      </c>
      <c r="ES20" s="35">
        <v>2674.5</v>
      </c>
      <c r="ET20" s="35">
        <v>2718.5</v>
      </c>
      <c r="EU20" s="35">
        <v>2770</v>
      </c>
      <c r="EV20" s="35">
        <v>2808.7</v>
      </c>
      <c r="EW20" s="35">
        <v>2865.1</v>
      </c>
      <c r="EX20" s="35">
        <v>2909.6</v>
      </c>
      <c r="EY20" s="35">
        <v>2971.6</v>
      </c>
      <c r="EZ20" s="35">
        <v>3029</v>
      </c>
      <c r="FA20" s="35">
        <v>3021.8</v>
      </c>
      <c r="FB20" s="35">
        <v>3022</v>
      </c>
      <c r="FC20" s="35">
        <v>3070.5</v>
      </c>
      <c r="FD20" s="35">
        <v>3092.1</v>
      </c>
      <c r="FE20" s="35">
        <v>3120.8</v>
      </c>
      <c r="FF20" s="35">
        <v>3133.8</v>
      </c>
      <c r="FG20" s="35">
        <v>3165.8</v>
      </c>
      <c r="FH20" s="35">
        <v>3158.3</v>
      </c>
      <c r="FI20" s="35">
        <v>3164.3</v>
      </c>
      <c r="FJ20" s="35">
        <v>3155.8</v>
      </c>
      <c r="FK20" s="35">
        <v>3168.3</v>
      </c>
      <c r="FL20" s="35">
        <v>3136.9</v>
      </c>
      <c r="FM20" s="35">
        <v>3130.8</v>
      </c>
      <c r="FN20" s="35">
        <v>3144</v>
      </c>
      <c r="FO20" s="35">
        <v>3130.5</v>
      </c>
      <c r="FP20" s="35">
        <v>3139.1</v>
      </c>
      <c r="FQ20" s="35">
        <v>3132.3</v>
      </c>
      <c r="FR20" s="35">
        <v>3125.4</v>
      </c>
      <c r="FS20" s="35">
        <v>3132.6</v>
      </c>
      <c r="FT20" s="35">
        <v>3134.8</v>
      </c>
      <c r="FU20" s="35">
        <v>3139.3</v>
      </c>
      <c r="FV20" s="35">
        <v>3138.2</v>
      </c>
      <c r="FW20" s="35">
        <v>3154.1</v>
      </c>
      <c r="FX20" s="35">
        <v>3191.8</v>
      </c>
      <c r="FY20" s="35">
        <v>3191.2</v>
      </c>
      <c r="FZ20" s="35">
        <v>3189.3</v>
      </c>
      <c r="GA20" s="35">
        <v>3232</v>
      </c>
      <c r="GB20" s="35">
        <v>3250.6</v>
      </c>
      <c r="GC20" s="35">
        <v>3254.5</v>
      </c>
      <c r="GD20" s="35">
        <v>3270.2</v>
      </c>
      <c r="GE20" s="35">
        <v>3287.4</v>
      </c>
      <c r="GF20" s="35">
        <v>3315.8</v>
      </c>
      <c r="GG20" s="35">
        <v>3338.8</v>
      </c>
      <c r="GH20" s="35">
        <v>3355.3</v>
      </c>
      <c r="GI20" s="35">
        <v>3371.3</v>
      </c>
      <c r="GJ20" s="35">
        <v>3395.1</v>
      </c>
      <c r="GK20" s="35">
        <v>3457.7</v>
      </c>
      <c r="GL20" s="35">
        <v>3503.4</v>
      </c>
      <c r="GM20" s="35">
        <v>3561.7</v>
      </c>
      <c r="GN20" s="35">
        <v>3613.6</v>
      </c>
      <c r="GO20" s="35">
        <v>3636.3</v>
      </c>
      <c r="GP20" s="35">
        <v>3688.3</v>
      </c>
      <c r="GQ20" s="35">
        <v>3744.4</v>
      </c>
      <c r="GR20" s="35">
        <v>3785.1</v>
      </c>
      <c r="GS20" s="35">
        <v>3821.9</v>
      </c>
      <c r="GT20" s="35">
        <v>3883</v>
      </c>
      <c r="GU20" s="35">
        <v>3951.8</v>
      </c>
      <c r="GV20" s="35">
        <v>3922.9</v>
      </c>
      <c r="GW20" s="35">
        <v>3957.8</v>
      </c>
      <c r="GX20" s="35">
        <v>4088.7</v>
      </c>
      <c r="GY20" s="35">
        <v>4124.3999999999996</v>
      </c>
      <c r="GZ20" s="35">
        <v>4183.1000000000004</v>
      </c>
      <c r="HA20" s="35">
        <v>4246.7</v>
      </c>
      <c r="HB20" s="35">
        <v>4311.3999999999996</v>
      </c>
      <c r="HC20">
        <v>4412.8</v>
      </c>
      <c r="HD20">
        <v>4493</v>
      </c>
      <c r="HE20">
        <v>4575.3999999999996</v>
      </c>
      <c r="HF20">
        <v>4646.1000000000004</v>
      </c>
    </row>
    <row r="21" spans="1:214" x14ac:dyDescent="0.35">
      <c r="A21" s="35" t="s">
        <v>2144</v>
      </c>
      <c r="B21" s="35">
        <v>46.2</v>
      </c>
      <c r="C21" s="35">
        <v>46.5</v>
      </c>
      <c r="D21" s="35">
        <v>46.9</v>
      </c>
      <c r="E21" s="35">
        <v>46.7</v>
      </c>
      <c r="F21" s="35">
        <v>50.8</v>
      </c>
      <c r="G21" s="35">
        <v>51.4</v>
      </c>
      <c r="H21" s="35">
        <v>51.6</v>
      </c>
      <c r="I21" s="35">
        <v>52.2</v>
      </c>
      <c r="J21" s="35">
        <v>58.5</v>
      </c>
      <c r="K21" s="35">
        <v>59.2</v>
      </c>
      <c r="L21" s="35">
        <v>59.9</v>
      </c>
      <c r="M21" s="35">
        <v>60.8</v>
      </c>
      <c r="N21" s="35">
        <v>74.099999999999994</v>
      </c>
      <c r="O21" s="35">
        <v>75.3</v>
      </c>
      <c r="P21" s="35">
        <v>76.599999999999994</v>
      </c>
      <c r="Q21" s="35">
        <v>78.099999999999994</v>
      </c>
      <c r="R21" s="35">
        <v>83.7</v>
      </c>
      <c r="S21" s="35">
        <v>85.3</v>
      </c>
      <c r="T21" s="35">
        <v>86.9</v>
      </c>
      <c r="U21" s="35">
        <v>87.1</v>
      </c>
      <c r="V21" s="35">
        <v>88.2</v>
      </c>
      <c r="W21" s="35">
        <v>88.6</v>
      </c>
      <c r="X21" s="35">
        <v>90.3</v>
      </c>
      <c r="Y21" s="35">
        <v>92.4</v>
      </c>
      <c r="Z21" s="35">
        <v>99.6</v>
      </c>
      <c r="AA21" s="35">
        <v>101.1</v>
      </c>
      <c r="AB21" s="35">
        <v>102.8</v>
      </c>
      <c r="AC21" s="35">
        <v>104.4</v>
      </c>
      <c r="AD21" s="35">
        <v>110</v>
      </c>
      <c r="AE21" s="35">
        <v>112.8</v>
      </c>
      <c r="AF21" s="35">
        <v>115.1</v>
      </c>
      <c r="AG21" s="35">
        <v>117.5</v>
      </c>
      <c r="AH21" s="35">
        <v>124.7</v>
      </c>
      <c r="AI21" s="35">
        <v>129.9</v>
      </c>
      <c r="AJ21" s="35">
        <v>134.19999999999999</v>
      </c>
      <c r="AK21" s="35">
        <v>139.6</v>
      </c>
      <c r="AL21" s="35">
        <v>146.9</v>
      </c>
      <c r="AM21" s="35">
        <v>151.19999999999999</v>
      </c>
      <c r="AN21" s="35">
        <v>156.30000000000001</v>
      </c>
      <c r="AO21" s="35">
        <v>160.30000000000001</v>
      </c>
      <c r="AP21" s="35">
        <v>162.9</v>
      </c>
      <c r="AQ21" s="35">
        <v>163.9</v>
      </c>
      <c r="AR21" s="35">
        <v>168</v>
      </c>
      <c r="AS21" s="35">
        <v>174</v>
      </c>
      <c r="AT21" s="35">
        <v>191</v>
      </c>
      <c r="AU21" s="35">
        <v>194.8</v>
      </c>
      <c r="AV21" s="35">
        <v>199.5</v>
      </c>
      <c r="AW21" s="35">
        <v>202.2</v>
      </c>
      <c r="AX21" s="35">
        <v>207.2</v>
      </c>
      <c r="AY21" s="35">
        <v>209.2</v>
      </c>
      <c r="AZ21" s="35">
        <v>211.5</v>
      </c>
      <c r="BA21" s="35">
        <v>212.4</v>
      </c>
      <c r="BB21" s="35">
        <v>220.2</v>
      </c>
      <c r="BC21" s="35">
        <v>224.2</v>
      </c>
      <c r="BD21" s="35">
        <v>228.9</v>
      </c>
      <c r="BE21" s="35">
        <v>235.5</v>
      </c>
      <c r="BF21" s="35">
        <v>250.8</v>
      </c>
      <c r="BG21" s="35">
        <v>256.8</v>
      </c>
      <c r="BH21" s="35">
        <v>261.8</v>
      </c>
      <c r="BI21" s="35">
        <v>265.8</v>
      </c>
      <c r="BJ21" s="35">
        <v>275.7</v>
      </c>
      <c r="BK21" s="35">
        <v>279.8</v>
      </c>
      <c r="BL21" s="35">
        <v>284.60000000000002</v>
      </c>
      <c r="BM21" s="35">
        <v>291.10000000000002</v>
      </c>
      <c r="BN21" s="35">
        <v>298.2</v>
      </c>
      <c r="BO21" s="35">
        <v>301.89999999999998</v>
      </c>
      <c r="BP21" s="35">
        <v>306.89999999999998</v>
      </c>
      <c r="BQ21" s="35">
        <v>312.60000000000002</v>
      </c>
      <c r="BR21" s="35">
        <v>317.39999999999998</v>
      </c>
      <c r="BS21" s="35">
        <v>321.5</v>
      </c>
      <c r="BT21" s="35">
        <v>326.3</v>
      </c>
      <c r="BU21" s="35">
        <v>333.3</v>
      </c>
      <c r="BV21" s="35">
        <v>352.7</v>
      </c>
      <c r="BW21" s="35">
        <v>360</v>
      </c>
      <c r="BX21" s="35">
        <v>366.2</v>
      </c>
      <c r="BY21" s="35">
        <v>373.7</v>
      </c>
      <c r="BZ21" s="35">
        <v>379.7</v>
      </c>
      <c r="CA21" s="35">
        <v>384.3</v>
      </c>
      <c r="CB21" s="35">
        <v>388.9</v>
      </c>
      <c r="CC21" s="35">
        <v>394.9</v>
      </c>
      <c r="CD21" s="35">
        <v>403.5</v>
      </c>
      <c r="CE21" s="35">
        <v>408.8</v>
      </c>
      <c r="CF21" s="35">
        <v>416.6</v>
      </c>
      <c r="CG21" s="35">
        <v>419.4</v>
      </c>
      <c r="CH21" s="35">
        <v>423</v>
      </c>
      <c r="CI21" s="35">
        <v>429.7</v>
      </c>
      <c r="CJ21" s="35">
        <v>435.6</v>
      </c>
      <c r="CK21" s="35">
        <v>440.6</v>
      </c>
      <c r="CL21" s="35">
        <v>452.5</v>
      </c>
      <c r="CM21" s="35">
        <v>458.1</v>
      </c>
      <c r="CN21" s="35">
        <v>461.2</v>
      </c>
      <c r="CO21" s="35">
        <v>456.5</v>
      </c>
      <c r="CP21" s="35">
        <v>475.9</v>
      </c>
      <c r="CQ21" s="35">
        <v>476.4</v>
      </c>
      <c r="CR21" s="35">
        <v>481</v>
      </c>
      <c r="CS21" s="35">
        <v>485.2</v>
      </c>
      <c r="CT21" s="35">
        <v>500.4</v>
      </c>
      <c r="CU21" s="35">
        <v>507.6</v>
      </c>
      <c r="CV21" s="35">
        <v>513.6</v>
      </c>
      <c r="CW21" s="35">
        <v>521.1</v>
      </c>
      <c r="CX21" s="35">
        <v>528.20000000000005</v>
      </c>
      <c r="CY21" s="35">
        <v>532.70000000000005</v>
      </c>
      <c r="CZ21" s="35">
        <v>538.1</v>
      </c>
      <c r="DA21" s="35">
        <v>543.1</v>
      </c>
      <c r="DB21" s="35">
        <v>545.9</v>
      </c>
      <c r="DC21" s="35">
        <v>554.4</v>
      </c>
      <c r="DD21" s="35">
        <v>561.79999999999995</v>
      </c>
      <c r="DE21" s="35">
        <v>569.4</v>
      </c>
      <c r="DF21" s="35">
        <v>577.29999999999995</v>
      </c>
      <c r="DG21" s="35">
        <v>584.9</v>
      </c>
      <c r="DH21" s="35">
        <v>593.6</v>
      </c>
      <c r="DI21" s="35">
        <v>605.29999999999995</v>
      </c>
      <c r="DJ21" s="35">
        <v>613.29999999999995</v>
      </c>
      <c r="DK21" s="35">
        <v>622.79999999999995</v>
      </c>
      <c r="DL21" s="35">
        <v>632.6</v>
      </c>
      <c r="DM21" s="35">
        <v>642.4</v>
      </c>
      <c r="DN21" s="35">
        <v>653.29999999999995</v>
      </c>
      <c r="DO21" s="35">
        <v>659</v>
      </c>
      <c r="DP21" s="35">
        <v>666.4</v>
      </c>
      <c r="DQ21" s="35">
        <v>679.6</v>
      </c>
      <c r="DR21" s="35">
        <v>699.5</v>
      </c>
      <c r="DS21" s="35">
        <v>701.9</v>
      </c>
      <c r="DT21" s="35">
        <v>715.2</v>
      </c>
      <c r="DU21" s="35">
        <v>721</v>
      </c>
      <c r="DV21" s="35">
        <v>736.1</v>
      </c>
      <c r="DW21" s="35">
        <v>736.9</v>
      </c>
      <c r="DX21" s="35">
        <v>736.1</v>
      </c>
      <c r="DY21" s="35">
        <v>738.7</v>
      </c>
      <c r="DZ21" s="35">
        <v>746.9</v>
      </c>
      <c r="EA21" s="35">
        <v>755.3</v>
      </c>
      <c r="EB21" s="35">
        <v>758.1</v>
      </c>
      <c r="EC21" s="35">
        <v>760.8</v>
      </c>
      <c r="ED21" s="35">
        <v>767.1</v>
      </c>
      <c r="EE21" s="35">
        <v>777.8</v>
      </c>
      <c r="EF21" s="35">
        <v>787.7</v>
      </c>
      <c r="EG21" s="35">
        <v>800.1</v>
      </c>
      <c r="EH21" s="35">
        <v>813.4</v>
      </c>
      <c r="EI21" s="35">
        <v>828</v>
      </c>
      <c r="EJ21" s="35">
        <v>843.7</v>
      </c>
      <c r="EK21" s="35">
        <v>849.5</v>
      </c>
      <c r="EL21" s="35">
        <v>862.7</v>
      </c>
      <c r="EM21" s="35">
        <v>871</v>
      </c>
      <c r="EN21" s="35">
        <v>884.2</v>
      </c>
      <c r="EO21" s="35">
        <v>894.1</v>
      </c>
      <c r="EP21" s="35">
        <v>917.9</v>
      </c>
      <c r="EQ21" s="35">
        <v>922.7</v>
      </c>
      <c r="ER21" s="35">
        <v>927.2</v>
      </c>
      <c r="ES21" s="35">
        <v>940.8</v>
      </c>
      <c r="ET21" s="35">
        <v>960.4</v>
      </c>
      <c r="EU21" s="35">
        <v>962</v>
      </c>
      <c r="EV21" s="35">
        <v>965.3</v>
      </c>
      <c r="EW21" s="35">
        <v>976.9</v>
      </c>
      <c r="EX21" s="35">
        <v>988.8</v>
      </c>
      <c r="EY21" s="35">
        <v>991</v>
      </c>
      <c r="EZ21" s="35">
        <v>996.4</v>
      </c>
      <c r="FA21" s="35">
        <v>996.6</v>
      </c>
      <c r="FB21" s="35">
        <v>964.7</v>
      </c>
      <c r="FC21" s="35">
        <v>971.2</v>
      </c>
      <c r="FD21" s="35">
        <v>968.8</v>
      </c>
      <c r="FE21" s="35">
        <v>972.2</v>
      </c>
      <c r="FF21" s="35">
        <v>978.6</v>
      </c>
      <c r="FG21" s="35">
        <v>989.5</v>
      </c>
      <c r="FH21" s="35">
        <v>992.3</v>
      </c>
      <c r="FI21" s="35">
        <v>994.3</v>
      </c>
      <c r="FJ21" s="35">
        <v>916.2</v>
      </c>
      <c r="FK21" s="35">
        <v>918.9</v>
      </c>
      <c r="FL21" s="35">
        <v>927.3</v>
      </c>
      <c r="FM21" s="35">
        <v>921.9</v>
      </c>
      <c r="FN21" s="35">
        <v>944.9</v>
      </c>
      <c r="FO21" s="35">
        <v>949.4</v>
      </c>
      <c r="FP21" s="35">
        <v>952.3</v>
      </c>
      <c r="FQ21" s="35">
        <v>974.1</v>
      </c>
      <c r="FR21" s="35">
        <v>1095.9000000000001</v>
      </c>
      <c r="FS21" s="35">
        <v>1108.2</v>
      </c>
      <c r="FT21" s="35">
        <v>1111.4000000000001</v>
      </c>
      <c r="FU21" s="35">
        <v>1122.3</v>
      </c>
      <c r="FV21" s="35">
        <v>1145</v>
      </c>
      <c r="FW21" s="35">
        <v>1149.7</v>
      </c>
      <c r="FX21" s="35">
        <v>1161.4000000000001</v>
      </c>
      <c r="FY21" s="35">
        <v>1179.0999999999999</v>
      </c>
      <c r="FZ21" s="35">
        <v>1194.2</v>
      </c>
      <c r="GA21" s="35">
        <v>1206.0999999999999</v>
      </c>
      <c r="GB21" s="35">
        <v>1216.0999999999999</v>
      </c>
      <c r="GC21" s="35">
        <v>1223.5999999999999</v>
      </c>
      <c r="GD21" s="35">
        <v>1230.8</v>
      </c>
      <c r="GE21" s="35">
        <v>1237</v>
      </c>
      <c r="GF21" s="35">
        <v>1248.0999999999999</v>
      </c>
      <c r="GG21" s="35">
        <v>1261.5</v>
      </c>
      <c r="GH21" s="35">
        <v>1282.5999999999999</v>
      </c>
      <c r="GI21" s="35">
        <v>1294.9000000000001</v>
      </c>
      <c r="GJ21" s="35">
        <v>1310.0999999999999</v>
      </c>
      <c r="GK21" s="35">
        <v>1329.1</v>
      </c>
      <c r="GL21" s="35">
        <v>1349.1</v>
      </c>
      <c r="GM21" s="35">
        <v>1358.9</v>
      </c>
      <c r="GN21" s="35">
        <v>1375.7</v>
      </c>
      <c r="GO21" s="35">
        <v>1384</v>
      </c>
      <c r="GP21" s="35">
        <v>1416</v>
      </c>
      <c r="GQ21" s="35">
        <v>1423.4</v>
      </c>
      <c r="GR21" s="35">
        <v>1430.7</v>
      </c>
      <c r="GS21" s="35">
        <v>1449.6</v>
      </c>
      <c r="GT21" s="35">
        <v>1475.7</v>
      </c>
      <c r="GU21" s="35">
        <v>1405.1</v>
      </c>
      <c r="GV21" s="35">
        <v>1452.7</v>
      </c>
      <c r="GW21" s="35">
        <v>1486.4</v>
      </c>
      <c r="GX21" s="35">
        <v>1496.8</v>
      </c>
      <c r="GY21" s="35">
        <v>1527</v>
      </c>
      <c r="GZ21" s="35">
        <v>1559.5</v>
      </c>
      <c r="HA21" s="35">
        <v>1601.5</v>
      </c>
      <c r="HB21" s="35">
        <v>1640.6</v>
      </c>
      <c r="HC21">
        <v>1660.3</v>
      </c>
      <c r="HD21">
        <v>1701.6</v>
      </c>
      <c r="HE21">
        <v>1727.2</v>
      </c>
      <c r="HF21">
        <v>1760.7</v>
      </c>
    </row>
    <row r="22" spans="1:214" x14ac:dyDescent="0.35">
      <c r="A22" s="35" t="s">
        <v>2145</v>
      </c>
      <c r="B22" s="35">
        <v>20.568999999999999</v>
      </c>
      <c r="C22" s="35">
        <v>20.797000000000001</v>
      </c>
      <c r="D22" s="35">
        <v>20.998999999999999</v>
      </c>
      <c r="E22" s="35">
        <v>21.271000000000001</v>
      </c>
      <c r="F22" s="35">
        <v>21.472000000000001</v>
      </c>
      <c r="G22" s="35">
        <v>21.716000000000001</v>
      </c>
      <c r="H22" s="35">
        <v>21.928999999999998</v>
      </c>
      <c r="I22" s="35">
        <v>22.064</v>
      </c>
      <c r="J22" s="35">
        <v>22.295999999999999</v>
      </c>
      <c r="K22" s="35">
        <v>22.425000000000001</v>
      </c>
      <c r="L22" s="35">
        <v>22.622</v>
      </c>
      <c r="M22" s="35">
        <v>22.806999999999999</v>
      </c>
      <c r="N22" s="35">
        <v>23.084</v>
      </c>
      <c r="O22" s="35">
        <v>23.529</v>
      </c>
      <c r="P22" s="35">
        <v>23.957999999999998</v>
      </c>
      <c r="Q22" s="35">
        <v>24.45</v>
      </c>
      <c r="R22" s="35">
        <v>25.178000000000001</v>
      </c>
      <c r="S22" s="35">
        <v>25.890999999999998</v>
      </c>
      <c r="T22" s="35">
        <v>26.588999999999999</v>
      </c>
      <c r="U22" s="35">
        <v>27.262</v>
      </c>
      <c r="V22" s="35">
        <v>27.771000000000001</v>
      </c>
      <c r="W22" s="35">
        <v>28.109000000000002</v>
      </c>
      <c r="X22" s="35">
        <v>28.634</v>
      </c>
      <c r="Y22" s="35">
        <v>29.114999999999998</v>
      </c>
      <c r="Z22" s="35">
        <v>29.437000000000001</v>
      </c>
      <c r="AA22" s="35">
        <v>29.684999999999999</v>
      </c>
      <c r="AB22" s="35">
        <v>30.137</v>
      </c>
      <c r="AC22" s="35">
        <v>30.614000000000001</v>
      </c>
      <c r="AD22" s="35">
        <v>31.164999999999999</v>
      </c>
      <c r="AE22" s="35">
        <v>31.698</v>
      </c>
      <c r="AF22" s="35">
        <v>32.173999999999999</v>
      </c>
      <c r="AG22" s="35">
        <v>32.631</v>
      </c>
      <c r="AH22" s="35">
        <v>33.164999999999999</v>
      </c>
      <c r="AI22" s="35">
        <v>33.845999999999997</v>
      </c>
      <c r="AJ22" s="35">
        <v>34.441000000000003</v>
      </c>
      <c r="AK22" s="35">
        <v>35.091999999999999</v>
      </c>
      <c r="AL22" s="35">
        <v>35.755000000000003</v>
      </c>
      <c r="AM22" s="35">
        <v>36.732999999999997</v>
      </c>
      <c r="AN22" s="35">
        <v>37.646000000000001</v>
      </c>
      <c r="AO22" s="35">
        <v>38.558</v>
      </c>
      <c r="AP22" s="35">
        <v>39.716000000000001</v>
      </c>
      <c r="AQ22" s="35">
        <v>40.689</v>
      </c>
      <c r="AR22" s="35">
        <v>41.640999999999998</v>
      </c>
      <c r="AS22" s="35">
        <v>42.673000000000002</v>
      </c>
      <c r="AT22" s="35">
        <v>43.780999999999999</v>
      </c>
      <c r="AU22" s="35">
        <v>44.515000000000001</v>
      </c>
      <c r="AV22" s="35">
        <v>45.247999999999998</v>
      </c>
      <c r="AW22" s="35">
        <v>45.94</v>
      </c>
      <c r="AX22" s="35">
        <v>46.521000000000001</v>
      </c>
      <c r="AY22" s="35">
        <v>46.966999999999999</v>
      </c>
      <c r="AZ22" s="35">
        <v>47.707000000000001</v>
      </c>
      <c r="BA22" s="35">
        <v>48.231999999999999</v>
      </c>
      <c r="BB22" s="35">
        <v>48.628999999999998</v>
      </c>
      <c r="BC22" s="35">
        <v>49.073</v>
      </c>
      <c r="BD22" s="35">
        <v>49.718000000000004</v>
      </c>
      <c r="BE22" s="35">
        <v>50.048000000000002</v>
      </c>
      <c r="BF22" s="35">
        <v>50.591999999999999</v>
      </c>
      <c r="BG22" s="35">
        <v>51.082999999999998</v>
      </c>
      <c r="BH22" s="35">
        <v>51.478000000000002</v>
      </c>
      <c r="BI22" s="35">
        <v>51.795999999999999</v>
      </c>
      <c r="BJ22" s="35">
        <v>52.405999999999999</v>
      </c>
      <c r="BK22" s="35">
        <v>52.831000000000003</v>
      </c>
      <c r="BL22" s="35">
        <v>53.244999999999997</v>
      </c>
      <c r="BM22" s="35">
        <v>53.618000000000002</v>
      </c>
      <c r="BN22" s="35">
        <v>53.999000000000002</v>
      </c>
      <c r="BO22" s="35">
        <v>53.942999999999998</v>
      </c>
      <c r="BP22" s="35">
        <v>54.228000000000002</v>
      </c>
      <c r="BQ22" s="35">
        <v>54.555</v>
      </c>
      <c r="BR22" s="35">
        <v>55.067999999999998</v>
      </c>
      <c r="BS22" s="35">
        <v>55.597999999999999</v>
      </c>
      <c r="BT22" s="35">
        <v>56.122999999999998</v>
      </c>
      <c r="BU22" s="35">
        <v>56.606999999999999</v>
      </c>
      <c r="BV22" s="35">
        <v>57.054000000000002</v>
      </c>
      <c r="BW22" s="35">
        <v>57.683999999999997</v>
      </c>
      <c r="BX22" s="35">
        <v>58.395000000000003</v>
      </c>
      <c r="BY22" s="35">
        <v>58.987000000000002</v>
      </c>
      <c r="BZ22" s="35">
        <v>59.664999999999999</v>
      </c>
      <c r="CA22" s="35">
        <v>60.47</v>
      </c>
      <c r="CB22" s="35">
        <v>60.828000000000003</v>
      </c>
      <c r="CC22" s="35">
        <v>61.308</v>
      </c>
      <c r="CD22" s="35">
        <v>62.198</v>
      </c>
      <c r="CE22" s="35">
        <v>62.764000000000003</v>
      </c>
      <c r="CF22" s="35">
        <v>63.561999999999998</v>
      </c>
      <c r="CG22" s="35">
        <v>64.402000000000001</v>
      </c>
      <c r="CH22" s="35">
        <v>64.739999999999995</v>
      </c>
      <c r="CI22" s="35">
        <v>65.091999999999999</v>
      </c>
      <c r="CJ22" s="35">
        <v>65.533000000000001</v>
      </c>
      <c r="CK22" s="35">
        <v>66.007999999999996</v>
      </c>
      <c r="CL22" s="35">
        <v>66.421000000000006</v>
      </c>
      <c r="CM22" s="35">
        <v>66.861999999999995</v>
      </c>
      <c r="CN22" s="35">
        <v>67.287999999999997</v>
      </c>
      <c r="CO22" s="35">
        <v>67.757000000000005</v>
      </c>
      <c r="CP22" s="35">
        <v>68.162000000000006</v>
      </c>
      <c r="CQ22" s="35">
        <v>68.62</v>
      </c>
      <c r="CR22" s="35">
        <v>68.918000000000006</v>
      </c>
      <c r="CS22" s="35">
        <v>69.314999999999998</v>
      </c>
      <c r="CT22" s="35">
        <v>69.563999999999993</v>
      </c>
      <c r="CU22" s="35">
        <v>69.951999999999998</v>
      </c>
      <c r="CV22" s="35">
        <v>70.453999999999994</v>
      </c>
      <c r="CW22" s="35">
        <v>70.784999999999997</v>
      </c>
      <c r="CX22" s="35">
        <v>71.132000000000005</v>
      </c>
      <c r="CY22" s="35">
        <v>71.546000000000006</v>
      </c>
      <c r="CZ22" s="35">
        <v>71.837999999999994</v>
      </c>
      <c r="DA22" s="35">
        <v>72.153999999999996</v>
      </c>
      <c r="DB22" s="35">
        <v>72.555000000000007</v>
      </c>
      <c r="DC22" s="35">
        <v>73.040000000000006</v>
      </c>
      <c r="DD22" s="35">
        <v>73.352000000000004</v>
      </c>
      <c r="DE22" s="35">
        <v>73.852000000000004</v>
      </c>
      <c r="DF22" s="35">
        <v>74.177999999999997</v>
      </c>
      <c r="DG22" s="35">
        <v>74.364999999999995</v>
      </c>
      <c r="DH22" s="35">
        <v>74.561000000000007</v>
      </c>
      <c r="DI22" s="35">
        <v>74.795000000000002</v>
      </c>
      <c r="DJ22" s="35">
        <v>74.801000000000002</v>
      </c>
      <c r="DK22" s="35">
        <v>74.936000000000007</v>
      </c>
      <c r="DL22" s="35">
        <v>75.167000000000002</v>
      </c>
      <c r="DM22" s="35">
        <v>75.364000000000004</v>
      </c>
      <c r="DN22" s="35">
        <v>75.510999999999996</v>
      </c>
      <c r="DO22" s="35">
        <v>75.938999999999993</v>
      </c>
      <c r="DP22" s="35">
        <v>76.356999999999999</v>
      </c>
      <c r="DQ22" s="35">
        <v>76.820999999999998</v>
      </c>
      <c r="DR22" s="35">
        <v>77.445999999999998</v>
      </c>
      <c r="DS22" s="35">
        <v>77.814999999999998</v>
      </c>
      <c r="DT22" s="35">
        <v>78.317999999999998</v>
      </c>
      <c r="DU22" s="35">
        <v>78.762</v>
      </c>
      <c r="DV22" s="35">
        <v>79.347999999999999</v>
      </c>
      <c r="DW22" s="35">
        <v>79.72</v>
      </c>
      <c r="DX22" s="35">
        <v>79.760000000000005</v>
      </c>
      <c r="DY22" s="35">
        <v>79.793000000000006</v>
      </c>
      <c r="DZ22" s="35">
        <v>79.951999999999998</v>
      </c>
      <c r="EA22" s="35">
        <v>80.543999999999997</v>
      </c>
      <c r="EB22" s="35">
        <v>80.960999999999999</v>
      </c>
      <c r="EC22" s="35">
        <v>81.337999999999994</v>
      </c>
      <c r="ED22" s="35">
        <v>81.96</v>
      </c>
      <c r="EE22" s="35">
        <v>82.042000000000002</v>
      </c>
      <c r="EF22" s="35">
        <v>82.581999999999994</v>
      </c>
      <c r="EG22" s="35">
        <v>82.986999999999995</v>
      </c>
      <c r="EH22" s="35">
        <v>83.626999999999995</v>
      </c>
      <c r="EI22" s="35">
        <v>84.188999999999993</v>
      </c>
      <c r="EJ22" s="35">
        <v>84.602999999999994</v>
      </c>
      <c r="EK22" s="35">
        <v>85.325999999999993</v>
      </c>
      <c r="EL22" s="35">
        <v>85.822000000000003</v>
      </c>
      <c r="EM22" s="35">
        <v>86.364000000000004</v>
      </c>
      <c r="EN22" s="35">
        <v>87.296999999999997</v>
      </c>
      <c r="EO22" s="35">
        <v>87.992999999999995</v>
      </c>
      <c r="EP22" s="35">
        <v>88.451999999999998</v>
      </c>
      <c r="EQ22" s="35">
        <v>89.228999999999999</v>
      </c>
      <c r="ER22" s="35">
        <v>89.870999999999995</v>
      </c>
      <c r="ES22" s="35">
        <v>89.722999999999999</v>
      </c>
      <c r="ET22" s="35">
        <v>90.542000000000002</v>
      </c>
      <c r="EU22" s="35">
        <v>91.31</v>
      </c>
      <c r="EV22" s="35">
        <v>91.826999999999998</v>
      </c>
      <c r="EW22" s="35">
        <v>92.762</v>
      </c>
      <c r="EX22" s="35">
        <v>93.518000000000001</v>
      </c>
      <c r="EY22" s="35">
        <v>94.43</v>
      </c>
      <c r="EZ22" s="35">
        <v>95.438000000000002</v>
      </c>
      <c r="FA22" s="35">
        <v>93.915000000000006</v>
      </c>
      <c r="FB22" s="35">
        <v>93.28</v>
      </c>
      <c r="FC22" s="35">
        <v>93.65</v>
      </c>
      <c r="FD22" s="35">
        <v>94.295000000000002</v>
      </c>
      <c r="FE22" s="35">
        <v>95.022000000000006</v>
      </c>
      <c r="FF22" s="35">
        <v>95.388999999999996</v>
      </c>
      <c r="FG22" s="35">
        <v>95.536000000000001</v>
      </c>
      <c r="FH22" s="35">
        <v>95.72</v>
      </c>
      <c r="FI22" s="35">
        <v>96.332999999999998</v>
      </c>
      <c r="FJ22" s="35">
        <v>97.143000000000001</v>
      </c>
      <c r="FK22" s="35">
        <v>98.099000000000004</v>
      </c>
      <c r="FL22" s="35">
        <v>98.552999999999997</v>
      </c>
      <c r="FM22" s="35">
        <v>98.878</v>
      </c>
      <c r="FN22" s="35">
        <v>99.533000000000001</v>
      </c>
      <c r="FO22" s="35">
        <v>99.774000000000001</v>
      </c>
      <c r="FP22" s="35">
        <v>100.06399999999999</v>
      </c>
      <c r="FQ22" s="35">
        <v>100.625</v>
      </c>
      <c r="FR22" s="35">
        <v>100.98699999999999</v>
      </c>
      <c r="FS22" s="35">
        <v>101.059</v>
      </c>
      <c r="FT22" s="35">
        <v>101.46899999999999</v>
      </c>
      <c r="FU22" s="35">
        <v>101.89400000000001</v>
      </c>
      <c r="FV22" s="35">
        <v>102.384</v>
      </c>
      <c r="FW22" s="35">
        <v>102.896</v>
      </c>
      <c r="FX22" s="35">
        <v>103.187</v>
      </c>
      <c r="FY22" s="35">
        <v>103.069</v>
      </c>
      <c r="FZ22" s="35">
        <v>102.64100000000001</v>
      </c>
      <c r="GA22" s="35">
        <v>103.139</v>
      </c>
      <c r="GB22" s="35">
        <v>103.389</v>
      </c>
      <c r="GC22" s="35">
        <v>103.286</v>
      </c>
      <c r="GD22" s="35">
        <v>103.34</v>
      </c>
      <c r="GE22" s="35">
        <v>103.989</v>
      </c>
      <c r="GF22" s="35">
        <v>104.379</v>
      </c>
      <c r="GG22" s="35">
        <v>104.872</v>
      </c>
      <c r="GH22" s="35">
        <v>105.49299999999999</v>
      </c>
      <c r="GI22" s="35">
        <v>105.754</v>
      </c>
      <c r="GJ22" s="35">
        <v>106.13800000000001</v>
      </c>
      <c r="GK22" s="35">
        <v>106.81399999999999</v>
      </c>
      <c r="GL22" s="35">
        <v>107.584</v>
      </c>
      <c r="GM22" s="35">
        <v>108.16200000000001</v>
      </c>
      <c r="GN22" s="35">
        <v>108.54900000000001</v>
      </c>
      <c r="GO22" s="35">
        <v>108.959</v>
      </c>
      <c r="GP22" s="35">
        <v>109.18600000000001</v>
      </c>
      <c r="GQ22" s="35">
        <v>109.854</v>
      </c>
      <c r="GR22" s="35">
        <v>110.14</v>
      </c>
      <c r="GS22" s="35">
        <v>110.536</v>
      </c>
      <c r="GT22" s="35">
        <v>110.935</v>
      </c>
      <c r="GU22" s="35">
        <v>110.431</v>
      </c>
      <c r="GV22" s="35">
        <v>111.34699999999999</v>
      </c>
      <c r="GW22" s="35">
        <v>111.79900000000001</v>
      </c>
      <c r="GX22" s="35">
        <v>113.033</v>
      </c>
      <c r="GY22" s="35">
        <v>114.81</v>
      </c>
      <c r="GZ22" s="35">
        <v>116.38200000000001</v>
      </c>
      <c r="HA22" s="35">
        <v>118.142</v>
      </c>
      <c r="HB22" s="35">
        <v>120.29</v>
      </c>
      <c r="HC22">
        <v>122.426</v>
      </c>
      <c r="HD22">
        <v>123.727</v>
      </c>
      <c r="HE22">
        <v>124.869</v>
      </c>
      <c r="HF22">
        <v>126.148</v>
      </c>
    </row>
    <row r="23" spans="1:214" x14ac:dyDescent="0.35">
      <c r="A23" s="35" t="s">
        <v>2146</v>
      </c>
      <c r="B23" s="35">
        <v>133.6</v>
      </c>
      <c r="C23" s="35">
        <v>131.80000000000001</v>
      </c>
      <c r="D23" s="35">
        <v>132.4</v>
      </c>
      <c r="E23" s="35">
        <v>133.5</v>
      </c>
      <c r="F23" s="35">
        <v>133.30000000000001</v>
      </c>
      <c r="G23" s="35">
        <v>134.30000000000001</v>
      </c>
      <c r="H23" s="35">
        <v>135.6</v>
      </c>
      <c r="I23" s="35">
        <v>134.69999999999999</v>
      </c>
      <c r="J23" s="35">
        <v>141.4</v>
      </c>
      <c r="K23" s="35">
        <v>144.19999999999999</v>
      </c>
      <c r="L23" s="35">
        <v>138.80000000000001</v>
      </c>
      <c r="M23" s="35">
        <v>142.19999999999999</v>
      </c>
      <c r="N23" s="35">
        <v>146.4</v>
      </c>
      <c r="O23" s="35">
        <v>146.5</v>
      </c>
      <c r="P23" s="35">
        <v>144.19999999999999</v>
      </c>
      <c r="Q23" s="35">
        <v>147.6</v>
      </c>
      <c r="R23" s="35">
        <v>152.69999999999999</v>
      </c>
      <c r="S23" s="35">
        <v>154.9</v>
      </c>
      <c r="T23" s="35">
        <v>160.4</v>
      </c>
      <c r="U23" s="35">
        <v>167.4</v>
      </c>
      <c r="V23" s="35">
        <v>168.6</v>
      </c>
      <c r="W23" s="35">
        <v>169.4</v>
      </c>
      <c r="X23" s="35">
        <v>176.1</v>
      </c>
      <c r="Y23" s="35">
        <v>180.8</v>
      </c>
      <c r="Z23" s="35">
        <v>181.6</v>
      </c>
      <c r="AA23" s="35">
        <v>182.5</v>
      </c>
      <c r="AB23" s="35">
        <v>184.9</v>
      </c>
      <c r="AC23" s="35">
        <v>190.2</v>
      </c>
      <c r="AD23" s="35">
        <v>194.2</v>
      </c>
      <c r="AE23" s="35">
        <v>198.9</v>
      </c>
      <c r="AF23" s="35">
        <v>201.9</v>
      </c>
      <c r="AG23" s="35">
        <v>206.3</v>
      </c>
      <c r="AH23" s="35">
        <v>208.8</v>
      </c>
      <c r="AI23" s="35">
        <v>217</v>
      </c>
      <c r="AJ23" s="35">
        <v>222.1</v>
      </c>
      <c r="AK23" s="35">
        <v>227.8</v>
      </c>
      <c r="AL23" s="35">
        <v>231.7</v>
      </c>
      <c r="AM23" s="35">
        <v>237.6</v>
      </c>
      <c r="AN23" s="35">
        <v>243.7</v>
      </c>
      <c r="AO23" s="35">
        <v>249.3</v>
      </c>
      <c r="AP23" s="35">
        <v>261.10000000000002</v>
      </c>
      <c r="AQ23" s="35">
        <v>276.5</v>
      </c>
      <c r="AR23" s="35">
        <v>276.10000000000002</v>
      </c>
      <c r="AS23" s="35">
        <v>285.8</v>
      </c>
      <c r="AT23" s="35">
        <v>297.2</v>
      </c>
      <c r="AU23" s="35">
        <v>311.89999999999998</v>
      </c>
      <c r="AV23" s="35">
        <v>317.39999999999998</v>
      </c>
      <c r="AW23" s="35">
        <v>329.3</v>
      </c>
      <c r="AX23" s="35">
        <v>334.9</v>
      </c>
      <c r="AY23" s="35">
        <v>342.9</v>
      </c>
      <c r="AZ23" s="35">
        <v>351.5</v>
      </c>
      <c r="BA23" s="35">
        <v>364.1</v>
      </c>
      <c r="BB23" s="35">
        <v>370.5</v>
      </c>
      <c r="BC23" s="35">
        <v>380.3</v>
      </c>
      <c r="BD23" s="35">
        <v>394.4</v>
      </c>
      <c r="BE23" s="35">
        <v>384.2</v>
      </c>
      <c r="BF23" s="35">
        <v>392.4</v>
      </c>
      <c r="BG23" s="35">
        <v>408.3</v>
      </c>
      <c r="BH23" s="35">
        <v>414</v>
      </c>
      <c r="BI23" s="35">
        <v>432.5</v>
      </c>
      <c r="BJ23" s="35">
        <v>434.8</v>
      </c>
      <c r="BK23" s="35">
        <v>447.3</v>
      </c>
      <c r="BL23" s="35">
        <v>463.1</v>
      </c>
      <c r="BM23" s="35">
        <v>466.4</v>
      </c>
      <c r="BN23" s="35">
        <v>464</v>
      </c>
      <c r="BO23" s="35">
        <v>477.8</v>
      </c>
      <c r="BP23" s="35">
        <v>495.1</v>
      </c>
      <c r="BQ23" s="35">
        <v>489.8</v>
      </c>
      <c r="BR23" s="35">
        <v>492.1</v>
      </c>
      <c r="BS23" s="35">
        <v>501.2</v>
      </c>
      <c r="BT23" s="35">
        <v>504.1</v>
      </c>
      <c r="BU23" s="35">
        <v>513.70000000000005</v>
      </c>
      <c r="BV23" s="35">
        <v>505.8</v>
      </c>
      <c r="BW23" s="35">
        <v>506.9</v>
      </c>
      <c r="BX23" s="35">
        <v>507.4</v>
      </c>
      <c r="BY23" s="35">
        <v>525.6</v>
      </c>
      <c r="BZ23" s="35">
        <v>519.9</v>
      </c>
      <c r="CA23" s="35">
        <v>534.29999999999995</v>
      </c>
      <c r="CB23" s="35">
        <v>541.4</v>
      </c>
      <c r="CC23" s="35">
        <v>540.79999999999995</v>
      </c>
      <c r="CD23" s="35">
        <v>553.70000000000005</v>
      </c>
      <c r="CE23" s="35">
        <v>563.9</v>
      </c>
      <c r="CF23" s="35">
        <v>562.20000000000005</v>
      </c>
      <c r="CG23" s="35">
        <v>569.70000000000005</v>
      </c>
      <c r="CH23" s="35">
        <v>581.4</v>
      </c>
      <c r="CI23" s="35">
        <v>586.6</v>
      </c>
      <c r="CJ23" s="35">
        <v>586.29999999999995</v>
      </c>
      <c r="CK23" s="35">
        <v>577.4</v>
      </c>
      <c r="CL23" s="35">
        <v>580.29999999999995</v>
      </c>
      <c r="CM23" s="35">
        <v>580.9</v>
      </c>
      <c r="CN23" s="35">
        <v>594.20000000000005</v>
      </c>
      <c r="CO23" s="35">
        <v>598.4</v>
      </c>
      <c r="CP23" s="35">
        <v>580.29999999999995</v>
      </c>
      <c r="CQ23" s="35">
        <v>576.70000000000005</v>
      </c>
      <c r="CR23" s="35">
        <v>578.70000000000005</v>
      </c>
      <c r="CS23" s="35">
        <v>584.9</v>
      </c>
      <c r="CT23" s="35">
        <v>567</v>
      </c>
      <c r="CU23" s="35">
        <v>569.4</v>
      </c>
      <c r="CV23" s="35">
        <v>586.5</v>
      </c>
      <c r="CW23" s="35">
        <v>575.79999999999995</v>
      </c>
      <c r="CX23" s="35">
        <v>579.1</v>
      </c>
      <c r="CY23" s="35">
        <v>581</v>
      </c>
      <c r="CZ23" s="35">
        <v>579.29999999999995</v>
      </c>
      <c r="DA23" s="35">
        <v>567.29999999999995</v>
      </c>
      <c r="DB23" s="35">
        <v>579.79999999999995</v>
      </c>
      <c r="DC23" s="35">
        <v>582.1</v>
      </c>
      <c r="DD23" s="35">
        <v>577.79999999999995</v>
      </c>
      <c r="DE23" s="35">
        <v>576.9</v>
      </c>
      <c r="DF23" s="35">
        <v>570.70000000000005</v>
      </c>
      <c r="DG23" s="35">
        <v>587.20000000000005</v>
      </c>
      <c r="DH23" s="35">
        <v>586</v>
      </c>
      <c r="DI23" s="35">
        <v>589.20000000000005</v>
      </c>
      <c r="DJ23" s="35">
        <v>572.20000000000005</v>
      </c>
      <c r="DK23" s="35">
        <v>587.1</v>
      </c>
      <c r="DL23" s="35">
        <v>588.6</v>
      </c>
      <c r="DM23" s="35">
        <v>594.20000000000005</v>
      </c>
      <c r="DN23" s="35">
        <v>595.1</v>
      </c>
      <c r="DO23" s="35">
        <v>599.20000000000005</v>
      </c>
      <c r="DP23" s="35">
        <v>614.20000000000005</v>
      </c>
      <c r="DQ23" s="35">
        <v>634.29999999999995</v>
      </c>
      <c r="DR23" s="35">
        <v>619.4</v>
      </c>
      <c r="DS23" s="35">
        <v>641.20000000000005</v>
      </c>
      <c r="DT23" s="35">
        <v>633.6</v>
      </c>
      <c r="DU23" s="35">
        <v>638.20000000000005</v>
      </c>
      <c r="DV23" s="35">
        <v>653.29999999999995</v>
      </c>
      <c r="DW23" s="35">
        <v>666.2</v>
      </c>
      <c r="DX23" s="35">
        <v>674.4</v>
      </c>
      <c r="DY23" s="35">
        <v>686.9</v>
      </c>
      <c r="DZ23" s="35">
        <v>714</v>
      </c>
      <c r="EA23" s="35">
        <v>734.8</v>
      </c>
      <c r="EB23" s="35">
        <v>748.4</v>
      </c>
      <c r="EC23" s="35">
        <v>775.2</v>
      </c>
      <c r="ED23" s="35">
        <v>792.7</v>
      </c>
      <c r="EE23" s="35">
        <v>826</v>
      </c>
      <c r="EF23" s="35">
        <v>833.3</v>
      </c>
      <c r="EG23" s="35">
        <v>855.1</v>
      </c>
      <c r="EH23" s="35">
        <v>871.8</v>
      </c>
      <c r="EI23" s="35">
        <v>884.6</v>
      </c>
      <c r="EJ23" s="35">
        <v>902.5</v>
      </c>
      <c r="EK23" s="35">
        <v>909.6</v>
      </c>
      <c r="EL23" s="35">
        <v>931.8</v>
      </c>
      <c r="EM23" s="35">
        <v>939.3</v>
      </c>
      <c r="EN23" s="35">
        <v>956.4</v>
      </c>
      <c r="EO23" s="35">
        <v>963.7</v>
      </c>
      <c r="EP23" s="35">
        <v>997.1</v>
      </c>
      <c r="EQ23" s="35">
        <v>997.2</v>
      </c>
      <c r="ER23" s="35">
        <v>995.4</v>
      </c>
      <c r="ES23" s="35">
        <v>1015.1</v>
      </c>
      <c r="ET23" s="35">
        <v>1017.5</v>
      </c>
      <c r="EU23" s="35">
        <v>1042.5</v>
      </c>
      <c r="EV23" s="35">
        <v>1058.8</v>
      </c>
      <c r="EW23" s="35">
        <v>1085.3</v>
      </c>
      <c r="EX23" s="35">
        <v>1111.2</v>
      </c>
      <c r="EY23" s="35">
        <v>1146.5999999999999</v>
      </c>
      <c r="EZ23" s="35">
        <v>1170.2</v>
      </c>
      <c r="FA23" s="35">
        <v>1179.8</v>
      </c>
      <c r="FB23" s="35">
        <v>1185.2</v>
      </c>
      <c r="FC23" s="35">
        <v>1213.5</v>
      </c>
      <c r="FD23" s="35">
        <v>1228.3</v>
      </c>
      <c r="FE23" s="35">
        <v>1256.2</v>
      </c>
      <c r="FF23" s="35">
        <v>1278.4000000000001</v>
      </c>
      <c r="FG23" s="35">
        <v>1305.0999999999999</v>
      </c>
      <c r="FH23" s="35">
        <v>1304.3</v>
      </c>
      <c r="FI23" s="35">
        <v>1312.9</v>
      </c>
      <c r="FJ23" s="35">
        <v>1306</v>
      </c>
      <c r="FK23" s="35">
        <v>1312.7</v>
      </c>
      <c r="FL23" s="35">
        <v>1288.7</v>
      </c>
      <c r="FM23" s="35">
        <v>1291.7</v>
      </c>
      <c r="FN23" s="35">
        <v>1296.0999999999999</v>
      </c>
      <c r="FO23" s="35">
        <v>1288.5999999999999</v>
      </c>
      <c r="FP23" s="35">
        <v>1293.8</v>
      </c>
      <c r="FQ23" s="35">
        <v>1269.5</v>
      </c>
      <c r="FR23" s="35">
        <v>1240.5</v>
      </c>
      <c r="FS23" s="35">
        <v>1232.9000000000001</v>
      </c>
      <c r="FT23" s="35">
        <v>1219</v>
      </c>
      <c r="FU23" s="35">
        <v>1216.3</v>
      </c>
      <c r="FV23" s="35">
        <v>1211.8</v>
      </c>
      <c r="FW23" s="35">
        <v>1210</v>
      </c>
      <c r="FX23" s="35">
        <v>1229.3</v>
      </c>
      <c r="FY23" s="35">
        <v>1212.9000000000001</v>
      </c>
      <c r="FZ23" s="35">
        <v>1216</v>
      </c>
      <c r="GA23" s="35">
        <v>1220.5999999999999</v>
      </c>
      <c r="GB23" s="35">
        <v>1221.2</v>
      </c>
      <c r="GC23" s="35">
        <v>1229.3</v>
      </c>
      <c r="GD23" s="35">
        <v>1229.3</v>
      </c>
      <c r="GE23" s="35">
        <v>1225.8</v>
      </c>
      <c r="GF23" s="35">
        <v>1238.0999999999999</v>
      </c>
      <c r="GG23" s="35">
        <v>1244.8</v>
      </c>
      <c r="GH23" s="35">
        <v>1246.3</v>
      </c>
      <c r="GI23" s="35">
        <v>1257.0999999999999</v>
      </c>
      <c r="GJ23" s="35">
        <v>1260.5999999999999</v>
      </c>
      <c r="GK23" s="35">
        <v>1285.5999999999999</v>
      </c>
      <c r="GL23" s="35">
        <v>1306</v>
      </c>
      <c r="GM23" s="35">
        <v>1326.3</v>
      </c>
      <c r="GN23" s="35">
        <v>1351.2</v>
      </c>
      <c r="GO23" s="35">
        <v>1368.3</v>
      </c>
      <c r="GP23" s="35">
        <v>1393</v>
      </c>
      <c r="GQ23" s="35">
        <v>1405.2</v>
      </c>
      <c r="GR23" s="35">
        <v>1425.7</v>
      </c>
      <c r="GS23" s="35">
        <v>1437.7</v>
      </c>
      <c r="GT23" s="35">
        <v>1455.6</v>
      </c>
      <c r="GU23" s="35">
        <v>1560</v>
      </c>
      <c r="GV23" s="35">
        <v>1525.3</v>
      </c>
      <c r="GW23" s="35">
        <v>1541.3</v>
      </c>
      <c r="GX23" s="35">
        <v>1620.3</v>
      </c>
      <c r="GY23" s="35">
        <v>1608</v>
      </c>
      <c r="GZ23" s="35">
        <v>1595.5</v>
      </c>
      <c r="HA23" s="35">
        <v>1612.8</v>
      </c>
      <c r="HB23" s="35">
        <v>1613.1</v>
      </c>
      <c r="HC23">
        <v>1622.7</v>
      </c>
      <c r="HD23">
        <v>1657.1</v>
      </c>
      <c r="HE23">
        <v>1693.8</v>
      </c>
      <c r="HF23">
        <v>1739.8</v>
      </c>
    </row>
    <row r="24" spans="1:214" x14ac:dyDescent="0.35">
      <c r="A24" s="35" t="s">
        <v>2147</v>
      </c>
      <c r="B24" s="35">
        <v>114.3</v>
      </c>
      <c r="C24" s="35">
        <v>117.4</v>
      </c>
      <c r="D24" s="35">
        <v>122.2</v>
      </c>
      <c r="E24" s="35">
        <v>125.2</v>
      </c>
      <c r="F24" s="35">
        <v>128.6</v>
      </c>
      <c r="G24" s="35">
        <v>131.9</v>
      </c>
      <c r="H24" s="35">
        <v>134.19999999999999</v>
      </c>
      <c r="I24" s="35">
        <v>137.4</v>
      </c>
      <c r="J24" s="35">
        <v>140.80000000000001</v>
      </c>
      <c r="K24" s="35">
        <v>142.19999999999999</v>
      </c>
      <c r="L24" s="35">
        <v>145.6</v>
      </c>
      <c r="M24" s="35">
        <v>149.6</v>
      </c>
      <c r="N24" s="35">
        <v>153.19999999999999</v>
      </c>
      <c r="O24" s="35">
        <v>156.19999999999999</v>
      </c>
      <c r="P24" s="35">
        <v>159.9</v>
      </c>
      <c r="Q24" s="35">
        <v>165</v>
      </c>
      <c r="R24" s="35">
        <v>171.9</v>
      </c>
      <c r="S24" s="35">
        <v>180.1</v>
      </c>
      <c r="T24" s="35">
        <v>186.3</v>
      </c>
      <c r="U24" s="35">
        <v>191.9</v>
      </c>
      <c r="V24" s="35">
        <v>201.5</v>
      </c>
      <c r="W24" s="35">
        <v>204</v>
      </c>
      <c r="X24" s="35">
        <v>209.3</v>
      </c>
      <c r="Y24" s="35">
        <v>214.8</v>
      </c>
      <c r="Z24" s="35">
        <v>219.7</v>
      </c>
      <c r="AA24" s="35">
        <v>218.5</v>
      </c>
      <c r="AB24" s="35">
        <v>218.6</v>
      </c>
      <c r="AC24" s="35">
        <v>220.6</v>
      </c>
      <c r="AD24" s="35">
        <v>227</v>
      </c>
      <c r="AE24" s="35">
        <v>232.4</v>
      </c>
      <c r="AF24" s="35">
        <v>236.1</v>
      </c>
      <c r="AG24" s="35">
        <v>240.5</v>
      </c>
      <c r="AH24" s="35">
        <v>243.8</v>
      </c>
      <c r="AI24" s="35">
        <v>255.3</v>
      </c>
      <c r="AJ24" s="35">
        <v>262.2</v>
      </c>
      <c r="AK24" s="35">
        <v>268.39999999999998</v>
      </c>
      <c r="AL24" s="35">
        <v>270.10000000000002</v>
      </c>
      <c r="AM24" s="35">
        <v>278.89999999999998</v>
      </c>
      <c r="AN24" s="35">
        <v>289.39999999999998</v>
      </c>
      <c r="AO24" s="35">
        <v>298.39999999999998</v>
      </c>
      <c r="AP24" s="35">
        <v>307.7</v>
      </c>
      <c r="AQ24" s="35">
        <v>312</v>
      </c>
      <c r="AR24" s="35">
        <v>316.10000000000002</v>
      </c>
      <c r="AS24" s="35">
        <v>323.10000000000002</v>
      </c>
      <c r="AT24" s="35">
        <v>336.1</v>
      </c>
      <c r="AU24" s="35">
        <v>336.8</v>
      </c>
      <c r="AV24" s="35">
        <v>340.3</v>
      </c>
      <c r="AW24" s="35">
        <v>348.4</v>
      </c>
      <c r="AX24" s="35">
        <v>353.2</v>
      </c>
      <c r="AY24" s="35">
        <v>360.2</v>
      </c>
      <c r="AZ24" s="35">
        <v>365.8</v>
      </c>
      <c r="BA24" s="35">
        <v>373.3</v>
      </c>
      <c r="BB24" s="35">
        <v>377.4</v>
      </c>
      <c r="BC24" s="35">
        <v>380.7</v>
      </c>
      <c r="BD24" s="35">
        <v>387.8</v>
      </c>
      <c r="BE24" s="35">
        <v>390.9</v>
      </c>
      <c r="BF24" s="35">
        <v>401.6</v>
      </c>
      <c r="BG24" s="35">
        <v>410.8</v>
      </c>
      <c r="BH24" s="35">
        <v>421.7</v>
      </c>
      <c r="BI24" s="35">
        <v>430.2</v>
      </c>
      <c r="BJ24" s="35">
        <v>440.8</v>
      </c>
      <c r="BK24" s="35">
        <v>453.2</v>
      </c>
      <c r="BL24" s="35">
        <v>464.3</v>
      </c>
      <c r="BM24" s="35">
        <v>472.1</v>
      </c>
      <c r="BN24" s="35">
        <v>482.8</v>
      </c>
      <c r="BO24" s="35">
        <v>489.7</v>
      </c>
      <c r="BP24" s="35">
        <v>498.5</v>
      </c>
      <c r="BQ24" s="35">
        <v>506.6</v>
      </c>
      <c r="BR24" s="35">
        <v>516.5</v>
      </c>
      <c r="BS24" s="35">
        <v>524</v>
      </c>
      <c r="BT24" s="35">
        <v>532.1</v>
      </c>
      <c r="BU24" s="35">
        <v>542.29999999999995</v>
      </c>
      <c r="BV24" s="35">
        <v>551.1</v>
      </c>
      <c r="BW24" s="35">
        <v>563.5</v>
      </c>
      <c r="BX24" s="35">
        <v>570.79999999999995</v>
      </c>
      <c r="BY24" s="35">
        <v>584.29999999999995</v>
      </c>
      <c r="BZ24" s="35">
        <v>596.70000000000005</v>
      </c>
      <c r="CA24" s="35">
        <v>611.5</v>
      </c>
      <c r="CB24" s="35">
        <v>623.20000000000005</v>
      </c>
      <c r="CC24" s="35">
        <v>639.70000000000005</v>
      </c>
      <c r="CD24" s="35">
        <v>658.8</v>
      </c>
      <c r="CE24" s="35">
        <v>666.8</v>
      </c>
      <c r="CF24" s="35">
        <v>680.3</v>
      </c>
      <c r="CG24" s="35">
        <v>698.8</v>
      </c>
      <c r="CH24" s="35">
        <v>702.8</v>
      </c>
      <c r="CI24" s="35">
        <v>709.9</v>
      </c>
      <c r="CJ24" s="35">
        <v>719.9</v>
      </c>
      <c r="CK24" s="35">
        <v>731.4</v>
      </c>
      <c r="CL24" s="35">
        <v>746.1</v>
      </c>
      <c r="CM24" s="35">
        <v>753.9</v>
      </c>
      <c r="CN24" s="35">
        <v>759.8</v>
      </c>
      <c r="CO24" s="35">
        <v>764.4</v>
      </c>
      <c r="CP24" s="35">
        <v>771.5</v>
      </c>
      <c r="CQ24" s="35">
        <v>782.3</v>
      </c>
      <c r="CR24" s="35">
        <v>788.7</v>
      </c>
      <c r="CS24" s="35">
        <v>796.5</v>
      </c>
      <c r="CT24" s="35">
        <v>806.3</v>
      </c>
      <c r="CU24" s="35">
        <v>820</v>
      </c>
      <c r="CV24" s="35">
        <v>836.9</v>
      </c>
      <c r="CW24" s="35">
        <v>847.1</v>
      </c>
      <c r="CX24" s="35">
        <v>858.5</v>
      </c>
      <c r="CY24" s="35">
        <v>871.9</v>
      </c>
      <c r="CZ24" s="35">
        <v>876.3</v>
      </c>
      <c r="DA24" s="35">
        <v>884.3</v>
      </c>
      <c r="DB24" s="35">
        <v>891.5</v>
      </c>
      <c r="DC24" s="35">
        <v>905.5</v>
      </c>
      <c r="DD24" s="35">
        <v>919</v>
      </c>
      <c r="DE24" s="35">
        <v>938.8</v>
      </c>
      <c r="DF24" s="35">
        <v>945.3</v>
      </c>
      <c r="DG24" s="35">
        <v>955.4</v>
      </c>
      <c r="DH24" s="35">
        <v>969.2</v>
      </c>
      <c r="DI24" s="35">
        <v>985.6</v>
      </c>
      <c r="DJ24" s="35">
        <v>995.9</v>
      </c>
      <c r="DK24" s="35">
        <v>1016.6</v>
      </c>
      <c r="DL24" s="35">
        <v>1038.5999999999999</v>
      </c>
      <c r="DM24" s="35">
        <v>1053.2</v>
      </c>
      <c r="DN24" s="35">
        <v>1074</v>
      </c>
      <c r="DO24" s="35">
        <v>1095.5</v>
      </c>
      <c r="DP24" s="35">
        <v>1119.8</v>
      </c>
      <c r="DQ24" s="35">
        <v>1147.4000000000001</v>
      </c>
      <c r="DR24" s="35">
        <v>1170.5</v>
      </c>
      <c r="DS24" s="35">
        <v>1181.3</v>
      </c>
      <c r="DT24" s="35">
        <v>1198.5</v>
      </c>
      <c r="DU24" s="35">
        <v>1223.0999999999999</v>
      </c>
      <c r="DV24" s="35">
        <v>1253</v>
      </c>
      <c r="DW24" s="35">
        <v>1281.5</v>
      </c>
      <c r="DX24" s="35">
        <v>1279</v>
      </c>
      <c r="DY24" s="35">
        <v>1305.9000000000001</v>
      </c>
      <c r="DZ24" s="35">
        <v>1326</v>
      </c>
      <c r="EA24" s="35">
        <v>1339.7</v>
      </c>
      <c r="EB24" s="35">
        <v>1352.9</v>
      </c>
      <c r="EC24" s="35">
        <v>1367</v>
      </c>
      <c r="ED24" s="35">
        <v>1379.3</v>
      </c>
      <c r="EE24" s="35">
        <v>1372.8</v>
      </c>
      <c r="EF24" s="35">
        <v>1387.2</v>
      </c>
      <c r="EG24" s="35">
        <v>1396</v>
      </c>
      <c r="EH24" s="35">
        <v>1414.8</v>
      </c>
      <c r="EI24" s="35">
        <v>1436.1</v>
      </c>
      <c r="EJ24" s="35">
        <v>1453.9</v>
      </c>
      <c r="EK24" s="35">
        <v>1479.2</v>
      </c>
      <c r="EL24" s="35">
        <v>1494.3</v>
      </c>
      <c r="EM24" s="35">
        <v>1513</v>
      </c>
      <c r="EN24" s="35">
        <v>1538</v>
      </c>
      <c r="EO24" s="35">
        <v>1564.8</v>
      </c>
      <c r="EP24" s="35">
        <v>1583</v>
      </c>
      <c r="EQ24" s="35">
        <v>1613.4</v>
      </c>
      <c r="ER24" s="35">
        <v>1634.8</v>
      </c>
      <c r="ES24" s="35">
        <v>1659.4</v>
      </c>
      <c r="ET24" s="35">
        <v>1700.9</v>
      </c>
      <c r="EU24" s="35">
        <v>1727.5</v>
      </c>
      <c r="EV24" s="35">
        <v>1749.9</v>
      </c>
      <c r="EW24" s="35">
        <v>1779.8</v>
      </c>
      <c r="EX24" s="35">
        <v>1798.5</v>
      </c>
      <c r="EY24" s="35">
        <v>1825</v>
      </c>
      <c r="EZ24" s="35">
        <v>1858.8</v>
      </c>
      <c r="FA24" s="35">
        <v>1842</v>
      </c>
      <c r="FB24" s="35">
        <v>1836.8</v>
      </c>
      <c r="FC24" s="35">
        <v>1857</v>
      </c>
      <c r="FD24" s="35">
        <v>1863.8</v>
      </c>
      <c r="FE24" s="35">
        <v>1864.6</v>
      </c>
      <c r="FF24" s="35">
        <v>1855.5</v>
      </c>
      <c r="FG24" s="35">
        <v>1860.7</v>
      </c>
      <c r="FH24" s="35">
        <v>1854</v>
      </c>
      <c r="FI24" s="35">
        <v>1851.4</v>
      </c>
      <c r="FJ24" s="35">
        <v>1849.8</v>
      </c>
      <c r="FK24" s="35">
        <v>1855.5</v>
      </c>
      <c r="FL24" s="35">
        <v>1848.3</v>
      </c>
      <c r="FM24" s="35">
        <v>1839.1</v>
      </c>
      <c r="FN24" s="35">
        <v>1847.9</v>
      </c>
      <c r="FO24" s="35">
        <v>1841.8</v>
      </c>
      <c r="FP24" s="35">
        <v>1845.3</v>
      </c>
      <c r="FQ24" s="35">
        <v>1862.7</v>
      </c>
      <c r="FR24" s="35">
        <v>1884.9</v>
      </c>
      <c r="FS24" s="35">
        <v>1899.8</v>
      </c>
      <c r="FT24" s="35">
        <v>1915.8</v>
      </c>
      <c r="FU24" s="35">
        <v>1923</v>
      </c>
      <c r="FV24" s="35">
        <v>1926.4</v>
      </c>
      <c r="FW24" s="35">
        <v>1944.1</v>
      </c>
      <c r="FX24" s="35">
        <v>1962.5</v>
      </c>
      <c r="FY24" s="35">
        <v>1978.3</v>
      </c>
      <c r="FZ24" s="35">
        <v>1973.3</v>
      </c>
      <c r="GA24" s="35">
        <v>2011.4</v>
      </c>
      <c r="GB24" s="35">
        <v>2029.4</v>
      </c>
      <c r="GC24" s="35">
        <v>2025.2</v>
      </c>
      <c r="GD24" s="35">
        <v>2040.9</v>
      </c>
      <c r="GE24" s="35">
        <v>2061.6</v>
      </c>
      <c r="GF24" s="35">
        <v>2077.6999999999998</v>
      </c>
      <c r="GG24" s="35">
        <v>2094</v>
      </c>
      <c r="GH24" s="35">
        <v>2109</v>
      </c>
      <c r="GI24" s="35">
        <v>2114.1999999999998</v>
      </c>
      <c r="GJ24" s="35">
        <v>2134.5</v>
      </c>
      <c r="GK24" s="35">
        <v>2172.1</v>
      </c>
      <c r="GL24" s="35">
        <v>2197.4</v>
      </c>
      <c r="GM24" s="35">
        <v>2235.4</v>
      </c>
      <c r="GN24" s="35">
        <v>2262.4</v>
      </c>
      <c r="GO24" s="35">
        <v>2268</v>
      </c>
      <c r="GP24" s="35">
        <v>2295.3000000000002</v>
      </c>
      <c r="GQ24" s="35">
        <v>2339.1999999999998</v>
      </c>
      <c r="GR24" s="35">
        <v>2359.4</v>
      </c>
      <c r="GS24" s="35">
        <v>2384.1999999999998</v>
      </c>
      <c r="GT24" s="35">
        <v>2427.4</v>
      </c>
      <c r="GU24" s="35">
        <v>2391.8000000000002</v>
      </c>
      <c r="GV24" s="35">
        <v>2397.6</v>
      </c>
      <c r="GW24" s="35">
        <v>2416.5</v>
      </c>
      <c r="GX24" s="35">
        <v>2468.4</v>
      </c>
      <c r="GY24" s="35">
        <v>2516.4</v>
      </c>
      <c r="GZ24" s="35">
        <v>2587.6</v>
      </c>
      <c r="HA24" s="35">
        <v>2633.9</v>
      </c>
      <c r="HB24" s="35">
        <v>2698.2</v>
      </c>
      <c r="HC24">
        <v>2790</v>
      </c>
      <c r="HD24">
        <v>2836</v>
      </c>
      <c r="HE24">
        <v>2881.6</v>
      </c>
      <c r="HF24">
        <v>2906.3</v>
      </c>
    </row>
    <row r="25" spans="1:214" x14ac:dyDescent="0.35">
      <c r="A25" s="35" t="s">
        <v>2148</v>
      </c>
      <c r="B25" s="35">
        <v>713.9</v>
      </c>
      <c r="C25" s="35">
        <v>695.1</v>
      </c>
      <c r="D25" s="35">
        <v>686.6</v>
      </c>
      <c r="E25" s="35">
        <v>684</v>
      </c>
      <c r="F25" s="35">
        <v>662</v>
      </c>
      <c r="G25" s="35">
        <v>654.29999999999995</v>
      </c>
      <c r="H25" s="35">
        <v>651.5</v>
      </c>
      <c r="I25" s="35">
        <v>634.29999999999995</v>
      </c>
      <c r="J25" s="35">
        <v>639.6</v>
      </c>
      <c r="K25" s="35">
        <v>645.9</v>
      </c>
      <c r="L25" s="35">
        <v>616.29999999999995</v>
      </c>
      <c r="M25" s="35">
        <v>617.9</v>
      </c>
      <c r="N25" s="35">
        <v>625.79999999999995</v>
      </c>
      <c r="O25" s="35">
        <v>615.79999999999995</v>
      </c>
      <c r="P25" s="35">
        <v>594</v>
      </c>
      <c r="Q25" s="35">
        <v>595.29999999999995</v>
      </c>
      <c r="R25" s="35">
        <v>609.70000000000005</v>
      </c>
      <c r="S25" s="35">
        <v>607.6</v>
      </c>
      <c r="T25" s="35">
        <v>611.5</v>
      </c>
      <c r="U25" s="35">
        <v>617.5</v>
      </c>
      <c r="V25" s="35">
        <v>611</v>
      </c>
      <c r="W25" s="35">
        <v>605</v>
      </c>
      <c r="X25" s="35">
        <v>620.6</v>
      </c>
      <c r="Y25" s="35">
        <v>622.6</v>
      </c>
      <c r="Z25" s="35">
        <v>616.4</v>
      </c>
      <c r="AA25" s="35">
        <v>614.29999999999995</v>
      </c>
      <c r="AB25" s="35">
        <v>615.29999999999995</v>
      </c>
      <c r="AC25" s="35">
        <v>616.6</v>
      </c>
      <c r="AD25" s="35">
        <v>620.79999999999995</v>
      </c>
      <c r="AE25" s="35">
        <v>628.70000000000005</v>
      </c>
      <c r="AF25" s="35">
        <v>635</v>
      </c>
      <c r="AG25" s="35">
        <v>630.6</v>
      </c>
      <c r="AH25" s="35">
        <v>631</v>
      </c>
      <c r="AI25" s="35">
        <v>643.20000000000005</v>
      </c>
      <c r="AJ25" s="35">
        <v>647.4</v>
      </c>
      <c r="AK25" s="35">
        <v>652.9</v>
      </c>
      <c r="AL25" s="35">
        <v>651.9</v>
      </c>
      <c r="AM25" s="35">
        <v>658.6</v>
      </c>
      <c r="AN25" s="35">
        <v>660.1</v>
      </c>
      <c r="AO25" s="35">
        <v>660.8</v>
      </c>
      <c r="AP25" s="35">
        <v>678.4</v>
      </c>
      <c r="AQ25" s="35">
        <v>691.9</v>
      </c>
      <c r="AR25" s="35">
        <v>683.9</v>
      </c>
      <c r="AS25" s="35">
        <v>687.3</v>
      </c>
      <c r="AT25" s="35">
        <v>700.8</v>
      </c>
      <c r="AU25" s="35">
        <v>718.8</v>
      </c>
      <c r="AV25" s="35">
        <v>715.9</v>
      </c>
      <c r="AW25" s="35">
        <v>728.7</v>
      </c>
      <c r="AX25" s="35">
        <v>729.2</v>
      </c>
      <c r="AY25" s="35">
        <v>732.2</v>
      </c>
      <c r="AZ25" s="35">
        <v>744.2</v>
      </c>
      <c r="BA25" s="35">
        <v>761.8</v>
      </c>
      <c r="BB25" s="35">
        <v>773.8</v>
      </c>
      <c r="BC25" s="35">
        <v>788.2</v>
      </c>
      <c r="BD25" s="35">
        <v>808.6</v>
      </c>
      <c r="BE25" s="35">
        <v>782.4</v>
      </c>
      <c r="BF25" s="35">
        <v>789.1</v>
      </c>
      <c r="BG25" s="35">
        <v>813</v>
      </c>
      <c r="BH25" s="35">
        <v>812.2</v>
      </c>
      <c r="BI25" s="35">
        <v>838.3</v>
      </c>
      <c r="BJ25" s="35">
        <v>845.9</v>
      </c>
      <c r="BK25" s="35">
        <v>868.2</v>
      </c>
      <c r="BL25" s="35">
        <v>894.1</v>
      </c>
      <c r="BM25" s="35">
        <v>894.6</v>
      </c>
      <c r="BN25" s="35">
        <v>892.1</v>
      </c>
      <c r="BO25" s="35">
        <v>921</v>
      </c>
      <c r="BP25" s="35">
        <v>952.9</v>
      </c>
      <c r="BQ25" s="35">
        <v>941.7</v>
      </c>
      <c r="BR25" s="35">
        <v>947.8</v>
      </c>
      <c r="BS25" s="35">
        <v>960.7</v>
      </c>
      <c r="BT25" s="35">
        <v>959.4</v>
      </c>
      <c r="BU25" s="35">
        <v>975.6</v>
      </c>
      <c r="BV25" s="35">
        <v>947.6</v>
      </c>
      <c r="BW25" s="35">
        <v>940.5</v>
      </c>
      <c r="BX25" s="35">
        <v>936</v>
      </c>
      <c r="BY25" s="35">
        <v>961.9</v>
      </c>
      <c r="BZ25" s="35">
        <v>944.4</v>
      </c>
      <c r="CA25" s="35">
        <v>963.6</v>
      </c>
      <c r="CB25" s="35">
        <v>971.5</v>
      </c>
      <c r="CC25" s="35">
        <v>967</v>
      </c>
      <c r="CD25" s="35">
        <v>983.1</v>
      </c>
      <c r="CE25" s="35">
        <v>984.4</v>
      </c>
      <c r="CF25" s="35">
        <v>980</v>
      </c>
      <c r="CG25" s="35">
        <v>981.2</v>
      </c>
      <c r="CH25" s="35">
        <v>992.4</v>
      </c>
      <c r="CI25" s="35">
        <v>996.5</v>
      </c>
      <c r="CJ25" s="35">
        <v>983.3</v>
      </c>
      <c r="CK25" s="35">
        <v>958.7</v>
      </c>
      <c r="CL25" s="35">
        <v>962.3</v>
      </c>
      <c r="CM25" s="35">
        <v>959.8</v>
      </c>
      <c r="CN25" s="35">
        <v>973.3</v>
      </c>
      <c r="CO25" s="35">
        <v>974</v>
      </c>
      <c r="CP25" s="35">
        <v>942.1</v>
      </c>
      <c r="CQ25" s="35">
        <v>932.2</v>
      </c>
      <c r="CR25" s="35">
        <v>928.7</v>
      </c>
      <c r="CS25" s="35">
        <v>930.3</v>
      </c>
      <c r="CT25" s="35">
        <v>897.8</v>
      </c>
      <c r="CU25" s="35">
        <v>894</v>
      </c>
      <c r="CV25" s="35">
        <v>915.7</v>
      </c>
      <c r="CW25" s="35">
        <v>891.6</v>
      </c>
      <c r="CX25" s="35">
        <v>889.1</v>
      </c>
      <c r="CY25" s="35">
        <v>886.1</v>
      </c>
      <c r="CZ25" s="35">
        <v>879</v>
      </c>
      <c r="DA25" s="35">
        <v>849</v>
      </c>
      <c r="DB25" s="35">
        <v>865.8</v>
      </c>
      <c r="DC25" s="35">
        <v>874</v>
      </c>
      <c r="DD25" s="35">
        <v>862.4</v>
      </c>
      <c r="DE25" s="35">
        <v>858.2</v>
      </c>
      <c r="DF25" s="35">
        <v>846.1</v>
      </c>
      <c r="DG25" s="35">
        <v>864.9</v>
      </c>
      <c r="DH25" s="35">
        <v>861.2</v>
      </c>
      <c r="DI25" s="35">
        <v>859.8</v>
      </c>
      <c r="DJ25" s="35">
        <v>838.5</v>
      </c>
      <c r="DK25" s="35">
        <v>854.8</v>
      </c>
      <c r="DL25" s="35">
        <v>851.5</v>
      </c>
      <c r="DM25" s="35">
        <v>856.9</v>
      </c>
      <c r="DN25" s="35">
        <v>855.7</v>
      </c>
      <c r="DO25" s="35">
        <v>854.5</v>
      </c>
      <c r="DP25" s="35">
        <v>867.8</v>
      </c>
      <c r="DQ25" s="35">
        <v>885.5</v>
      </c>
      <c r="DR25" s="35">
        <v>856.1</v>
      </c>
      <c r="DS25" s="35">
        <v>882.9</v>
      </c>
      <c r="DT25" s="35">
        <v>866.1</v>
      </c>
      <c r="DU25" s="35">
        <v>868.5</v>
      </c>
      <c r="DV25" s="35">
        <v>887.6</v>
      </c>
      <c r="DW25" s="35">
        <v>900.5</v>
      </c>
      <c r="DX25" s="35">
        <v>905.8</v>
      </c>
      <c r="DY25" s="35">
        <v>916.7</v>
      </c>
      <c r="DZ25" s="35">
        <v>946.8</v>
      </c>
      <c r="EA25" s="35">
        <v>965.2</v>
      </c>
      <c r="EB25" s="35">
        <v>974.7</v>
      </c>
      <c r="EC25" s="35">
        <v>991.3</v>
      </c>
      <c r="ED25" s="35">
        <v>1002.5</v>
      </c>
      <c r="EE25" s="35">
        <v>1037.0999999999999</v>
      </c>
      <c r="EF25" s="35">
        <v>1036.8</v>
      </c>
      <c r="EG25" s="35">
        <v>1056.0999999999999</v>
      </c>
      <c r="EH25" s="35">
        <v>1067.5999999999999</v>
      </c>
      <c r="EI25" s="35">
        <v>1073.9000000000001</v>
      </c>
      <c r="EJ25" s="35">
        <v>1085.7</v>
      </c>
      <c r="EK25" s="35">
        <v>1083.7</v>
      </c>
      <c r="EL25" s="35">
        <v>1095.8</v>
      </c>
      <c r="EM25" s="35">
        <v>1094.5999999999999</v>
      </c>
      <c r="EN25" s="35">
        <v>1103.0999999999999</v>
      </c>
      <c r="EO25" s="35">
        <v>1103.5</v>
      </c>
      <c r="EP25" s="35">
        <v>1132.2</v>
      </c>
      <c r="EQ25" s="35">
        <v>1124.4000000000001</v>
      </c>
      <c r="ER25" s="35">
        <v>1114.3</v>
      </c>
      <c r="ES25" s="35">
        <v>1130.4000000000001</v>
      </c>
      <c r="ET25" s="35">
        <v>1123.7</v>
      </c>
      <c r="EU25" s="35">
        <v>1142.0999999999999</v>
      </c>
      <c r="EV25" s="35">
        <v>1152.0999999999999</v>
      </c>
      <c r="EW25" s="35">
        <v>1171.3</v>
      </c>
      <c r="EX25" s="35">
        <v>1189.0999999999999</v>
      </c>
      <c r="EY25" s="35">
        <v>1214.5</v>
      </c>
      <c r="EZ25" s="35">
        <v>1230.3</v>
      </c>
      <c r="FA25" s="35">
        <v>1246.3</v>
      </c>
      <c r="FB25" s="35">
        <v>1262.8</v>
      </c>
      <c r="FC25" s="35">
        <v>1292.8</v>
      </c>
      <c r="FD25" s="35">
        <v>1304.5999999999999</v>
      </c>
      <c r="FE25" s="35">
        <v>1324</v>
      </c>
      <c r="FF25" s="35">
        <v>1338.8</v>
      </c>
      <c r="FG25" s="35">
        <v>1356.4</v>
      </c>
      <c r="FH25" s="35">
        <v>1350.2</v>
      </c>
      <c r="FI25" s="35">
        <v>1348</v>
      </c>
      <c r="FJ25" s="35">
        <v>1329</v>
      </c>
      <c r="FK25" s="35">
        <v>1323.9</v>
      </c>
      <c r="FL25" s="35">
        <v>1295.0999999999999</v>
      </c>
      <c r="FM25" s="35">
        <v>1299.9000000000001</v>
      </c>
      <c r="FN25" s="35">
        <v>1299.9000000000001</v>
      </c>
      <c r="FO25" s="35">
        <v>1289.5</v>
      </c>
      <c r="FP25" s="35">
        <v>1292.2</v>
      </c>
      <c r="FQ25" s="35">
        <v>1266.4000000000001</v>
      </c>
      <c r="FR25" s="35">
        <v>1237.4000000000001</v>
      </c>
      <c r="FS25" s="35">
        <v>1227.4000000000001</v>
      </c>
      <c r="FT25" s="35">
        <v>1209.5999999999999</v>
      </c>
      <c r="FU25" s="35">
        <v>1188.9000000000001</v>
      </c>
      <c r="FV25" s="35">
        <v>1187.7</v>
      </c>
      <c r="FW25" s="35">
        <v>1180.7</v>
      </c>
      <c r="FX25" s="35">
        <v>1193.9000000000001</v>
      </c>
      <c r="FY25" s="35">
        <v>1176.5</v>
      </c>
      <c r="FZ25" s="35">
        <v>1181.3</v>
      </c>
      <c r="GA25" s="35">
        <v>1183.5</v>
      </c>
      <c r="GB25" s="35">
        <v>1182.3</v>
      </c>
      <c r="GC25" s="35">
        <v>1191.0999999999999</v>
      </c>
      <c r="GD25" s="35">
        <v>1194</v>
      </c>
      <c r="GE25" s="35">
        <v>1184.3</v>
      </c>
      <c r="GF25" s="35">
        <v>1191.5</v>
      </c>
      <c r="GG25" s="35">
        <v>1192.3</v>
      </c>
      <c r="GH25" s="35">
        <v>1188</v>
      </c>
      <c r="GI25" s="35">
        <v>1194.4000000000001</v>
      </c>
      <c r="GJ25" s="35">
        <v>1192.4000000000001</v>
      </c>
      <c r="GK25" s="35">
        <v>1207.4000000000001</v>
      </c>
      <c r="GL25" s="35">
        <v>1214.4000000000001</v>
      </c>
      <c r="GM25" s="35">
        <v>1224.2</v>
      </c>
      <c r="GN25" s="35">
        <v>1240.0999999999999</v>
      </c>
      <c r="GO25" s="35">
        <v>1246.5</v>
      </c>
      <c r="GP25" s="35">
        <v>1255.5999999999999</v>
      </c>
      <c r="GQ25" s="35">
        <v>1275</v>
      </c>
      <c r="GR25" s="35">
        <v>1290.4000000000001</v>
      </c>
      <c r="GS25" s="35">
        <v>1296.0999999999999</v>
      </c>
      <c r="GT25" s="35">
        <v>1307.9000000000001</v>
      </c>
      <c r="GU25" s="35">
        <v>1400.5</v>
      </c>
      <c r="GV25" s="35">
        <v>1360.6</v>
      </c>
      <c r="GW25" s="35">
        <v>1366.6</v>
      </c>
      <c r="GX25" s="35">
        <v>1422.1</v>
      </c>
      <c r="GY25" s="35">
        <v>1397.1</v>
      </c>
      <c r="GZ25" s="35">
        <v>1371.4</v>
      </c>
      <c r="HA25" s="35">
        <v>1371.5</v>
      </c>
      <c r="HB25" s="35">
        <v>1353</v>
      </c>
      <c r="HC25">
        <v>1341.3</v>
      </c>
      <c r="HD25">
        <v>1353.7</v>
      </c>
      <c r="HE25">
        <v>1373</v>
      </c>
      <c r="HF25">
        <v>1399.1</v>
      </c>
    </row>
    <row r="26" spans="1:214" x14ac:dyDescent="0.35">
      <c r="A26" s="35" t="s">
        <v>2149</v>
      </c>
      <c r="B26" s="35">
        <v>834.4</v>
      </c>
      <c r="C26" s="35">
        <v>838.9</v>
      </c>
      <c r="D26" s="35">
        <v>858</v>
      </c>
      <c r="E26" s="35">
        <v>862.3</v>
      </c>
      <c r="F26" s="35">
        <v>865.9</v>
      </c>
      <c r="G26" s="35">
        <v>872.4</v>
      </c>
      <c r="H26" s="35">
        <v>875.3</v>
      </c>
      <c r="I26" s="35">
        <v>886.4</v>
      </c>
      <c r="J26" s="35">
        <v>888.8</v>
      </c>
      <c r="K26" s="35">
        <v>887.3</v>
      </c>
      <c r="L26" s="35">
        <v>894.4</v>
      </c>
      <c r="M26" s="35">
        <v>906.7</v>
      </c>
      <c r="N26" s="35">
        <v>910.8</v>
      </c>
      <c r="O26" s="35">
        <v>912.3</v>
      </c>
      <c r="P26" s="35">
        <v>921.8</v>
      </c>
      <c r="Q26" s="35">
        <v>933.1</v>
      </c>
      <c r="R26" s="35">
        <v>944.9</v>
      </c>
      <c r="S26" s="35">
        <v>956.5</v>
      </c>
      <c r="T26" s="35">
        <v>954.8</v>
      </c>
      <c r="U26" s="35">
        <v>955.1</v>
      </c>
      <c r="V26" s="35">
        <v>983.4</v>
      </c>
      <c r="W26" s="35">
        <v>976.3</v>
      </c>
      <c r="X26" s="35">
        <v>988.8</v>
      </c>
      <c r="Y26" s="35">
        <v>1002</v>
      </c>
      <c r="Z26" s="35">
        <v>1013.3</v>
      </c>
      <c r="AA26" s="35">
        <v>995.6</v>
      </c>
      <c r="AB26" s="35">
        <v>988.9</v>
      </c>
      <c r="AC26" s="35">
        <v>986</v>
      </c>
      <c r="AD26" s="35">
        <v>995.8</v>
      </c>
      <c r="AE26" s="35">
        <v>1001.9</v>
      </c>
      <c r="AF26" s="35">
        <v>1000.8</v>
      </c>
      <c r="AG26" s="35">
        <v>1002.3</v>
      </c>
      <c r="AH26" s="35">
        <v>1002.2</v>
      </c>
      <c r="AI26" s="35">
        <v>1032.3</v>
      </c>
      <c r="AJ26" s="35">
        <v>1044.2</v>
      </c>
      <c r="AK26" s="35">
        <v>1054.0999999999999</v>
      </c>
      <c r="AL26" s="35">
        <v>1036.2</v>
      </c>
      <c r="AM26" s="35">
        <v>1045.9000000000001</v>
      </c>
      <c r="AN26" s="35">
        <v>1049.5</v>
      </c>
      <c r="AO26" s="35">
        <v>1061.3</v>
      </c>
      <c r="AP26" s="35">
        <v>1066.3</v>
      </c>
      <c r="AQ26" s="35">
        <v>1052.0999999999999</v>
      </c>
      <c r="AR26" s="35">
        <v>1035.8</v>
      </c>
      <c r="AS26" s="35">
        <v>1030.8</v>
      </c>
      <c r="AT26" s="35">
        <v>1038.8</v>
      </c>
      <c r="AU26" s="35">
        <v>1019</v>
      </c>
      <c r="AV26" s="35">
        <v>1016.1</v>
      </c>
      <c r="AW26" s="35">
        <v>1024</v>
      </c>
      <c r="AX26" s="35">
        <v>1021.1</v>
      </c>
      <c r="AY26" s="35">
        <v>1024.7</v>
      </c>
      <c r="AZ26" s="35">
        <v>1024.7</v>
      </c>
      <c r="BA26" s="35">
        <v>1032.5</v>
      </c>
      <c r="BB26" s="35">
        <v>1036.2</v>
      </c>
      <c r="BC26" s="35">
        <v>1034.2</v>
      </c>
      <c r="BD26" s="35">
        <v>1043.2</v>
      </c>
      <c r="BE26" s="35">
        <v>1043.8</v>
      </c>
      <c r="BF26" s="35">
        <v>1057.0999999999999</v>
      </c>
      <c r="BG26" s="35">
        <v>1071.2</v>
      </c>
      <c r="BH26" s="35">
        <v>1089.4000000000001</v>
      </c>
      <c r="BI26" s="35">
        <v>1100.5</v>
      </c>
      <c r="BJ26" s="35">
        <v>1114.4000000000001</v>
      </c>
      <c r="BK26" s="35">
        <v>1134.5999999999999</v>
      </c>
      <c r="BL26" s="35">
        <v>1152.5999999999999</v>
      </c>
      <c r="BM26" s="35">
        <v>1161.4000000000001</v>
      </c>
      <c r="BN26" s="35">
        <v>1182.8</v>
      </c>
      <c r="BO26" s="35">
        <v>1194.4000000000001</v>
      </c>
      <c r="BP26" s="35">
        <v>1205.4000000000001</v>
      </c>
      <c r="BQ26" s="35">
        <v>1209.5</v>
      </c>
      <c r="BR26" s="35">
        <v>1215.9000000000001</v>
      </c>
      <c r="BS26" s="35">
        <v>1218.5999999999999</v>
      </c>
      <c r="BT26" s="35">
        <v>1222.7</v>
      </c>
      <c r="BU26" s="35">
        <v>1238.9000000000001</v>
      </c>
      <c r="BV26" s="35">
        <v>1252.5</v>
      </c>
      <c r="BW26" s="35">
        <v>1268.3</v>
      </c>
      <c r="BX26" s="35">
        <v>1274</v>
      </c>
      <c r="BY26" s="35">
        <v>1289.4000000000001</v>
      </c>
      <c r="BZ26" s="35">
        <v>1299.8</v>
      </c>
      <c r="CA26" s="35">
        <v>1314.1</v>
      </c>
      <c r="CB26" s="35">
        <v>1326.8</v>
      </c>
      <c r="CC26" s="35">
        <v>1344.6</v>
      </c>
      <c r="CD26" s="35">
        <v>1365.4</v>
      </c>
      <c r="CE26" s="35">
        <v>1367.9</v>
      </c>
      <c r="CF26" s="35">
        <v>1376.9</v>
      </c>
      <c r="CG26" s="35">
        <v>1392.3</v>
      </c>
      <c r="CH26" s="35">
        <v>1394.4</v>
      </c>
      <c r="CI26" s="35">
        <v>1400.1</v>
      </c>
      <c r="CJ26" s="35">
        <v>1408.2</v>
      </c>
      <c r="CK26" s="35">
        <v>1418.1</v>
      </c>
      <c r="CL26" s="35">
        <v>1436.4</v>
      </c>
      <c r="CM26" s="35">
        <v>1434.3</v>
      </c>
      <c r="CN26" s="35">
        <v>1434.9</v>
      </c>
      <c r="CO26" s="35">
        <v>1433.8</v>
      </c>
      <c r="CP26" s="35">
        <v>1438.9</v>
      </c>
      <c r="CQ26" s="35">
        <v>1450.5</v>
      </c>
      <c r="CR26" s="35">
        <v>1458.1</v>
      </c>
      <c r="CS26" s="35">
        <v>1465.2</v>
      </c>
      <c r="CT26" s="35">
        <v>1471.3</v>
      </c>
      <c r="CU26" s="35">
        <v>1488</v>
      </c>
      <c r="CV26" s="35">
        <v>1505.5</v>
      </c>
      <c r="CW26" s="35">
        <v>1511</v>
      </c>
      <c r="CX26" s="35">
        <v>1522.8</v>
      </c>
      <c r="CY26" s="35">
        <v>1534.8</v>
      </c>
      <c r="CZ26" s="35">
        <v>1536.3</v>
      </c>
      <c r="DA26" s="35">
        <v>1544.4</v>
      </c>
      <c r="DB26" s="35">
        <v>1541.6</v>
      </c>
      <c r="DC26" s="35">
        <v>1563.8</v>
      </c>
      <c r="DD26" s="35">
        <v>1577.1</v>
      </c>
      <c r="DE26" s="35">
        <v>1599.6</v>
      </c>
      <c r="DF26" s="35">
        <v>1600</v>
      </c>
      <c r="DG26" s="35">
        <v>1611.8</v>
      </c>
      <c r="DH26" s="35">
        <v>1628.1</v>
      </c>
      <c r="DI26" s="35">
        <v>1642.7</v>
      </c>
      <c r="DJ26" s="35">
        <v>1657.7</v>
      </c>
      <c r="DK26" s="35">
        <v>1684.8</v>
      </c>
      <c r="DL26" s="35">
        <v>1708.5</v>
      </c>
      <c r="DM26" s="35">
        <v>1718.2</v>
      </c>
      <c r="DN26" s="35">
        <v>1738.8</v>
      </c>
      <c r="DO26" s="35">
        <v>1750</v>
      </c>
      <c r="DP26" s="35">
        <v>1767.5</v>
      </c>
      <c r="DQ26" s="35">
        <v>1790.4</v>
      </c>
      <c r="DR26" s="35">
        <v>1803.4</v>
      </c>
      <c r="DS26" s="35">
        <v>1800.9</v>
      </c>
      <c r="DT26" s="35">
        <v>1807.7</v>
      </c>
      <c r="DU26" s="35">
        <v>1821.9</v>
      </c>
      <c r="DV26" s="35">
        <v>1844.4</v>
      </c>
      <c r="DW26" s="35">
        <v>1879.1</v>
      </c>
      <c r="DX26" s="35">
        <v>1870.5</v>
      </c>
      <c r="DY26" s="35">
        <v>1906.1</v>
      </c>
      <c r="DZ26" s="35">
        <v>1923.7</v>
      </c>
      <c r="EA26" s="35">
        <v>1926.3</v>
      </c>
      <c r="EB26" s="35">
        <v>1931.3</v>
      </c>
      <c r="EC26" s="35">
        <v>1935.3</v>
      </c>
      <c r="ED26" s="35">
        <v>1925.3</v>
      </c>
      <c r="EE26" s="35">
        <v>1914.9</v>
      </c>
      <c r="EF26" s="35">
        <v>1921.9</v>
      </c>
      <c r="EG26" s="35">
        <v>1919.2</v>
      </c>
      <c r="EH26" s="35">
        <v>1920.6</v>
      </c>
      <c r="EI26" s="35">
        <v>1922.1</v>
      </c>
      <c r="EJ26" s="35">
        <v>1914.9</v>
      </c>
      <c r="EK26" s="35">
        <v>1915.3</v>
      </c>
      <c r="EL26" s="35">
        <v>1917.6</v>
      </c>
      <c r="EM26" s="35">
        <v>1917</v>
      </c>
      <c r="EN26" s="35">
        <v>1918.2</v>
      </c>
      <c r="EO26" s="35">
        <v>1920.2</v>
      </c>
      <c r="EP26" s="35">
        <v>1928.9</v>
      </c>
      <c r="EQ26" s="35">
        <v>1936.2</v>
      </c>
      <c r="ER26" s="35">
        <v>1942.4</v>
      </c>
      <c r="ES26" s="35">
        <v>1951</v>
      </c>
      <c r="ET26" s="35">
        <v>1962.4</v>
      </c>
      <c r="EU26" s="35">
        <v>1971.8</v>
      </c>
      <c r="EV26" s="35">
        <v>1975.8</v>
      </c>
      <c r="EW26" s="35">
        <v>1980.8</v>
      </c>
      <c r="EX26" s="35">
        <v>1970</v>
      </c>
      <c r="EY26" s="35">
        <v>1971.6</v>
      </c>
      <c r="EZ26" s="35">
        <v>1981.5</v>
      </c>
      <c r="FA26" s="35">
        <v>1987.3</v>
      </c>
      <c r="FB26" s="35">
        <v>2007.7</v>
      </c>
      <c r="FC26" s="35">
        <v>2025.2</v>
      </c>
      <c r="FD26" s="35">
        <v>2022.3</v>
      </c>
      <c r="FE26" s="35">
        <v>2008.4</v>
      </c>
      <c r="FF26" s="35">
        <v>1978.9</v>
      </c>
      <c r="FG26" s="35">
        <v>1971.3</v>
      </c>
      <c r="FH26" s="35">
        <v>1953.9</v>
      </c>
      <c r="FI26" s="35">
        <v>1934.9</v>
      </c>
      <c r="FJ26" s="35">
        <v>1913.8</v>
      </c>
      <c r="FK26" s="35">
        <v>1896.9</v>
      </c>
      <c r="FL26" s="35">
        <v>1879.8</v>
      </c>
      <c r="FM26" s="35">
        <v>1872.6</v>
      </c>
      <c r="FN26" s="35">
        <v>1859</v>
      </c>
      <c r="FO26" s="35">
        <v>1852.9</v>
      </c>
      <c r="FP26" s="35">
        <v>1845.5</v>
      </c>
      <c r="FQ26" s="35">
        <v>1840.5</v>
      </c>
      <c r="FR26" s="35">
        <v>1841.3</v>
      </c>
      <c r="FS26" s="35">
        <v>1846</v>
      </c>
      <c r="FT26" s="35">
        <v>1847</v>
      </c>
      <c r="FU26" s="35">
        <v>1843.4</v>
      </c>
      <c r="FV26" s="35">
        <v>1832.2</v>
      </c>
      <c r="FW26" s="35">
        <v>1842.7</v>
      </c>
      <c r="FX26" s="35">
        <v>1849.9</v>
      </c>
      <c r="FY26" s="35">
        <v>1865.4</v>
      </c>
      <c r="FZ26" s="35">
        <v>1876.3</v>
      </c>
      <c r="GA26" s="35">
        <v>1900</v>
      </c>
      <c r="GB26" s="35">
        <v>1915.1</v>
      </c>
      <c r="GC26" s="35">
        <v>1917.5</v>
      </c>
      <c r="GD26" s="35">
        <v>1946.9</v>
      </c>
      <c r="GE26" s="35">
        <v>1951.6</v>
      </c>
      <c r="GF26" s="35">
        <v>1960.4</v>
      </c>
      <c r="GG26" s="35">
        <v>1966.2</v>
      </c>
      <c r="GH26" s="35">
        <v>1962.2</v>
      </c>
      <c r="GI26" s="35">
        <v>1961.5</v>
      </c>
      <c r="GJ26" s="35">
        <v>1962.6</v>
      </c>
      <c r="GK26" s="35">
        <v>1972.7</v>
      </c>
      <c r="GL26" s="35">
        <v>1971.6</v>
      </c>
      <c r="GM26" s="35">
        <v>1984.1</v>
      </c>
      <c r="GN26" s="35">
        <v>1989.8</v>
      </c>
      <c r="GO26" s="35">
        <v>1984.6</v>
      </c>
      <c r="GP26" s="35">
        <v>2014</v>
      </c>
      <c r="GQ26" s="35">
        <v>2037.5</v>
      </c>
      <c r="GR26" s="35">
        <v>2049.6999999999998</v>
      </c>
      <c r="GS26" s="35">
        <v>2063.4</v>
      </c>
      <c r="GT26" s="35">
        <v>2078.6999999999998</v>
      </c>
      <c r="GU26" s="35">
        <v>2049.3000000000002</v>
      </c>
      <c r="GV26" s="35">
        <v>2036.2</v>
      </c>
      <c r="GW26" s="35">
        <v>2029.6</v>
      </c>
      <c r="GX26" s="35">
        <v>2030.2</v>
      </c>
      <c r="GY26" s="35">
        <v>2028</v>
      </c>
      <c r="GZ26" s="35">
        <v>2050.6999999999998</v>
      </c>
      <c r="HA26" s="35">
        <v>2042.7</v>
      </c>
      <c r="HB26" s="35">
        <v>2040.7</v>
      </c>
      <c r="HC26">
        <v>2037.8</v>
      </c>
      <c r="HD26">
        <v>2056.5</v>
      </c>
      <c r="HE26">
        <v>2069.8000000000002</v>
      </c>
      <c r="HF26">
        <v>2084.6</v>
      </c>
    </row>
    <row r="27" spans="1:214" x14ac:dyDescent="0.35">
      <c r="A27" s="35" t="s">
        <v>2150</v>
      </c>
      <c r="B27" s="35">
        <v>90.6</v>
      </c>
      <c r="C27" s="35">
        <v>91.4</v>
      </c>
      <c r="D27" s="35">
        <v>86.3</v>
      </c>
      <c r="E27" s="35">
        <v>87.2</v>
      </c>
      <c r="F27" s="35">
        <v>83.6</v>
      </c>
      <c r="G27" s="35">
        <v>85.1</v>
      </c>
      <c r="H27" s="35">
        <v>86.3</v>
      </c>
      <c r="I27" s="35">
        <v>88.2</v>
      </c>
      <c r="J27" s="35">
        <v>100.3</v>
      </c>
      <c r="K27" s="35">
        <v>102.4</v>
      </c>
      <c r="L27" s="35">
        <v>103.1</v>
      </c>
      <c r="M27" s="35">
        <v>105.3</v>
      </c>
      <c r="N27" s="35">
        <v>104.5</v>
      </c>
      <c r="O27" s="35">
        <v>106.9</v>
      </c>
      <c r="P27" s="35">
        <v>111</v>
      </c>
      <c r="Q27" s="35">
        <v>116</v>
      </c>
      <c r="R27" s="35">
        <v>119.5</v>
      </c>
      <c r="S27" s="35">
        <v>124.8</v>
      </c>
      <c r="T27" s="35">
        <v>129.69999999999999</v>
      </c>
      <c r="U27" s="35">
        <v>132</v>
      </c>
      <c r="V27" s="35">
        <v>132.30000000000001</v>
      </c>
      <c r="W27" s="35">
        <v>94.6</v>
      </c>
      <c r="X27" s="35">
        <v>125.7</v>
      </c>
      <c r="Y27" s="35">
        <v>130.4</v>
      </c>
      <c r="Z27" s="35">
        <v>133</v>
      </c>
      <c r="AA27" s="35">
        <v>138.69999999999999</v>
      </c>
      <c r="AB27" s="35">
        <v>144.5</v>
      </c>
      <c r="AC27" s="35">
        <v>150.1</v>
      </c>
      <c r="AD27" s="35">
        <v>155.30000000000001</v>
      </c>
      <c r="AE27" s="35">
        <v>161</v>
      </c>
      <c r="AF27" s="35">
        <v>162.6</v>
      </c>
      <c r="AG27" s="35">
        <v>171.2</v>
      </c>
      <c r="AH27" s="35">
        <v>173.4</v>
      </c>
      <c r="AI27" s="35">
        <v>182.9</v>
      </c>
      <c r="AJ27" s="35">
        <v>195.4</v>
      </c>
      <c r="AK27" s="35">
        <v>205.1</v>
      </c>
      <c r="AL27" s="35">
        <v>211.6</v>
      </c>
      <c r="AM27" s="35">
        <v>219.9</v>
      </c>
      <c r="AN27" s="35">
        <v>229.4</v>
      </c>
      <c r="AO27" s="35">
        <v>238.6</v>
      </c>
      <c r="AP27" s="35">
        <v>238.3</v>
      </c>
      <c r="AQ27" s="35">
        <v>244.2</v>
      </c>
      <c r="AR27" s="35">
        <v>252.8</v>
      </c>
      <c r="AS27" s="35">
        <v>267.2</v>
      </c>
      <c r="AT27" s="35">
        <v>278.39999999999998</v>
      </c>
      <c r="AU27" s="35">
        <v>289</v>
      </c>
      <c r="AV27" s="35">
        <v>301.39999999999998</v>
      </c>
      <c r="AW27" s="35">
        <v>295.89999999999998</v>
      </c>
      <c r="AX27" s="35">
        <v>295.2</v>
      </c>
      <c r="AY27" s="35">
        <v>301.7</v>
      </c>
      <c r="AZ27" s="35">
        <v>289.7</v>
      </c>
      <c r="BA27" s="35">
        <v>295.8</v>
      </c>
      <c r="BB27" s="35">
        <v>289.5</v>
      </c>
      <c r="BC27" s="35">
        <v>295.3</v>
      </c>
      <c r="BD27" s="35">
        <v>277.3</v>
      </c>
      <c r="BE27" s="35">
        <v>284.89999999999998</v>
      </c>
      <c r="BF27" s="35">
        <v>287.89999999999998</v>
      </c>
      <c r="BG27" s="35">
        <v>294.60000000000002</v>
      </c>
      <c r="BH27" s="35">
        <v>307.3</v>
      </c>
      <c r="BI27" s="35">
        <v>317.7</v>
      </c>
      <c r="BJ27" s="35">
        <v>353</v>
      </c>
      <c r="BK27" s="35">
        <v>307.60000000000002</v>
      </c>
      <c r="BL27" s="35">
        <v>340</v>
      </c>
      <c r="BM27" s="35">
        <v>345.2</v>
      </c>
      <c r="BN27" s="35">
        <v>341.8</v>
      </c>
      <c r="BO27" s="35">
        <v>344.4</v>
      </c>
      <c r="BP27" s="35">
        <v>352</v>
      </c>
      <c r="BQ27" s="35">
        <v>364.2</v>
      </c>
      <c r="BR27" s="35">
        <v>358.3</v>
      </c>
      <c r="BS27" s="35">
        <v>410.2</v>
      </c>
      <c r="BT27" s="35">
        <v>394.9</v>
      </c>
      <c r="BU27" s="35">
        <v>408.5</v>
      </c>
      <c r="BV27" s="35">
        <v>402.6</v>
      </c>
      <c r="BW27" s="35">
        <v>400.6</v>
      </c>
      <c r="BX27" s="35">
        <v>402.5</v>
      </c>
      <c r="BY27" s="35">
        <v>409.6</v>
      </c>
      <c r="BZ27" s="35">
        <v>439.5</v>
      </c>
      <c r="CA27" s="35">
        <v>448.4</v>
      </c>
      <c r="CB27" s="35">
        <v>457.1</v>
      </c>
      <c r="CC27" s="35">
        <v>467.4</v>
      </c>
      <c r="CD27" s="35">
        <v>463.2</v>
      </c>
      <c r="CE27" s="35">
        <v>472</v>
      </c>
      <c r="CF27" s="35">
        <v>477</v>
      </c>
      <c r="CG27" s="35">
        <v>476.2</v>
      </c>
      <c r="CH27" s="35">
        <v>459.6</v>
      </c>
      <c r="CI27" s="35">
        <v>461.4</v>
      </c>
      <c r="CJ27" s="35">
        <v>464.1</v>
      </c>
      <c r="CK27" s="35">
        <v>469.2</v>
      </c>
      <c r="CL27" s="35">
        <v>461.3</v>
      </c>
      <c r="CM27" s="35">
        <v>470.2</v>
      </c>
      <c r="CN27" s="35">
        <v>479.4</v>
      </c>
      <c r="CO27" s="35">
        <v>499</v>
      </c>
      <c r="CP27" s="35">
        <v>480.3</v>
      </c>
      <c r="CQ27" s="35">
        <v>505.3</v>
      </c>
      <c r="CR27" s="35">
        <v>515.6</v>
      </c>
      <c r="CS27" s="35">
        <v>529.5</v>
      </c>
      <c r="CT27" s="35">
        <v>526.70000000000005</v>
      </c>
      <c r="CU27" s="35">
        <v>555.9</v>
      </c>
      <c r="CV27" s="35">
        <v>544.20000000000005</v>
      </c>
      <c r="CW27" s="35">
        <v>553.4</v>
      </c>
      <c r="CX27" s="35">
        <v>567.70000000000005</v>
      </c>
      <c r="CY27" s="35">
        <v>594.4</v>
      </c>
      <c r="CZ27" s="35">
        <v>591.5</v>
      </c>
      <c r="DA27" s="35">
        <v>607.6</v>
      </c>
      <c r="DB27" s="35">
        <v>636.4</v>
      </c>
      <c r="DC27" s="35">
        <v>673.6</v>
      </c>
      <c r="DD27" s="35">
        <v>674.2</v>
      </c>
      <c r="DE27" s="35">
        <v>689.4</v>
      </c>
      <c r="DF27" s="35">
        <v>724.3</v>
      </c>
      <c r="DG27" s="35">
        <v>739.3</v>
      </c>
      <c r="DH27" s="35">
        <v>757</v>
      </c>
      <c r="DI27" s="35">
        <v>778.6</v>
      </c>
      <c r="DJ27" s="35">
        <v>800.6</v>
      </c>
      <c r="DK27" s="35">
        <v>820.9</v>
      </c>
      <c r="DL27" s="35">
        <v>841.6</v>
      </c>
      <c r="DM27" s="35">
        <v>861.7</v>
      </c>
      <c r="DN27" s="35">
        <v>869.8</v>
      </c>
      <c r="DO27" s="35">
        <v>885.8</v>
      </c>
      <c r="DP27" s="35">
        <v>904.2</v>
      </c>
      <c r="DQ27" s="35">
        <v>930</v>
      </c>
      <c r="DR27" s="35">
        <v>976.6</v>
      </c>
      <c r="DS27" s="35">
        <v>986.9</v>
      </c>
      <c r="DT27" s="35">
        <v>1011.1</v>
      </c>
      <c r="DU27" s="35">
        <v>1023.9</v>
      </c>
      <c r="DV27" s="35">
        <v>1051</v>
      </c>
      <c r="DW27" s="35">
        <v>1049</v>
      </c>
      <c r="DX27" s="35">
        <v>881.7</v>
      </c>
      <c r="DY27" s="35">
        <v>1002.4</v>
      </c>
      <c r="DZ27" s="35">
        <v>847.8</v>
      </c>
      <c r="EA27" s="35">
        <v>836.7</v>
      </c>
      <c r="EB27" s="35">
        <v>825.3</v>
      </c>
      <c r="EC27" s="35">
        <v>819.6</v>
      </c>
      <c r="ED27" s="35">
        <v>803.5</v>
      </c>
      <c r="EE27" s="35">
        <v>812.9</v>
      </c>
      <c r="EF27" s="35">
        <v>716.5</v>
      </c>
      <c r="EG27" s="35">
        <v>781.6</v>
      </c>
      <c r="EH27" s="35">
        <v>773.2</v>
      </c>
      <c r="EI27" s="35">
        <v>792.4</v>
      </c>
      <c r="EJ27" s="35">
        <v>816.7</v>
      </c>
      <c r="EK27" s="35">
        <v>829.8</v>
      </c>
      <c r="EL27" s="35">
        <v>902.9</v>
      </c>
      <c r="EM27" s="35">
        <v>925.8</v>
      </c>
      <c r="EN27" s="35">
        <v>949.5</v>
      </c>
      <c r="EO27" s="35">
        <v>970.6</v>
      </c>
      <c r="EP27" s="35">
        <v>1025.5</v>
      </c>
      <c r="EQ27" s="35">
        <v>1041.2</v>
      </c>
      <c r="ER27" s="35">
        <v>1060.9000000000001</v>
      </c>
      <c r="ES27" s="35">
        <v>1095.8</v>
      </c>
      <c r="ET27" s="35">
        <v>1146</v>
      </c>
      <c r="EU27" s="35">
        <v>1163.9000000000001</v>
      </c>
      <c r="EV27" s="35">
        <v>1179.3</v>
      </c>
      <c r="EW27" s="35">
        <v>1194.4000000000001</v>
      </c>
      <c r="EX27" s="35">
        <v>1201.7</v>
      </c>
      <c r="EY27" s="35">
        <v>1191.3</v>
      </c>
      <c r="EZ27" s="35">
        <v>1173.7</v>
      </c>
      <c r="FA27" s="35">
        <v>1139.8</v>
      </c>
      <c r="FB27" s="35">
        <v>921.2</v>
      </c>
      <c r="FC27" s="35">
        <v>855.5</v>
      </c>
      <c r="FD27" s="35">
        <v>842</v>
      </c>
      <c r="FE27" s="35">
        <v>847.5</v>
      </c>
      <c r="FF27" s="35">
        <v>903.4</v>
      </c>
      <c r="FG27" s="35">
        <v>935.2</v>
      </c>
      <c r="FH27" s="35">
        <v>958.5</v>
      </c>
      <c r="FI27" s="35">
        <v>977.2</v>
      </c>
      <c r="FJ27" s="35">
        <v>1111.4000000000001</v>
      </c>
      <c r="FK27" s="35">
        <v>1126.5</v>
      </c>
      <c r="FL27" s="35">
        <v>1144.2</v>
      </c>
      <c r="FM27" s="35">
        <v>1141</v>
      </c>
      <c r="FN27" s="35">
        <v>1138.3</v>
      </c>
      <c r="FO27" s="35">
        <v>1150.5999999999999</v>
      </c>
      <c r="FP27" s="35">
        <v>1163.8</v>
      </c>
      <c r="FQ27" s="35">
        <v>1212.9000000000001</v>
      </c>
      <c r="FR27" s="35">
        <v>1273.5</v>
      </c>
      <c r="FS27" s="35">
        <v>1296.4000000000001</v>
      </c>
      <c r="FT27" s="35">
        <v>1308.3</v>
      </c>
      <c r="FU27" s="35">
        <v>1333.2</v>
      </c>
      <c r="FV27" s="35">
        <v>1369.1</v>
      </c>
      <c r="FW27" s="35">
        <v>1389</v>
      </c>
      <c r="FX27" s="35">
        <v>1413.3</v>
      </c>
      <c r="FY27" s="35">
        <v>1443.5</v>
      </c>
      <c r="FZ27" s="35">
        <v>1509.1</v>
      </c>
      <c r="GA27" s="35">
        <v>1527.7</v>
      </c>
      <c r="GB27" s="35">
        <v>1540.9</v>
      </c>
      <c r="GC27" s="35">
        <v>1552.6</v>
      </c>
      <c r="GD27" s="35">
        <v>1526.8</v>
      </c>
      <c r="GE27" s="35">
        <v>1536.7</v>
      </c>
      <c r="GF27" s="35">
        <v>1553.8</v>
      </c>
      <c r="GG27" s="35">
        <v>1574.5</v>
      </c>
      <c r="GH27" s="35">
        <v>1580</v>
      </c>
      <c r="GI27" s="35">
        <v>1600.1</v>
      </c>
      <c r="GJ27" s="35">
        <v>1623.2</v>
      </c>
      <c r="GK27" s="35">
        <v>1649.1</v>
      </c>
      <c r="GL27" s="35">
        <v>1597.1</v>
      </c>
      <c r="GM27" s="35">
        <v>1607</v>
      </c>
      <c r="GN27" s="35">
        <v>1625.5</v>
      </c>
      <c r="GO27" s="35">
        <v>1630.1</v>
      </c>
      <c r="GP27" s="35">
        <v>1687.7</v>
      </c>
      <c r="GQ27" s="35">
        <v>1692.6</v>
      </c>
      <c r="GR27" s="35">
        <v>1700.6</v>
      </c>
      <c r="GS27" s="35">
        <v>1726.4</v>
      </c>
      <c r="GT27" s="35">
        <v>1751.6</v>
      </c>
      <c r="GU27" s="35">
        <v>1610.2</v>
      </c>
      <c r="GV27" s="35">
        <v>1722.1</v>
      </c>
      <c r="GW27" s="35">
        <v>1837.8</v>
      </c>
      <c r="GX27" s="35">
        <v>1965.4</v>
      </c>
      <c r="GY27" s="35">
        <v>2071.9</v>
      </c>
      <c r="GZ27" s="35">
        <v>2158.8000000000002</v>
      </c>
      <c r="HA27" s="35">
        <v>2235.1999999999998</v>
      </c>
      <c r="HB27" s="35">
        <v>2564.1</v>
      </c>
      <c r="HC27">
        <v>2598.6</v>
      </c>
      <c r="HD27">
        <v>2641.7</v>
      </c>
      <c r="HE27">
        <v>2650.1</v>
      </c>
      <c r="HF27">
        <v>2418.6</v>
      </c>
    </row>
    <row r="28" spans="1:214" x14ac:dyDescent="0.35">
      <c r="A28" s="35" t="s">
        <v>2151</v>
      </c>
      <c r="B28" s="35">
        <v>17.899999999999999</v>
      </c>
      <c r="C28" s="35">
        <v>18.100000000000001</v>
      </c>
      <c r="D28" s="35">
        <v>18.2</v>
      </c>
      <c r="E28" s="35">
        <v>18.2</v>
      </c>
      <c r="F28" s="35">
        <v>19.399999999999999</v>
      </c>
      <c r="G28" s="35">
        <v>18.7</v>
      </c>
      <c r="H28" s="35">
        <v>18.899999999999999</v>
      </c>
      <c r="I28" s="35">
        <v>19</v>
      </c>
      <c r="J28" s="35">
        <v>18.2</v>
      </c>
      <c r="K28" s="35">
        <v>18.3</v>
      </c>
      <c r="L28" s="35">
        <v>18.5</v>
      </c>
      <c r="M28" s="35">
        <v>19</v>
      </c>
      <c r="N28" s="35">
        <v>19.5</v>
      </c>
      <c r="O28" s="35">
        <v>19.899999999999999</v>
      </c>
      <c r="P28" s="35">
        <v>19.7</v>
      </c>
      <c r="Q28" s="35">
        <v>20.100000000000001</v>
      </c>
      <c r="R28" s="35">
        <v>19.8</v>
      </c>
      <c r="S28" s="35">
        <v>20.100000000000001</v>
      </c>
      <c r="T28" s="35">
        <v>20.2</v>
      </c>
      <c r="U28" s="35">
        <v>20.2</v>
      </c>
      <c r="V28" s="35">
        <v>19.8</v>
      </c>
      <c r="W28" s="35">
        <v>21.3</v>
      </c>
      <c r="X28" s="35">
        <v>23.3</v>
      </c>
      <c r="Y28" s="35">
        <v>23.9</v>
      </c>
      <c r="Z28" s="35">
        <v>20.8</v>
      </c>
      <c r="AA28" s="35">
        <v>21.3</v>
      </c>
      <c r="AB28" s="35">
        <v>21.7</v>
      </c>
      <c r="AC28" s="35">
        <v>21.7</v>
      </c>
      <c r="AD28" s="35">
        <v>22</v>
      </c>
      <c r="AE28" s="35">
        <v>22.5</v>
      </c>
      <c r="AF28" s="35">
        <v>23.2</v>
      </c>
      <c r="AG28" s="35">
        <v>23.2</v>
      </c>
      <c r="AH28" s="35">
        <v>24</v>
      </c>
      <c r="AI28" s="35">
        <v>25.4</v>
      </c>
      <c r="AJ28" s="35">
        <v>25.5</v>
      </c>
      <c r="AK28" s="35">
        <v>26.3</v>
      </c>
      <c r="AL28" s="35">
        <v>25.9</v>
      </c>
      <c r="AM28" s="35">
        <v>25.9</v>
      </c>
      <c r="AN28" s="35">
        <v>25.3</v>
      </c>
      <c r="AO28" s="35">
        <v>25.6</v>
      </c>
      <c r="AP28" s="35">
        <v>27.6</v>
      </c>
      <c r="AQ28" s="35">
        <v>33.6</v>
      </c>
      <c r="AR28" s="35">
        <v>36.1</v>
      </c>
      <c r="AS28" s="35">
        <v>37.299999999999997</v>
      </c>
      <c r="AT28" s="35">
        <v>50.7</v>
      </c>
      <c r="AU28" s="35">
        <v>51.8</v>
      </c>
      <c r="AV28" s="35">
        <v>49.1</v>
      </c>
      <c r="AW28" s="35">
        <v>48.1</v>
      </c>
      <c r="AX28" s="35">
        <v>43.5</v>
      </c>
      <c r="AY28" s="35">
        <v>40</v>
      </c>
      <c r="AZ28" s="35">
        <v>40.1</v>
      </c>
      <c r="BA28" s="35">
        <v>40.299999999999997</v>
      </c>
      <c r="BB28" s="35">
        <v>41.1</v>
      </c>
      <c r="BC28" s="35">
        <v>45.3</v>
      </c>
      <c r="BD28" s="35">
        <v>45.5</v>
      </c>
      <c r="BE28" s="35">
        <v>45.8</v>
      </c>
      <c r="BF28" s="35">
        <v>47</v>
      </c>
      <c r="BG28" s="35">
        <v>47.5</v>
      </c>
      <c r="BH28" s="35">
        <v>47.4</v>
      </c>
      <c r="BI28" s="35">
        <v>47.3</v>
      </c>
      <c r="BJ28" s="35">
        <v>46.4</v>
      </c>
      <c r="BK28" s="35">
        <v>45.7</v>
      </c>
      <c r="BL28" s="35">
        <v>46.8</v>
      </c>
      <c r="BM28" s="35">
        <v>45.4</v>
      </c>
      <c r="BN28" s="35">
        <v>44.5</v>
      </c>
      <c r="BO28" s="35">
        <v>42.9</v>
      </c>
      <c r="BP28" s="35">
        <v>43.8</v>
      </c>
      <c r="BQ28" s="35">
        <v>43.6</v>
      </c>
      <c r="BR28" s="35">
        <v>44.1</v>
      </c>
      <c r="BS28" s="35">
        <v>45.8</v>
      </c>
      <c r="BT28" s="35">
        <v>46.4</v>
      </c>
      <c r="BU28" s="35">
        <v>47.4</v>
      </c>
      <c r="BV28" s="35">
        <v>49.6</v>
      </c>
      <c r="BW28" s="35">
        <v>49.3</v>
      </c>
      <c r="BX28" s="35">
        <v>50.2</v>
      </c>
      <c r="BY28" s="35">
        <v>50.2</v>
      </c>
      <c r="BZ28" s="35">
        <v>50.8</v>
      </c>
      <c r="CA28" s="35">
        <v>49.2</v>
      </c>
      <c r="CB28" s="35">
        <v>50</v>
      </c>
      <c r="CC28" s="35">
        <v>48.9</v>
      </c>
      <c r="CD28" s="35">
        <v>50.3</v>
      </c>
      <c r="CE28" s="35">
        <v>50.8</v>
      </c>
      <c r="CF28" s="35">
        <v>51.1</v>
      </c>
      <c r="CG28" s="35">
        <v>51.5</v>
      </c>
      <c r="CH28" s="35">
        <v>59.7</v>
      </c>
      <c r="CI28" s="35">
        <v>61.3</v>
      </c>
      <c r="CJ28" s="35">
        <v>61.8</v>
      </c>
      <c r="CK28" s="35">
        <v>64.2</v>
      </c>
      <c r="CL28" s="35">
        <v>63.6</v>
      </c>
      <c r="CM28" s="35">
        <v>63.1</v>
      </c>
      <c r="CN28" s="35">
        <v>61.9</v>
      </c>
      <c r="CO28" s="35">
        <v>64.599999999999994</v>
      </c>
      <c r="CP28" s="35">
        <v>62.2</v>
      </c>
      <c r="CQ28" s="35">
        <v>64.8</v>
      </c>
      <c r="CR28" s="35">
        <v>65.400000000000006</v>
      </c>
      <c r="CS28" s="35">
        <v>73.099999999999994</v>
      </c>
      <c r="CT28" s="35">
        <v>75.5</v>
      </c>
      <c r="CU28" s="35">
        <v>78.599999999999994</v>
      </c>
      <c r="CV28" s="35">
        <v>80.5</v>
      </c>
      <c r="CW28" s="35">
        <v>81.400000000000006</v>
      </c>
      <c r="CX28" s="35">
        <v>76.599999999999994</v>
      </c>
      <c r="CY28" s="35">
        <v>75.7</v>
      </c>
      <c r="CZ28" s="35">
        <v>75.400000000000006</v>
      </c>
      <c r="DA28" s="35">
        <v>74.5</v>
      </c>
      <c r="DB28" s="35">
        <v>72.599999999999994</v>
      </c>
      <c r="DC28" s="35">
        <v>71.2</v>
      </c>
      <c r="DD28" s="35">
        <v>71.7</v>
      </c>
      <c r="DE28" s="35">
        <v>75.900000000000006</v>
      </c>
      <c r="DF28" s="35">
        <v>72</v>
      </c>
      <c r="DG28" s="35">
        <v>79.7</v>
      </c>
      <c r="DH28" s="35">
        <v>79.900000000000006</v>
      </c>
      <c r="DI28" s="35">
        <v>79.7</v>
      </c>
      <c r="DJ28" s="35">
        <v>79.5</v>
      </c>
      <c r="DK28" s="35">
        <v>80.099999999999994</v>
      </c>
      <c r="DL28" s="35">
        <v>81.5</v>
      </c>
      <c r="DM28" s="35">
        <v>81.7</v>
      </c>
      <c r="DN28" s="35">
        <v>81.3</v>
      </c>
      <c r="DO28" s="35">
        <v>81.599999999999994</v>
      </c>
      <c r="DP28" s="35">
        <v>83.8</v>
      </c>
      <c r="DQ28" s="35">
        <v>87</v>
      </c>
      <c r="DR28" s="35">
        <v>86.1</v>
      </c>
      <c r="DS28" s="35">
        <v>88.4</v>
      </c>
      <c r="DT28" s="35">
        <v>87.5</v>
      </c>
      <c r="DU28" s="35">
        <v>87</v>
      </c>
      <c r="DV28" s="35">
        <v>87.1</v>
      </c>
      <c r="DW28" s="35">
        <v>86.3</v>
      </c>
      <c r="DX28" s="35">
        <v>83.6</v>
      </c>
      <c r="DY28" s="35">
        <v>84.1</v>
      </c>
      <c r="DZ28" s="35">
        <v>84.7</v>
      </c>
      <c r="EA28" s="35">
        <v>87.3</v>
      </c>
      <c r="EB28" s="35">
        <v>88</v>
      </c>
      <c r="EC28" s="35">
        <v>87.3</v>
      </c>
      <c r="ED28" s="35">
        <v>90.1</v>
      </c>
      <c r="EE28" s="35">
        <v>90</v>
      </c>
      <c r="EF28" s="35">
        <v>89.6</v>
      </c>
      <c r="EG28" s="35">
        <v>91.1</v>
      </c>
      <c r="EH28" s="35">
        <v>94.1</v>
      </c>
      <c r="EI28" s="35">
        <v>94.8</v>
      </c>
      <c r="EJ28" s="35">
        <v>95.9</v>
      </c>
      <c r="EK28" s="35">
        <v>96.2</v>
      </c>
      <c r="EL28" s="35">
        <v>97.2</v>
      </c>
      <c r="EM28" s="35">
        <v>101.4</v>
      </c>
      <c r="EN28" s="35">
        <v>100.3</v>
      </c>
      <c r="EO28" s="35">
        <v>98.7</v>
      </c>
      <c r="EP28" s="35">
        <v>99.1</v>
      </c>
      <c r="EQ28" s="35">
        <v>99.5</v>
      </c>
      <c r="ER28" s="35">
        <v>100.2</v>
      </c>
      <c r="ES28" s="35">
        <v>98.1</v>
      </c>
      <c r="ET28" s="35">
        <v>93.9</v>
      </c>
      <c r="EU28" s="35">
        <v>93.7</v>
      </c>
      <c r="EV28" s="35">
        <v>95.4</v>
      </c>
      <c r="EW28" s="35">
        <v>95.5</v>
      </c>
      <c r="EX28" s="35">
        <v>93.2</v>
      </c>
      <c r="EY28" s="35">
        <v>95.3</v>
      </c>
      <c r="EZ28" s="35">
        <v>93.7</v>
      </c>
      <c r="FA28" s="35">
        <v>93.7</v>
      </c>
      <c r="FB28" s="35">
        <v>86.7</v>
      </c>
      <c r="FC28" s="35">
        <v>94.3</v>
      </c>
      <c r="FD28" s="35">
        <v>91.4</v>
      </c>
      <c r="FE28" s="35">
        <v>93.2</v>
      </c>
      <c r="FF28" s="35">
        <v>93.1</v>
      </c>
      <c r="FG28" s="35">
        <v>96.4</v>
      </c>
      <c r="FH28" s="35">
        <v>98.9</v>
      </c>
      <c r="FI28" s="35">
        <v>98.7</v>
      </c>
      <c r="FJ28" s="35">
        <v>104.7</v>
      </c>
      <c r="FK28" s="35">
        <v>109.1</v>
      </c>
      <c r="FL28" s="35">
        <v>109.4</v>
      </c>
      <c r="FM28" s="35">
        <v>111.4</v>
      </c>
      <c r="FN28" s="35">
        <v>113.9</v>
      </c>
      <c r="FO28" s="35">
        <v>114.4</v>
      </c>
      <c r="FP28" s="35">
        <v>114.7</v>
      </c>
      <c r="FQ28" s="35">
        <v>117.6</v>
      </c>
      <c r="FR28" s="35">
        <v>122.3</v>
      </c>
      <c r="FS28" s="35">
        <v>124.4</v>
      </c>
      <c r="FT28" s="35">
        <v>126.4</v>
      </c>
      <c r="FU28" s="35">
        <v>128.80000000000001</v>
      </c>
      <c r="FV28" s="35">
        <v>136.6</v>
      </c>
      <c r="FW28" s="35">
        <v>135.30000000000001</v>
      </c>
      <c r="FX28" s="35">
        <v>136.9</v>
      </c>
      <c r="FY28" s="35">
        <v>136.4</v>
      </c>
      <c r="FZ28" s="35">
        <v>139.9</v>
      </c>
      <c r="GA28" s="35">
        <v>143.5</v>
      </c>
      <c r="GB28" s="35">
        <v>136.1</v>
      </c>
      <c r="GC28" s="35">
        <v>141.69999999999999</v>
      </c>
      <c r="GD28" s="35">
        <v>138.19999999999999</v>
      </c>
      <c r="GE28" s="35">
        <v>135.69999999999999</v>
      </c>
      <c r="GF28" s="35">
        <v>136</v>
      </c>
      <c r="GG28" s="35">
        <v>136.1</v>
      </c>
      <c r="GH28" s="35">
        <v>127.5</v>
      </c>
      <c r="GI28" s="35">
        <v>131.69999999999999</v>
      </c>
      <c r="GJ28" s="35">
        <v>131.9</v>
      </c>
      <c r="GK28" s="35">
        <v>134.9</v>
      </c>
      <c r="GL28" s="35">
        <v>150.5</v>
      </c>
      <c r="GM28" s="35">
        <v>156.1</v>
      </c>
      <c r="GN28" s="35">
        <v>163.30000000000001</v>
      </c>
      <c r="GO28" s="35">
        <v>185.4</v>
      </c>
      <c r="GP28" s="35">
        <v>174.6</v>
      </c>
      <c r="GQ28" s="35">
        <v>171.3</v>
      </c>
      <c r="GR28" s="35">
        <v>176.3</v>
      </c>
      <c r="GS28" s="35">
        <v>176.9</v>
      </c>
      <c r="GT28" s="35">
        <v>186.6</v>
      </c>
      <c r="GU28" s="35">
        <v>132.6</v>
      </c>
      <c r="GV28" s="35">
        <v>149.1</v>
      </c>
      <c r="GW28" s="35">
        <v>155</v>
      </c>
      <c r="GX28" s="35">
        <v>156.6</v>
      </c>
      <c r="GY28" s="35">
        <v>177.3</v>
      </c>
      <c r="GZ28" s="35">
        <v>176.8</v>
      </c>
      <c r="HA28" s="35">
        <v>187.6</v>
      </c>
      <c r="HB28" s="35">
        <v>202.4</v>
      </c>
      <c r="HC28">
        <v>209.4</v>
      </c>
      <c r="HD28">
        <v>202.8</v>
      </c>
      <c r="HE28">
        <v>192.4</v>
      </c>
      <c r="HF28">
        <v>189.8</v>
      </c>
    </row>
    <row r="29" spans="1:214" x14ac:dyDescent="0.35">
      <c r="A29" s="35" t="s">
        <v>2152</v>
      </c>
      <c r="B29" s="35">
        <v>27</v>
      </c>
      <c r="C29" s="35">
        <v>27</v>
      </c>
      <c r="D29" s="35">
        <v>27.9</v>
      </c>
      <c r="E29" s="35">
        <v>26.6</v>
      </c>
      <c r="F29" s="35">
        <v>29.9</v>
      </c>
      <c r="G29" s="35">
        <v>30.7</v>
      </c>
      <c r="H29" s="35">
        <v>29.8</v>
      </c>
      <c r="I29" s="35">
        <v>30.1</v>
      </c>
      <c r="J29" s="35">
        <v>31.8</v>
      </c>
      <c r="K29" s="35">
        <v>32</v>
      </c>
      <c r="L29" s="35">
        <v>33.1</v>
      </c>
      <c r="M29" s="35">
        <v>36.6</v>
      </c>
      <c r="N29" s="35">
        <v>39.299999999999997</v>
      </c>
      <c r="O29" s="35">
        <v>39.4</v>
      </c>
      <c r="P29" s="35">
        <v>37.6</v>
      </c>
      <c r="Q29" s="35">
        <v>39.4</v>
      </c>
      <c r="R29" s="35">
        <v>37.4</v>
      </c>
      <c r="S29" s="35">
        <v>39.299999999999997</v>
      </c>
      <c r="T29" s="35">
        <v>43.5</v>
      </c>
      <c r="U29" s="35">
        <v>38.1</v>
      </c>
      <c r="V29" s="35">
        <v>31.5</v>
      </c>
      <c r="W29" s="35">
        <v>34.200000000000003</v>
      </c>
      <c r="X29" s="35">
        <v>43.2</v>
      </c>
      <c r="Y29" s="35">
        <v>43.9</v>
      </c>
      <c r="Z29" s="35">
        <v>49.9</v>
      </c>
      <c r="AA29" s="35">
        <v>49</v>
      </c>
      <c r="AB29" s="35">
        <v>48.5</v>
      </c>
      <c r="AC29" s="35">
        <v>47.5</v>
      </c>
      <c r="AD29" s="35">
        <v>51</v>
      </c>
      <c r="AE29" s="35">
        <v>55.7</v>
      </c>
      <c r="AF29" s="35">
        <v>57.9</v>
      </c>
      <c r="AG29" s="35">
        <v>58.1</v>
      </c>
      <c r="AH29" s="35">
        <v>54.4</v>
      </c>
      <c r="AI29" s="35">
        <v>66.2</v>
      </c>
      <c r="AJ29" s="35">
        <v>66.7</v>
      </c>
      <c r="AK29" s="35">
        <v>70.3</v>
      </c>
      <c r="AL29" s="35">
        <v>66.599999999999994</v>
      </c>
      <c r="AM29" s="35">
        <v>66.5</v>
      </c>
      <c r="AN29" s="35">
        <v>65.3</v>
      </c>
      <c r="AO29" s="35">
        <v>62.1</v>
      </c>
      <c r="AP29" s="35">
        <v>67</v>
      </c>
      <c r="AQ29" s="35">
        <v>49.8</v>
      </c>
      <c r="AR29" s="35">
        <v>56</v>
      </c>
      <c r="AS29" s="35">
        <v>61.7</v>
      </c>
      <c r="AT29" s="35">
        <v>58.5</v>
      </c>
      <c r="AU29" s="35">
        <v>50.7</v>
      </c>
      <c r="AV29" s="35">
        <v>52.7</v>
      </c>
      <c r="AW29" s="35">
        <v>44.8</v>
      </c>
      <c r="AX29" s="35">
        <v>33.5</v>
      </c>
      <c r="AY29" s="35">
        <v>34.700000000000003</v>
      </c>
      <c r="AZ29" s="35">
        <v>35.4</v>
      </c>
      <c r="BA29" s="35">
        <v>31.7</v>
      </c>
      <c r="BB29" s="35">
        <v>34.299999999999997</v>
      </c>
      <c r="BC29" s="35">
        <v>46.3</v>
      </c>
      <c r="BD29" s="35">
        <v>53.3</v>
      </c>
      <c r="BE29" s="35">
        <v>54.6</v>
      </c>
      <c r="BF29" s="35">
        <v>64.8</v>
      </c>
      <c r="BG29" s="35">
        <v>63.8</v>
      </c>
      <c r="BH29" s="35">
        <v>53.8</v>
      </c>
      <c r="BI29" s="35">
        <v>54.3</v>
      </c>
      <c r="BJ29" s="35">
        <v>57.7</v>
      </c>
      <c r="BK29" s="35">
        <v>56.3</v>
      </c>
      <c r="BL29" s="35">
        <v>60.8</v>
      </c>
      <c r="BM29" s="35">
        <v>59</v>
      </c>
      <c r="BN29" s="35">
        <v>63</v>
      </c>
      <c r="BO29" s="35">
        <v>63.4</v>
      </c>
      <c r="BP29" s="35">
        <v>64.599999999999994</v>
      </c>
      <c r="BQ29" s="35">
        <v>73.099999999999994</v>
      </c>
      <c r="BR29" s="35">
        <v>76</v>
      </c>
      <c r="BS29" s="35">
        <v>87.3</v>
      </c>
      <c r="BT29" s="35">
        <v>91.3</v>
      </c>
      <c r="BU29" s="35">
        <v>87.1</v>
      </c>
      <c r="BV29" s="35">
        <v>84.5</v>
      </c>
      <c r="BW29" s="35">
        <v>90</v>
      </c>
      <c r="BX29" s="35">
        <v>97.8</v>
      </c>
      <c r="BY29" s="35">
        <v>102.7</v>
      </c>
      <c r="BZ29" s="35">
        <v>104.9</v>
      </c>
      <c r="CA29" s="35">
        <v>94.4</v>
      </c>
      <c r="CB29" s="35">
        <v>91.6</v>
      </c>
      <c r="CC29" s="35">
        <v>91.4</v>
      </c>
      <c r="CD29" s="35">
        <v>91.1</v>
      </c>
      <c r="CE29" s="35">
        <v>94.7</v>
      </c>
      <c r="CF29" s="35">
        <v>97</v>
      </c>
      <c r="CG29" s="35">
        <v>95.4</v>
      </c>
      <c r="CH29" s="35">
        <v>91.5</v>
      </c>
      <c r="CI29" s="35">
        <v>87.5</v>
      </c>
      <c r="CJ29" s="35">
        <v>88.2</v>
      </c>
      <c r="CK29" s="35">
        <v>89.5</v>
      </c>
      <c r="CL29" s="35">
        <v>99.8</v>
      </c>
      <c r="CM29" s="35">
        <v>102</v>
      </c>
      <c r="CN29" s="35">
        <v>98.9</v>
      </c>
      <c r="CO29" s="35">
        <v>107.2</v>
      </c>
      <c r="CP29" s="35">
        <v>111.5</v>
      </c>
      <c r="CQ29" s="35">
        <v>121.9</v>
      </c>
      <c r="CR29" s="35">
        <v>115.5</v>
      </c>
      <c r="CS29" s="35">
        <v>141</v>
      </c>
      <c r="CT29" s="35">
        <v>122.4</v>
      </c>
      <c r="CU29" s="35">
        <v>129.30000000000001</v>
      </c>
      <c r="CV29" s="35">
        <v>142.4</v>
      </c>
      <c r="CW29" s="35">
        <v>150.9</v>
      </c>
      <c r="CX29" s="35">
        <v>155.30000000000001</v>
      </c>
      <c r="CY29" s="35">
        <v>153.1</v>
      </c>
      <c r="CZ29" s="35">
        <v>159.1</v>
      </c>
      <c r="DA29" s="35">
        <v>156.19999999999999</v>
      </c>
      <c r="DB29" s="35">
        <v>162.4</v>
      </c>
      <c r="DC29" s="35">
        <v>171.9</v>
      </c>
      <c r="DD29" s="35">
        <v>172.6</v>
      </c>
      <c r="DE29" s="35">
        <v>175.3</v>
      </c>
      <c r="DF29" s="35">
        <v>176.9</v>
      </c>
      <c r="DG29" s="35">
        <v>180.5</v>
      </c>
      <c r="DH29" s="35">
        <v>190.5</v>
      </c>
      <c r="DI29" s="35">
        <v>181.5</v>
      </c>
      <c r="DJ29" s="35">
        <v>178.8</v>
      </c>
      <c r="DK29" s="35">
        <v>175.4</v>
      </c>
      <c r="DL29" s="35">
        <v>180.1</v>
      </c>
      <c r="DM29" s="35">
        <v>176.4</v>
      </c>
      <c r="DN29" s="35">
        <v>186</v>
      </c>
      <c r="DO29" s="35">
        <v>184.4</v>
      </c>
      <c r="DP29" s="35">
        <v>187.7</v>
      </c>
      <c r="DQ29" s="35">
        <v>192.1</v>
      </c>
      <c r="DR29" s="35">
        <v>202.2</v>
      </c>
      <c r="DS29" s="35">
        <v>201.1</v>
      </c>
      <c r="DT29" s="35">
        <v>185.6</v>
      </c>
      <c r="DU29" s="35">
        <v>187.6</v>
      </c>
      <c r="DV29" s="35">
        <v>154.9</v>
      </c>
      <c r="DW29" s="35">
        <v>148.69999999999999</v>
      </c>
      <c r="DX29" s="35">
        <v>130.9</v>
      </c>
      <c r="DY29" s="35">
        <v>115.8</v>
      </c>
      <c r="DZ29" s="35">
        <v>115.5</v>
      </c>
      <c r="EA29" s="35">
        <v>119.9</v>
      </c>
      <c r="EB29" s="35">
        <v>126.5</v>
      </c>
      <c r="EC29" s="35">
        <v>142</v>
      </c>
      <c r="ED29" s="35">
        <v>161.5</v>
      </c>
      <c r="EE29" s="35">
        <v>160.9</v>
      </c>
      <c r="EF29" s="35">
        <v>180.3</v>
      </c>
      <c r="EG29" s="35">
        <v>200.4</v>
      </c>
      <c r="EH29" s="35">
        <v>209.2</v>
      </c>
      <c r="EI29" s="35">
        <v>226</v>
      </c>
      <c r="EJ29" s="35">
        <v>244.5</v>
      </c>
      <c r="EK29" s="35">
        <v>249.2</v>
      </c>
      <c r="EL29" s="35">
        <v>315.3</v>
      </c>
      <c r="EM29" s="35">
        <v>306.10000000000002</v>
      </c>
      <c r="EN29" s="35">
        <v>311.89999999999998</v>
      </c>
      <c r="EO29" s="35">
        <v>344.7</v>
      </c>
      <c r="EP29" s="35">
        <v>357.2</v>
      </c>
      <c r="EQ29" s="35">
        <v>367.3</v>
      </c>
      <c r="ER29" s="35">
        <v>384.8</v>
      </c>
      <c r="ES29" s="35">
        <v>354.6</v>
      </c>
      <c r="ET29" s="35">
        <v>354.5</v>
      </c>
      <c r="EU29" s="35">
        <v>347.7</v>
      </c>
      <c r="EV29" s="35">
        <v>314.60000000000002</v>
      </c>
      <c r="EW29" s="35">
        <v>296.2</v>
      </c>
      <c r="EX29" s="35">
        <v>241.7</v>
      </c>
      <c r="EY29" s="35">
        <v>227.1</v>
      </c>
      <c r="EZ29" s="35">
        <v>211.5</v>
      </c>
      <c r="FA29" s="35">
        <v>127.5</v>
      </c>
      <c r="FB29" s="35">
        <v>122.7</v>
      </c>
      <c r="FC29" s="35">
        <v>138.9</v>
      </c>
      <c r="FD29" s="35">
        <v>159.4</v>
      </c>
      <c r="FE29" s="35">
        <v>190.8</v>
      </c>
      <c r="FF29" s="35">
        <v>204.7</v>
      </c>
      <c r="FG29" s="35">
        <v>212.2</v>
      </c>
      <c r="FH29" s="35">
        <v>227.1</v>
      </c>
      <c r="FI29" s="35">
        <v>233.6</v>
      </c>
      <c r="FJ29" s="35">
        <v>228.9</v>
      </c>
      <c r="FK29" s="35">
        <v>227.2</v>
      </c>
      <c r="FL29" s="35">
        <v>201.7</v>
      </c>
      <c r="FM29" s="35">
        <v>238</v>
      </c>
      <c r="FN29" s="35">
        <v>261.5</v>
      </c>
      <c r="FO29" s="35">
        <v>275.5</v>
      </c>
      <c r="FP29" s="35">
        <v>280.8</v>
      </c>
      <c r="FQ29" s="35">
        <v>280.89999999999998</v>
      </c>
      <c r="FR29" s="35">
        <v>297</v>
      </c>
      <c r="FS29" s="35">
        <v>293.2</v>
      </c>
      <c r="FT29" s="35">
        <v>301.2</v>
      </c>
      <c r="FU29" s="35">
        <v>302.3</v>
      </c>
      <c r="FV29" s="35">
        <v>336.4</v>
      </c>
      <c r="FW29" s="35">
        <v>360</v>
      </c>
      <c r="FX29" s="35">
        <v>330.1</v>
      </c>
      <c r="FY29" s="35">
        <v>332.1</v>
      </c>
      <c r="FZ29" s="35">
        <v>345.9</v>
      </c>
      <c r="GA29" s="35">
        <v>351</v>
      </c>
      <c r="GB29" s="35">
        <v>323.8</v>
      </c>
      <c r="GC29" s="35">
        <v>295.60000000000002</v>
      </c>
      <c r="GD29" s="35">
        <v>310.60000000000002</v>
      </c>
      <c r="GE29" s="35">
        <v>315.2</v>
      </c>
      <c r="GF29" s="35">
        <v>322</v>
      </c>
      <c r="GG29" s="35">
        <v>299.60000000000002</v>
      </c>
      <c r="GH29" s="35">
        <v>211.7</v>
      </c>
      <c r="GI29" s="35">
        <v>225.4</v>
      </c>
      <c r="GJ29" s="35">
        <v>241.3</v>
      </c>
      <c r="GK29" s="35">
        <v>243</v>
      </c>
      <c r="GL29" s="35">
        <v>206.5</v>
      </c>
      <c r="GM29" s="35">
        <v>227.2</v>
      </c>
      <c r="GN29" s="35">
        <v>229</v>
      </c>
      <c r="GO29" s="35">
        <v>237.2</v>
      </c>
      <c r="GP29" s="35">
        <v>202.8</v>
      </c>
      <c r="GQ29" s="35">
        <v>215.9</v>
      </c>
      <c r="GR29" s="35">
        <v>196.9</v>
      </c>
      <c r="GS29" s="35">
        <v>226.2</v>
      </c>
      <c r="GT29" s="35">
        <v>183.1</v>
      </c>
      <c r="GU29" s="35">
        <v>177.8</v>
      </c>
      <c r="GV29" s="35">
        <v>218.4</v>
      </c>
      <c r="GW29" s="35">
        <v>226.5</v>
      </c>
      <c r="GX29" s="35">
        <v>249.6</v>
      </c>
      <c r="GY29" s="35">
        <v>281.39999999999998</v>
      </c>
      <c r="GZ29" s="35">
        <v>278.39999999999998</v>
      </c>
      <c r="HA29" s="35">
        <v>304.8</v>
      </c>
      <c r="HB29">
        <v>313.8</v>
      </c>
      <c r="HC29">
        <v>353.2</v>
      </c>
      <c r="HD29">
        <v>340.6</v>
      </c>
      <c r="HE29">
        <v>332.2</v>
      </c>
    </row>
    <row r="30" spans="1:214" x14ac:dyDescent="0.35">
      <c r="A30" s="35" t="s">
        <v>2153</v>
      </c>
      <c r="B30" s="35">
        <v>45.1</v>
      </c>
      <c r="C30" s="35">
        <v>45.4</v>
      </c>
      <c r="D30" s="35">
        <v>45.9</v>
      </c>
      <c r="E30" s="35">
        <v>45.6</v>
      </c>
      <c r="F30" s="35">
        <v>49.6</v>
      </c>
      <c r="G30" s="35">
        <v>50.2</v>
      </c>
      <c r="H30" s="35">
        <v>50.5</v>
      </c>
      <c r="I30" s="35">
        <v>51</v>
      </c>
      <c r="J30" s="35">
        <v>57.3</v>
      </c>
      <c r="K30" s="35">
        <v>57.9</v>
      </c>
      <c r="L30" s="35">
        <v>58.5</v>
      </c>
      <c r="M30" s="35">
        <v>59.4</v>
      </c>
      <c r="N30" s="35">
        <v>72.7</v>
      </c>
      <c r="O30" s="35">
        <v>73.8</v>
      </c>
      <c r="P30" s="35">
        <v>75.099999999999994</v>
      </c>
      <c r="Q30" s="35">
        <v>76.599999999999994</v>
      </c>
      <c r="R30" s="35">
        <v>82.1</v>
      </c>
      <c r="S30" s="35">
        <v>83.6</v>
      </c>
      <c r="T30" s="35">
        <v>85.2</v>
      </c>
      <c r="U30" s="35">
        <v>85.4</v>
      </c>
      <c r="V30" s="35">
        <v>86.5</v>
      </c>
      <c r="W30" s="35">
        <v>86.8</v>
      </c>
      <c r="X30" s="35">
        <v>88.5</v>
      </c>
      <c r="Y30" s="35">
        <v>90.5</v>
      </c>
      <c r="Z30" s="35">
        <v>97.5</v>
      </c>
      <c r="AA30" s="35">
        <v>98.9</v>
      </c>
      <c r="AB30" s="35">
        <v>100.6</v>
      </c>
      <c r="AC30" s="35">
        <v>102.1</v>
      </c>
      <c r="AD30" s="35">
        <v>107.5</v>
      </c>
      <c r="AE30" s="35">
        <v>110.1</v>
      </c>
      <c r="AF30" s="35">
        <v>112.2</v>
      </c>
      <c r="AG30" s="35">
        <v>114.4</v>
      </c>
      <c r="AH30" s="35">
        <v>121.6</v>
      </c>
      <c r="AI30" s="35">
        <v>126.5</v>
      </c>
      <c r="AJ30" s="35">
        <v>130.80000000000001</v>
      </c>
      <c r="AK30" s="35">
        <v>136</v>
      </c>
      <c r="AL30" s="35">
        <v>143.1</v>
      </c>
      <c r="AM30" s="35">
        <v>147.4</v>
      </c>
      <c r="AN30" s="35">
        <v>152.4</v>
      </c>
      <c r="AO30" s="35">
        <v>156.30000000000001</v>
      </c>
      <c r="AP30" s="35">
        <v>159.30000000000001</v>
      </c>
      <c r="AQ30" s="35">
        <v>161</v>
      </c>
      <c r="AR30" s="35">
        <v>164.2</v>
      </c>
      <c r="AS30" s="35">
        <v>170.1</v>
      </c>
      <c r="AT30" s="35">
        <v>187.3</v>
      </c>
      <c r="AU30" s="35">
        <v>190.9</v>
      </c>
      <c r="AV30" s="35">
        <v>195.6</v>
      </c>
      <c r="AW30" s="35">
        <v>198.2</v>
      </c>
      <c r="AX30" s="35">
        <v>203.2</v>
      </c>
      <c r="AY30" s="35">
        <v>205.2</v>
      </c>
      <c r="AZ30" s="35">
        <v>207.5</v>
      </c>
      <c r="BA30" s="35">
        <v>208.3</v>
      </c>
      <c r="BB30" s="35">
        <v>216.1</v>
      </c>
      <c r="BC30" s="35">
        <v>220.2</v>
      </c>
      <c r="BD30" s="35">
        <v>224.8</v>
      </c>
      <c r="BE30" s="35">
        <v>231.2</v>
      </c>
      <c r="BF30" s="35">
        <v>246.3</v>
      </c>
      <c r="BG30" s="35">
        <v>252.1</v>
      </c>
      <c r="BH30" s="35">
        <v>257.10000000000002</v>
      </c>
      <c r="BI30" s="35">
        <v>261.10000000000002</v>
      </c>
      <c r="BJ30" s="35">
        <v>271</v>
      </c>
      <c r="BK30" s="35">
        <v>275</v>
      </c>
      <c r="BL30" s="35">
        <v>279.7</v>
      </c>
      <c r="BM30" s="35">
        <v>285.89999999999998</v>
      </c>
      <c r="BN30" s="35">
        <v>292.7</v>
      </c>
      <c r="BO30" s="35">
        <v>296.10000000000002</v>
      </c>
      <c r="BP30" s="35">
        <v>300.8</v>
      </c>
      <c r="BQ30" s="35">
        <v>306.2</v>
      </c>
      <c r="BR30" s="35">
        <v>310.7</v>
      </c>
      <c r="BS30" s="35">
        <v>314.5</v>
      </c>
      <c r="BT30" s="35">
        <v>319</v>
      </c>
      <c r="BU30" s="35">
        <v>325.60000000000002</v>
      </c>
      <c r="BV30" s="35">
        <v>344.7</v>
      </c>
      <c r="BW30" s="35">
        <v>351.7</v>
      </c>
      <c r="BX30" s="35">
        <v>357.7</v>
      </c>
      <c r="BY30" s="35">
        <v>365</v>
      </c>
      <c r="BZ30" s="35">
        <v>370.9</v>
      </c>
      <c r="CA30" s="35">
        <v>375.4</v>
      </c>
      <c r="CB30" s="35">
        <v>379.8</v>
      </c>
      <c r="CC30" s="35">
        <v>385.6</v>
      </c>
      <c r="CD30" s="35">
        <v>394</v>
      </c>
      <c r="CE30" s="35">
        <v>399</v>
      </c>
      <c r="CF30" s="35">
        <v>406.4</v>
      </c>
      <c r="CG30" s="35">
        <v>408.9</v>
      </c>
      <c r="CH30" s="35">
        <v>412</v>
      </c>
      <c r="CI30" s="35">
        <v>418.3</v>
      </c>
      <c r="CJ30" s="35">
        <v>423.7</v>
      </c>
      <c r="CK30" s="35">
        <v>428.4</v>
      </c>
      <c r="CL30" s="35">
        <v>439.9</v>
      </c>
      <c r="CM30" s="35">
        <v>445.1</v>
      </c>
      <c r="CN30" s="35">
        <v>447.9</v>
      </c>
      <c r="CO30" s="35">
        <v>442.9</v>
      </c>
      <c r="CP30" s="35">
        <v>462.1</v>
      </c>
      <c r="CQ30" s="35">
        <v>462.4</v>
      </c>
      <c r="CR30" s="35">
        <v>466.8</v>
      </c>
      <c r="CS30" s="35">
        <v>470.8</v>
      </c>
      <c r="CT30" s="35">
        <v>485.8</v>
      </c>
      <c r="CU30" s="35">
        <v>493</v>
      </c>
      <c r="CV30" s="35">
        <v>499</v>
      </c>
      <c r="CW30" s="35">
        <v>506.8</v>
      </c>
      <c r="CX30" s="35">
        <v>514.20000000000005</v>
      </c>
      <c r="CY30" s="35">
        <v>519</v>
      </c>
      <c r="CZ30" s="35">
        <v>524.6</v>
      </c>
      <c r="DA30" s="35">
        <v>529.9</v>
      </c>
      <c r="DB30" s="35">
        <v>532.9</v>
      </c>
      <c r="DC30" s="35">
        <v>541.70000000000005</v>
      </c>
      <c r="DD30" s="35">
        <v>549.5</v>
      </c>
      <c r="DE30" s="35">
        <v>557.5</v>
      </c>
      <c r="DF30" s="35">
        <v>566</v>
      </c>
      <c r="DG30" s="35">
        <v>574</v>
      </c>
      <c r="DH30" s="35">
        <v>582.9</v>
      </c>
      <c r="DI30" s="35">
        <v>594.79999999999995</v>
      </c>
      <c r="DJ30" s="35">
        <v>602.79999999999995</v>
      </c>
      <c r="DK30" s="35">
        <v>612.29999999999995</v>
      </c>
      <c r="DL30" s="35">
        <v>622.20000000000005</v>
      </c>
      <c r="DM30" s="35">
        <v>632.20000000000005</v>
      </c>
      <c r="DN30" s="35">
        <v>643.5</v>
      </c>
      <c r="DO30" s="35">
        <v>649.29999999999995</v>
      </c>
      <c r="DP30" s="35">
        <v>656.7</v>
      </c>
      <c r="DQ30" s="35">
        <v>669.8</v>
      </c>
      <c r="DR30" s="35">
        <v>689.4</v>
      </c>
      <c r="DS30" s="35">
        <v>691.5</v>
      </c>
      <c r="DT30" s="35">
        <v>704.2</v>
      </c>
      <c r="DU30" s="35">
        <v>709.2</v>
      </c>
      <c r="DV30" s="35">
        <v>723.4</v>
      </c>
      <c r="DW30" s="35">
        <v>723.4</v>
      </c>
      <c r="DX30" s="35">
        <v>722</v>
      </c>
      <c r="DY30" s="35">
        <v>724.2</v>
      </c>
      <c r="DZ30" s="35">
        <v>732</v>
      </c>
      <c r="EA30" s="35">
        <v>739.9</v>
      </c>
      <c r="EB30" s="35">
        <v>742</v>
      </c>
      <c r="EC30" s="35">
        <v>743.8</v>
      </c>
      <c r="ED30" s="35">
        <v>749.1</v>
      </c>
      <c r="EE30" s="35">
        <v>758.6</v>
      </c>
      <c r="EF30" s="35">
        <v>767.2</v>
      </c>
      <c r="EG30" s="35">
        <v>778.2</v>
      </c>
      <c r="EH30" s="35">
        <v>790</v>
      </c>
      <c r="EI30" s="35">
        <v>803.5</v>
      </c>
      <c r="EJ30" s="35">
        <v>818.4</v>
      </c>
      <c r="EK30" s="35">
        <v>824</v>
      </c>
      <c r="EL30" s="35">
        <v>837.4</v>
      </c>
      <c r="EM30" s="35">
        <v>846</v>
      </c>
      <c r="EN30" s="35">
        <v>859.8</v>
      </c>
      <c r="EO30" s="35">
        <v>870.4</v>
      </c>
      <c r="EP30" s="35">
        <v>895.1</v>
      </c>
      <c r="EQ30" s="35">
        <v>900.8</v>
      </c>
      <c r="ER30" s="35">
        <v>906.2</v>
      </c>
      <c r="ES30" s="35">
        <v>920.6</v>
      </c>
      <c r="ET30" s="35">
        <v>940.9</v>
      </c>
      <c r="EU30" s="35">
        <v>943.1</v>
      </c>
      <c r="EV30" s="35">
        <v>946.7</v>
      </c>
      <c r="EW30" s="35">
        <v>958.4</v>
      </c>
      <c r="EX30" s="35">
        <v>970.2</v>
      </c>
      <c r="EY30" s="35">
        <v>972.3</v>
      </c>
      <c r="EZ30" s="35">
        <v>977.6</v>
      </c>
      <c r="FA30" s="35">
        <v>977.8</v>
      </c>
      <c r="FB30" s="35">
        <v>946</v>
      </c>
      <c r="FC30" s="35">
        <v>952.6</v>
      </c>
      <c r="FD30" s="35">
        <v>950.3</v>
      </c>
      <c r="FE30" s="35">
        <v>953.9</v>
      </c>
      <c r="FF30" s="35">
        <v>960.6</v>
      </c>
      <c r="FG30" s="35">
        <v>971.7</v>
      </c>
      <c r="FH30" s="35">
        <v>974.6</v>
      </c>
      <c r="FI30" s="35">
        <v>976.6</v>
      </c>
      <c r="FJ30" s="35">
        <v>898.3</v>
      </c>
      <c r="FK30" s="35">
        <v>900.9</v>
      </c>
      <c r="FL30" s="35">
        <v>909.4</v>
      </c>
      <c r="FM30" s="35">
        <v>904.2</v>
      </c>
      <c r="FN30" s="35">
        <v>927.5</v>
      </c>
      <c r="FO30" s="35">
        <v>932.2</v>
      </c>
      <c r="FP30" s="35">
        <v>935.2</v>
      </c>
      <c r="FQ30" s="35">
        <v>957</v>
      </c>
      <c r="FR30" s="35">
        <v>1078.5999999999999</v>
      </c>
      <c r="FS30" s="35">
        <v>1090.7</v>
      </c>
      <c r="FT30" s="35">
        <v>1093.5999999999999</v>
      </c>
      <c r="FU30" s="35">
        <v>1104.2</v>
      </c>
      <c r="FV30" s="35">
        <v>1126.5999999999999</v>
      </c>
      <c r="FW30" s="35">
        <v>1131</v>
      </c>
      <c r="FX30" s="35">
        <v>1142.5</v>
      </c>
      <c r="FY30" s="35">
        <v>1160.0999999999999</v>
      </c>
      <c r="FZ30" s="35">
        <v>1175.2</v>
      </c>
      <c r="GA30" s="35">
        <v>1187</v>
      </c>
      <c r="GB30" s="35">
        <v>1196.8</v>
      </c>
      <c r="GC30" s="35">
        <v>1204.0999999999999</v>
      </c>
      <c r="GD30" s="35">
        <v>1211</v>
      </c>
      <c r="GE30" s="35">
        <v>1217</v>
      </c>
      <c r="GF30" s="35">
        <v>1228</v>
      </c>
      <c r="GG30" s="35">
        <v>1241.5</v>
      </c>
      <c r="GH30" s="35">
        <v>1262.7</v>
      </c>
      <c r="GI30" s="35">
        <v>1275.0999999999999</v>
      </c>
      <c r="GJ30" s="35">
        <v>1290.3</v>
      </c>
      <c r="GK30" s="35">
        <v>1309.0999999999999</v>
      </c>
      <c r="GL30" s="35">
        <v>1328.9</v>
      </c>
      <c r="GM30" s="35">
        <v>1338.6</v>
      </c>
      <c r="GN30" s="35">
        <v>1355.1</v>
      </c>
      <c r="GO30" s="35">
        <v>1363.4</v>
      </c>
      <c r="GP30" s="35">
        <v>1395.2</v>
      </c>
      <c r="GQ30" s="35">
        <v>1402.6</v>
      </c>
      <c r="GR30" s="35">
        <v>1410</v>
      </c>
      <c r="GS30" s="35">
        <v>1429</v>
      </c>
      <c r="GT30" s="35">
        <v>1455.1</v>
      </c>
      <c r="GU30" s="35">
        <v>1385.3</v>
      </c>
      <c r="GV30" s="35">
        <v>1432.2</v>
      </c>
      <c r="GW30" s="35">
        <v>1465</v>
      </c>
      <c r="GX30" s="35">
        <v>1474.8</v>
      </c>
      <c r="GY30" s="35">
        <v>1504.3</v>
      </c>
      <c r="GZ30" s="35">
        <v>1536.3</v>
      </c>
      <c r="HA30" s="35">
        <v>1578.1</v>
      </c>
      <c r="HB30" s="35">
        <v>1617.1</v>
      </c>
      <c r="HC30">
        <v>1636.8</v>
      </c>
      <c r="HD30">
        <v>1677.7</v>
      </c>
      <c r="HE30">
        <v>1702.7</v>
      </c>
      <c r="HF30">
        <v>1735.3</v>
      </c>
    </row>
    <row r="31" spans="1:214" x14ac:dyDescent="0.35">
      <c r="A31" s="35" t="s">
        <v>2154</v>
      </c>
      <c r="B31" s="35">
        <v>48.3</v>
      </c>
      <c r="C31" s="35">
        <v>57.5</v>
      </c>
      <c r="D31" s="35">
        <v>56.9</v>
      </c>
      <c r="E31" s="35">
        <v>59.8</v>
      </c>
      <c r="F31" s="35">
        <v>61</v>
      </c>
      <c r="G31" s="35">
        <v>67.900000000000006</v>
      </c>
      <c r="H31" s="35">
        <v>67.2</v>
      </c>
      <c r="I31" s="35">
        <v>68.2</v>
      </c>
      <c r="J31" s="35">
        <v>70.2</v>
      </c>
      <c r="K31" s="35">
        <v>70.2</v>
      </c>
      <c r="L31" s="35">
        <v>70.3</v>
      </c>
      <c r="M31" s="35">
        <v>80.599999999999994</v>
      </c>
      <c r="N31" s="35">
        <v>82.2</v>
      </c>
      <c r="O31" s="35">
        <v>83.6</v>
      </c>
      <c r="P31" s="35">
        <v>85.1</v>
      </c>
      <c r="Q31" s="35">
        <v>87.3</v>
      </c>
      <c r="R31" s="35">
        <v>94.1</v>
      </c>
      <c r="S31" s="35">
        <v>100.7</v>
      </c>
      <c r="T31" s="35">
        <v>106.4</v>
      </c>
      <c r="U31" s="35">
        <v>112</v>
      </c>
      <c r="V31" s="35">
        <v>120.5</v>
      </c>
      <c r="W31" s="35">
        <v>134.19999999999999</v>
      </c>
      <c r="X31" s="35">
        <v>136.80000000000001</v>
      </c>
      <c r="Y31" s="35">
        <v>137.80000000000001</v>
      </c>
      <c r="Z31" s="35">
        <v>141.30000000000001</v>
      </c>
      <c r="AA31" s="35">
        <v>139.6</v>
      </c>
      <c r="AB31" s="35">
        <v>145.4</v>
      </c>
      <c r="AC31" s="35">
        <v>147.69999999999999</v>
      </c>
      <c r="AD31" s="35">
        <v>149.80000000000001</v>
      </c>
      <c r="AE31" s="35">
        <v>148.9</v>
      </c>
      <c r="AF31" s="35">
        <v>154.4</v>
      </c>
      <c r="AG31" s="35">
        <v>156.6</v>
      </c>
      <c r="AH31" s="35">
        <v>158.5</v>
      </c>
      <c r="AI31" s="35">
        <v>158</v>
      </c>
      <c r="AJ31" s="35">
        <v>165.9</v>
      </c>
      <c r="AK31" s="35">
        <v>168.3</v>
      </c>
      <c r="AL31" s="35">
        <v>172.5</v>
      </c>
      <c r="AM31" s="35">
        <v>175.7</v>
      </c>
      <c r="AN31" s="35">
        <v>190.1</v>
      </c>
      <c r="AO31" s="35">
        <v>193.8</v>
      </c>
      <c r="AP31" s="35">
        <v>202.1</v>
      </c>
      <c r="AQ31" s="35">
        <v>207.3</v>
      </c>
      <c r="AR31" s="35">
        <v>235.4</v>
      </c>
      <c r="AS31" s="35">
        <v>236.4</v>
      </c>
      <c r="AT31" s="35">
        <v>240.5</v>
      </c>
      <c r="AU31" s="35">
        <v>241.6</v>
      </c>
      <c r="AV31" s="35">
        <v>259.3</v>
      </c>
      <c r="AW31" s="35">
        <v>261.5</v>
      </c>
      <c r="AX31" s="35">
        <v>265.2</v>
      </c>
      <c r="AY31" s="35">
        <v>272.2</v>
      </c>
      <c r="AZ31" s="35">
        <v>287.5</v>
      </c>
      <c r="BA31" s="35">
        <v>302.60000000000002</v>
      </c>
      <c r="BB31" s="35">
        <v>302.2</v>
      </c>
      <c r="BC31" s="35">
        <v>307.39999999999998</v>
      </c>
      <c r="BD31" s="35">
        <v>301.3</v>
      </c>
      <c r="BE31" s="35">
        <v>303.5</v>
      </c>
      <c r="BF31" s="35">
        <v>306.39999999999998</v>
      </c>
      <c r="BG31" s="35">
        <v>308.39999999999998</v>
      </c>
      <c r="BH31" s="35">
        <v>309.10000000000002</v>
      </c>
      <c r="BI31" s="35">
        <v>315.10000000000002</v>
      </c>
      <c r="BJ31" s="35">
        <v>323.2</v>
      </c>
      <c r="BK31" s="35">
        <v>324.2</v>
      </c>
      <c r="BL31" s="35">
        <v>327.5</v>
      </c>
      <c r="BM31" s="35">
        <v>328.5</v>
      </c>
      <c r="BN31" s="35">
        <v>338.3</v>
      </c>
      <c r="BO31" s="35">
        <v>342</v>
      </c>
      <c r="BP31" s="35">
        <v>347.8</v>
      </c>
      <c r="BQ31" s="35">
        <v>348.9</v>
      </c>
      <c r="BR31" s="35">
        <v>353.6</v>
      </c>
      <c r="BS31" s="35">
        <v>357.6</v>
      </c>
      <c r="BT31" s="35">
        <v>357.9</v>
      </c>
      <c r="BU31" s="35">
        <v>359.7</v>
      </c>
      <c r="BV31" s="35">
        <v>375</v>
      </c>
      <c r="BW31" s="35">
        <v>376.1</v>
      </c>
      <c r="BX31" s="35">
        <v>379.3</v>
      </c>
      <c r="BY31" s="35">
        <v>383</v>
      </c>
      <c r="BZ31" s="35">
        <v>403.9</v>
      </c>
      <c r="CA31" s="35">
        <v>408.3</v>
      </c>
      <c r="CB31" s="35">
        <v>413.7</v>
      </c>
      <c r="CC31" s="35">
        <v>420.9</v>
      </c>
      <c r="CD31" s="35">
        <v>437.5</v>
      </c>
      <c r="CE31" s="35">
        <v>443.4</v>
      </c>
      <c r="CF31" s="35">
        <v>447.9</v>
      </c>
      <c r="CG31" s="35">
        <v>459.4</v>
      </c>
      <c r="CH31" s="35">
        <v>481</v>
      </c>
      <c r="CI31" s="35">
        <v>491.3</v>
      </c>
      <c r="CJ31" s="35">
        <v>495.1</v>
      </c>
      <c r="CK31" s="35">
        <v>508.5</v>
      </c>
      <c r="CL31" s="35">
        <v>540</v>
      </c>
      <c r="CM31" s="35">
        <v>550.5</v>
      </c>
      <c r="CN31" s="35">
        <v>555.5</v>
      </c>
      <c r="CO31" s="35">
        <v>561.1</v>
      </c>
      <c r="CP31" s="35">
        <v>577.6</v>
      </c>
      <c r="CQ31" s="35">
        <v>582</v>
      </c>
      <c r="CR31" s="35">
        <v>585.70000000000005</v>
      </c>
      <c r="CS31" s="35">
        <v>589.6</v>
      </c>
      <c r="CT31" s="35">
        <v>601.79999999999995</v>
      </c>
      <c r="CU31" s="35">
        <v>606.20000000000005</v>
      </c>
      <c r="CV31" s="35">
        <v>610</v>
      </c>
      <c r="CW31" s="35">
        <v>618.1</v>
      </c>
      <c r="CX31" s="35">
        <v>637.6</v>
      </c>
      <c r="CY31" s="35">
        <v>644.9</v>
      </c>
      <c r="CZ31" s="35">
        <v>650</v>
      </c>
      <c r="DA31" s="35">
        <v>655.8</v>
      </c>
      <c r="DB31" s="35">
        <v>675</v>
      </c>
      <c r="DC31" s="35">
        <v>680.7</v>
      </c>
      <c r="DD31" s="35">
        <v>683.7</v>
      </c>
      <c r="DE31" s="35">
        <v>688.9</v>
      </c>
      <c r="DF31" s="35">
        <v>704.5</v>
      </c>
      <c r="DG31" s="35">
        <v>707.5</v>
      </c>
      <c r="DH31" s="35">
        <v>709.2</v>
      </c>
      <c r="DI31" s="35">
        <v>710.2</v>
      </c>
      <c r="DJ31" s="35">
        <v>719.7</v>
      </c>
      <c r="DK31" s="35">
        <v>720.7</v>
      </c>
      <c r="DL31" s="35">
        <v>723.5</v>
      </c>
      <c r="DM31" s="35">
        <v>724.7</v>
      </c>
      <c r="DN31" s="35">
        <v>735.5</v>
      </c>
      <c r="DO31" s="35">
        <v>738.6</v>
      </c>
      <c r="DP31" s="35">
        <v>741.1</v>
      </c>
      <c r="DQ31" s="35">
        <v>744.2</v>
      </c>
      <c r="DR31" s="35">
        <v>756.8</v>
      </c>
      <c r="DS31" s="35">
        <v>772.9</v>
      </c>
      <c r="DT31" s="35">
        <v>777.5</v>
      </c>
      <c r="DU31" s="35">
        <v>786.5</v>
      </c>
      <c r="DV31" s="35">
        <v>817.3</v>
      </c>
      <c r="DW31" s="35">
        <v>831</v>
      </c>
      <c r="DX31" s="35">
        <v>849.4</v>
      </c>
      <c r="DY31" s="35">
        <v>865.2</v>
      </c>
      <c r="DZ31" s="35">
        <v>895</v>
      </c>
      <c r="EA31" s="35">
        <v>921</v>
      </c>
      <c r="EB31" s="35">
        <v>925.2</v>
      </c>
      <c r="EC31" s="35">
        <v>930.8</v>
      </c>
      <c r="ED31" s="35">
        <v>947.7</v>
      </c>
      <c r="EE31" s="35">
        <v>964.3</v>
      </c>
      <c r="EF31" s="35">
        <v>973.7</v>
      </c>
      <c r="EG31" s="35">
        <v>984.3</v>
      </c>
      <c r="EH31" s="35">
        <v>1003.6</v>
      </c>
      <c r="EI31" s="35">
        <v>1013.5</v>
      </c>
      <c r="EJ31" s="35">
        <v>1024.0999999999999</v>
      </c>
      <c r="EK31" s="35">
        <v>1036.9000000000001</v>
      </c>
      <c r="EL31" s="35">
        <v>1065.3</v>
      </c>
      <c r="EM31" s="35">
        <v>1076</v>
      </c>
      <c r="EN31" s="35">
        <v>1091.8</v>
      </c>
      <c r="EO31" s="35">
        <v>1104.4000000000001</v>
      </c>
      <c r="EP31" s="35">
        <v>1172.7</v>
      </c>
      <c r="EQ31" s="35">
        <v>1184</v>
      </c>
      <c r="ER31" s="35">
        <v>1194.0999999999999</v>
      </c>
      <c r="ES31" s="35">
        <v>1205.5999999999999</v>
      </c>
      <c r="ET31" s="35">
        <v>1240.0999999999999</v>
      </c>
      <c r="EU31" s="35">
        <v>1256.7</v>
      </c>
      <c r="EV31" s="35">
        <v>1270.2</v>
      </c>
      <c r="EW31" s="35">
        <v>1286.3</v>
      </c>
      <c r="EX31" s="35">
        <v>1321.9</v>
      </c>
      <c r="EY31" s="35">
        <v>1657</v>
      </c>
      <c r="EZ31" s="35">
        <v>1445.3</v>
      </c>
      <c r="FA31" s="35">
        <v>1428.7</v>
      </c>
      <c r="FB31" s="35">
        <v>1521.8</v>
      </c>
      <c r="FC31" s="35">
        <v>1648</v>
      </c>
      <c r="FD31" s="35">
        <v>1634.5</v>
      </c>
      <c r="FE31" s="35">
        <v>1653.9</v>
      </c>
      <c r="FF31" s="35">
        <v>1753.5</v>
      </c>
      <c r="FG31" s="35">
        <v>1755.7</v>
      </c>
      <c r="FH31" s="35">
        <v>1758.8</v>
      </c>
      <c r="FI31" s="35">
        <v>1761.9</v>
      </c>
      <c r="FJ31" s="35">
        <v>1768.6</v>
      </c>
      <c r="FK31" s="35">
        <v>1777.4</v>
      </c>
      <c r="FL31" s="35">
        <v>1782.4</v>
      </c>
      <c r="FM31" s="35">
        <v>1789.3</v>
      </c>
      <c r="FN31" s="35">
        <v>1772.9</v>
      </c>
      <c r="FO31" s="35">
        <v>1777.5</v>
      </c>
      <c r="FP31" s="35">
        <v>1783.6</v>
      </c>
      <c r="FQ31" s="35">
        <v>1793.4</v>
      </c>
      <c r="FR31" s="35">
        <v>1817.3</v>
      </c>
      <c r="FS31" s="35">
        <v>1815.5</v>
      </c>
      <c r="FT31" s="35">
        <v>1823.2</v>
      </c>
      <c r="FU31" s="35">
        <v>1830.1</v>
      </c>
      <c r="FV31" s="35">
        <v>1848.1</v>
      </c>
      <c r="FW31" s="35">
        <v>1876.8</v>
      </c>
      <c r="FX31" s="35">
        <v>1890.5</v>
      </c>
      <c r="FY31" s="35">
        <v>1909</v>
      </c>
      <c r="FZ31" s="35">
        <v>1945.5</v>
      </c>
      <c r="GA31" s="35">
        <v>1966.6</v>
      </c>
      <c r="GB31" s="35">
        <v>1977.6</v>
      </c>
      <c r="GC31" s="35">
        <v>1989.7</v>
      </c>
      <c r="GD31" s="35">
        <v>2006.2</v>
      </c>
      <c r="GE31" s="35">
        <v>2018</v>
      </c>
      <c r="GF31" s="35">
        <v>2029.1</v>
      </c>
      <c r="GG31" s="35">
        <v>2043.5</v>
      </c>
      <c r="GH31" s="35">
        <v>2074</v>
      </c>
      <c r="GI31" s="35">
        <v>2087.4</v>
      </c>
      <c r="GJ31" s="35">
        <v>2105.5</v>
      </c>
      <c r="GK31" s="35">
        <v>2124.1999999999998</v>
      </c>
      <c r="GL31" s="35">
        <v>2170.8000000000002</v>
      </c>
      <c r="GM31" s="35">
        <v>2183.4</v>
      </c>
      <c r="GN31" s="35">
        <v>2201.3000000000002</v>
      </c>
      <c r="GO31" s="35">
        <v>2224.3000000000002</v>
      </c>
      <c r="GP31" s="35">
        <v>2303.4</v>
      </c>
      <c r="GQ31" s="35">
        <v>2319.4</v>
      </c>
      <c r="GR31" s="35">
        <v>2333.8000000000002</v>
      </c>
      <c r="GS31" s="35">
        <v>2346.4</v>
      </c>
      <c r="GT31" s="35">
        <v>2407.5</v>
      </c>
      <c r="GU31" s="35">
        <v>4698.7</v>
      </c>
      <c r="GV31" s="35">
        <v>3492.4</v>
      </c>
      <c r="GW31" s="35">
        <v>2881.6</v>
      </c>
      <c r="GX31" s="35">
        <v>5094.8</v>
      </c>
      <c r="GY31" s="35">
        <v>3395.6</v>
      </c>
      <c r="GZ31" s="35">
        <v>3146.3</v>
      </c>
      <c r="HA31" s="35">
        <v>2937.4</v>
      </c>
      <c r="HB31" s="35">
        <v>2863</v>
      </c>
      <c r="HC31">
        <v>2846.5</v>
      </c>
      <c r="HD31">
        <v>2840.1</v>
      </c>
      <c r="HE31">
        <v>2882.8</v>
      </c>
      <c r="HF31">
        <v>2969.5</v>
      </c>
    </row>
    <row r="32" spans="1:214" x14ac:dyDescent="0.35">
      <c r="A32" s="35" t="s">
        <v>2155</v>
      </c>
      <c r="B32" s="35">
        <v>16.600000000000001</v>
      </c>
      <c r="C32" s="35">
        <v>17.899999999999999</v>
      </c>
      <c r="D32" s="35">
        <v>19.2</v>
      </c>
      <c r="E32" s="35">
        <v>19.8</v>
      </c>
      <c r="F32" s="35">
        <v>20.5</v>
      </c>
      <c r="G32" s="35">
        <v>22.1</v>
      </c>
      <c r="H32" s="35">
        <v>22.4</v>
      </c>
      <c r="I32" s="35">
        <v>23.7</v>
      </c>
      <c r="J32" s="35">
        <v>24.4</v>
      </c>
      <c r="K32" s="35">
        <v>32.700000000000003</v>
      </c>
      <c r="L32" s="35">
        <v>25.6</v>
      </c>
      <c r="M32" s="35">
        <v>39.299999999999997</v>
      </c>
      <c r="N32" s="35">
        <v>34.299999999999997</v>
      </c>
      <c r="O32" s="35">
        <v>33.4</v>
      </c>
      <c r="P32" s="35">
        <v>32.6</v>
      </c>
      <c r="Q32" s="35">
        <v>33.6</v>
      </c>
      <c r="R32" s="35">
        <v>33.299999999999997</v>
      </c>
      <c r="S32" s="35">
        <v>34.1</v>
      </c>
      <c r="T32" s="35">
        <v>35.4</v>
      </c>
      <c r="U32" s="35">
        <v>36.799999999999997</v>
      </c>
      <c r="V32" s="35">
        <v>39.299999999999997</v>
      </c>
      <c r="W32" s="35">
        <v>44.3</v>
      </c>
      <c r="X32" s="35">
        <v>45</v>
      </c>
      <c r="Y32" s="35">
        <v>45.9</v>
      </c>
      <c r="Z32" s="35">
        <v>47</v>
      </c>
      <c r="AA32" s="35">
        <v>47.8</v>
      </c>
      <c r="AB32" s="35">
        <v>48.7</v>
      </c>
      <c r="AC32" s="35">
        <v>52.7</v>
      </c>
      <c r="AD32" s="35">
        <v>50.7</v>
      </c>
      <c r="AE32" s="35">
        <v>53.7</v>
      </c>
      <c r="AF32" s="35">
        <v>57.3</v>
      </c>
      <c r="AG32" s="35">
        <v>57.3</v>
      </c>
      <c r="AH32" s="35">
        <v>61.5</v>
      </c>
      <c r="AI32" s="35">
        <v>64.099999999999994</v>
      </c>
      <c r="AJ32" s="35">
        <v>63.4</v>
      </c>
      <c r="AK32" s="35">
        <v>64.900000000000006</v>
      </c>
      <c r="AL32" s="35">
        <v>62.1</v>
      </c>
      <c r="AM32" s="35">
        <v>62.6</v>
      </c>
      <c r="AN32" s="35">
        <v>65.2</v>
      </c>
      <c r="AO32" s="35">
        <v>65.900000000000006</v>
      </c>
      <c r="AP32" s="35">
        <v>66.7</v>
      </c>
      <c r="AQ32" s="35">
        <v>68.2</v>
      </c>
      <c r="AR32" s="35">
        <v>70.7</v>
      </c>
      <c r="AS32" s="35">
        <v>73.099999999999994</v>
      </c>
      <c r="AT32" s="35">
        <v>71.5</v>
      </c>
      <c r="AU32" s="35">
        <v>71.400000000000006</v>
      </c>
      <c r="AV32" s="35">
        <v>68.8</v>
      </c>
      <c r="AW32" s="35">
        <v>66</v>
      </c>
      <c r="AX32" s="35">
        <v>65.8</v>
      </c>
      <c r="AY32" s="35">
        <v>67.3</v>
      </c>
      <c r="AZ32" s="35">
        <v>65.599999999999994</v>
      </c>
      <c r="BA32" s="35">
        <v>66.3</v>
      </c>
      <c r="BB32" s="35">
        <v>67.2</v>
      </c>
      <c r="BC32" s="35">
        <v>69.2</v>
      </c>
      <c r="BD32" s="35">
        <v>68.400000000000006</v>
      </c>
      <c r="BE32" s="35">
        <v>67</v>
      </c>
      <c r="BF32" s="35">
        <v>71.3</v>
      </c>
      <c r="BG32" s="35">
        <v>73.099999999999994</v>
      </c>
      <c r="BH32" s="35">
        <v>70.7</v>
      </c>
      <c r="BI32" s="35">
        <v>74.3</v>
      </c>
      <c r="BJ32" s="35">
        <v>74.8</v>
      </c>
      <c r="BK32" s="35">
        <v>75.3</v>
      </c>
      <c r="BL32" s="35">
        <v>76.400000000000006</v>
      </c>
      <c r="BM32" s="35">
        <v>78.099999999999994</v>
      </c>
      <c r="BN32" s="35">
        <v>79.7</v>
      </c>
      <c r="BO32" s="35">
        <v>83.8</v>
      </c>
      <c r="BP32" s="35">
        <v>86.7</v>
      </c>
      <c r="BQ32" s="35">
        <v>79.5</v>
      </c>
      <c r="BR32" s="35">
        <v>76.900000000000006</v>
      </c>
      <c r="BS32" s="35">
        <v>80.2</v>
      </c>
      <c r="BT32" s="35">
        <v>78.2</v>
      </c>
      <c r="BU32" s="35">
        <v>78.2</v>
      </c>
      <c r="BV32" s="35">
        <v>84.1</v>
      </c>
      <c r="BW32" s="35">
        <v>84.1</v>
      </c>
      <c r="BX32" s="35">
        <v>87</v>
      </c>
      <c r="BY32" s="35">
        <v>87.7</v>
      </c>
      <c r="BZ32" s="35">
        <v>88.7</v>
      </c>
      <c r="CA32" s="35">
        <v>89.1</v>
      </c>
      <c r="CB32" s="35">
        <v>95</v>
      </c>
      <c r="CC32" s="35">
        <v>94.5</v>
      </c>
      <c r="CD32" s="35">
        <v>99.9</v>
      </c>
      <c r="CE32" s="35">
        <v>103.2</v>
      </c>
      <c r="CF32" s="35">
        <v>105.5</v>
      </c>
      <c r="CG32" s="35">
        <v>108.8</v>
      </c>
      <c r="CH32" s="35">
        <v>115.6</v>
      </c>
      <c r="CI32" s="35">
        <v>120.5</v>
      </c>
      <c r="CJ32" s="35">
        <v>127</v>
      </c>
      <c r="CK32" s="35">
        <v>132.9</v>
      </c>
      <c r="CL32" s="35">
        <v>136.19999999999999</v>
      </c>
      <c r="CM32" s="35">
        <v>139</v>
      </c>
      <c r="CN32" s="35">
        <v>145</v>
      </c>
      <c r="CO32" s="35">
        <v>146.5</v>
      </c>
      <c r="CP32" s="35">
        <v>148.80000000000001</v>
      </c>
      <c r="CQ32" s="35">
        <v>151.4</v>
      </c>
      <c r="CR32" s="35">
        <v>157.19999999999999</v>
      </c>
      <c r="CS32" s="35">
        <v>165.5</v>
      </c>
      <c r="CT32" s="35">
        <v>162.4</v>
      </c>
      <c r="CU32" s="35">
        <v>164.9</v>
      </c>
      <c r="CV32" s="35">
        <v>167.3</v>
      </c>
      <c r="CW32" s="35">
        <v>172.8</v>
      </c>
      <c r="CX32" s="35">
        <v>175.6</v>
      </c>
      <c r="CY32" s="35">
        <v>174.8</v>
      </c>
      <c r="CZ32" s="35">
        <v>175.8</v>
      </c>
      <c r="DA32" s="35">
        <v>171.7</v>
      </c>
      <c r="DB32" s="35">
        <v>177.1</v>
      </c>
      <c r="DC32" s="35">
        <v>185.5</v>
      </c>
      <c r="DD32" s="35">
        <v>182.9</v>
      </c>
      <c r="DE32" s="35">
        <v>180.3</v>
      </c>
      <c r="DF32" s="35">
        <v>184.6</v>
      </c>
      <c r="DG32" s="35">
        <v>184.2</v>
      </c>
      <c r="DH32" s="35">
        <v>187.5</v>
      </c>
      <c r="DI32" s="35">
        <v>196.3</v>
      </c>
      <c r="DJ32" s="35">
        <v>197.3</v>
      </c>
      <c r="DK32" s="35">
        <v>197</v>
      </c>
      <c r="DL32" s="35">
        <v>201.8</v>
      </c>
      <c r="DM32" s="35">
        <v>207</v>
      </c>
      <c r="DN32" s="35">
        <v>214.7</v>
      </c>
      <c r="DO32" s="35">
        <v>211.8</v>
      </c>
      <c r="DP32" s="35">
        <v>223.1</v>
      </c>
      <c r="DQ32" s="35">
        <v>227</v>
      </c>
      <c r="DR32" s="35">
        <v>224.5</v>
      </c>
      <c r="DS32" s="35">
        <v>227.4</v>
      </c>
      <c r="DT32" s="35">
        <v>239.5</v>
      </c>
      <c r="DU32" s="35">
        <v>241.1</v>
      </c>
      <c r="DV32" s="35">
        <v>254</v>
      </c>
      <c r="DW32" s="35">
        <v>262.2</v>
      </c>
      <c r="DX32" s="35">
        <v>258.5</v>
      </c>
      <c r="DY32" s="35">
        <v>270.39999999999998</v>
      </c>
      <c r="DZ32" s="35">
        <v>277.3</v>
      </c>
      <c r="EA32" s="35">
        <v>285.7</v>
      </c>
      <c r="EB32" s="35">
        <v>294.3</v>
      </c>
      <c r="EC32" s="35">
        <v>297.39999999999998</v>
      </c>
      <c r="ED32" s="35">
        <v>299.60000000000002</v>
      </c>
      <c r="EE32" s="35">
        <v>323.3</v>
      </c>
      <c r="EF32" s="35">
        <v>329.6</v>
      </c>
      <c r="EG32" s="35">
        <v>334.3</v>
      </c>
      <c r="EH32" s="35">
        <v>328</v>
      </c>
      <c r="EI32" s="35">
        <v>332.8</v>
      </c>
      <c r="EJ32" s="35">
        <v>328.4</v>
      </c>
      <c r="EK32" s="35">
        <v>340</v>
      </c>
      <c r="EL32" s="35">
        <v>341.6</v>
      </c>
      <c r="EM32" s="35">
        <v>344.8</v>
      </c>
      <c r="EN32" s="35">
        <v>342.5</v>
      </c>
      <c r="EO32" s="35">
        <v>345.1</v>
      </c>
      <c r="EP32" s="35">
        <v>340</v>
      </c>
      <c r="EQ32" s="35">
        <v>341.5</v>
      </c>
      <c r="ER32" s="35">
        <v>347.9</v>
      </c>
      <c r="ES32" s="35">
        <v>334.7</v>
      </c>
      <c r="ET32" s="35">
        <v>358.4</v>
      </c>
      <c r="EU32" s="35">
        <v>359.4</v>
      </c>
      <c r="EV32" s="35">
        <v>359.8</v>
      </c>
      <c r="EW32" s="35">
        <v>358.9</v>
      </c>
      <c r="EX32" s="35">
        <v>365.7</v>
      </c>
      <c r="EY32" s="35">
        <v>371.5</v>
      </c>
      <c r="EZ32" s="35">
        <v>368.8</v>
      </c>
      <c r="FA32" s="35">
        <v>378.6</v>
      </c>
      <c r="FB32" s="35">
        <v>421.1</v>
      </c>
      <c r="FC32" s="35">
        <v>473.9</v>
      </c>
      <c r="FD32" s="35">
        <v>465.4</v>
      </c>
      <c r="FE32" s="35">
        <v>472.1</v>
      </c>
      <c r="FF32" s="35">
        <v>496.2</v>
      </c>
      <c r="FG32" s="35">
        <v>492.6</v>
      </c>
      <c r="FH32" s="35">
        <v>517.79999999999995</v>
      </c>
      <c r="FI32" s="35">
        <v>514.4</v>
      </c>
      <c r="FJ32" s="35">
        <v>500.5</v>
      </c>
      <c r="FK32" s="35">
        <v>503.4</v>
      </c>
      <c r="FL32" s="35">
        <v>448.3</v>
      </c>
      <c r="FM32" s="35">
        <v>437.7</v>
      </c>
      <c r="FN32" s="35">
        <v>441.7</v>
      </c>
      <c r="FO32" s="35">
        <v>447.9</v>
      </c>
      <c r="FP32" s="35">
        <v>440</v>
      </c>
      <c r="FQ32" s="35">
        <v>448.2</v>
      </c>
      <c r="FR32" s="35">
        <v>440</v>
      </c>
      <c r="FS32" s="35">
        <v>459.2</v>
      </c>
      <c r="FT32" s="35">
        <v>454</v>
      </c>
      <c r="FU32" s="35">
        <v>447.3</v>
      </c>
      <c r="FV32" s="35">
        <v>467.8</v>
      </c>
      <c r="FW32" s="35">
        <v>492.5</v>
      </c>
      <c r="FX32" s="35">
        <v>511.1</v>
      </c>
      <c r="FY32" s="35">
        <v>508.8</v>
      </c>
      <c r="FZ32" s="35">
        <v>524.79999999999995</v>
      </c>
      <c r="GA32" s="35">
        <v>528.9</v>
      </c>
      <c r="GB32" s="35">
        <v>530.4</v>
      </c>
      <c r="GC32" s="35">
        <v>548.20000000000005</v>
      </c>
      <c r="GD32" s="35">
        <v>544.4</v>
      </c>
      <c r="GE32" s="35">
        <v>546.6</v>
      </c>
      <c r="GF32" s="35">
        <v>562.79999999999995</v>
      </c>
      <c r="GG32" s="35">
        <v>573.1</v>
      </c>
      <c r="GH32" s="35">
        <v>562.79999999999995</v>
      </c>
      <c r="GI32" s="35">
        <v>542.4</v>
      </c>
      <c r="GJ32" s="35">
        <v>562.9</v>
      </c>
      <c r="GK32" s="35">
        <v>573.6</v>
      </c>
      <c r="GL32" s="35">
        <v>581.20000000000005</v>
      </c>
      <c r="GM32" s="35">
        <v>579.5</v>
      </c>
      <c r="GN32" s="35">
        <v>581.70000000000005</v>
      </c>
      <c r="GO32" s="35">
        <v>587.79999999999995</v>
      </c>
      <c r="GP32" s="35">
        <v>592.4</v>
      </c>
      <c r="GQ32" s="35">
        <v>615.5</v>
      </c>
      <c r="GR32" s="35">
        <v>610.4</v>
      </c>
      <c r="GS32" s="35">
        <v>617.5</v>
      </c>
      <c r="GT32" s="35">
        <v>638.6</v>
      </c>
      <c r="GU32" s="35">
        <v>1395</v>
      </c>
      <c r="GV32" s="35">
        <v>737.1</v>
      </c>
      <c r="GW32" s="35">
        <v>744.8</v>
      </c>
      <c r="GX32" s="35">
        <v>785.1</v>
      </c>
      <c r="GY32" s="35">
        <v>1653.7</v>
      </c>
      <c r="GZ32" s="35">
        <v>1085</v>
      </c>
      <c r="HA32" s="35">
        <v>924.7</v>
      </c>
      <c r="HB32" s="35">
        <v>940</v>
      </c>
      <c r="HC32">
        <v>960.5</v>
      </c>
      <c r="HD32">
        <v>953.4</v>
      </c>
      <c r="HE32">
        <v>953.3</v>
      </c>
      <c r="HF32">
        <v>980.5</v>
      </c>
    </row>
    <row r="33" spans="1:214" x14ac:dyDescent="0.35">
      <c r="A33" s="35" t="s">
        <v>2156</v>
      </c>
      <c r="B33" s="35">
        <v>14</v>
      </c>
      <c r="C33" s="35">
        <v>14.1</v>
      </c>
      <c r="D33" s="35">
        <v>14.3</v>
      </c>
      <c r="E33" s="35">
        <v>14.4</v>
      </c>
      <c r="F33" s="35">
        <v>14.7</v>
      </c>
      <c r="G33" s="35">
        <v>15.6</v>
      </c>
      <c r="H33" s="35">
        <v>16</v>
      </c>
      <c r="I33" s="35">
        <v>17.3</v>
      </c>
      <c r="J33" s="35">
        <v>19.5</v>
      </c>
      <c r="K33" s="35">
        <v>21</v>
      </c>
      <c r="L33" s="35">
        <v>21.2</v>
      </c>
      <c r="M33" s="35">
        <v>21.8</v>
      </c>
      <c r="N33" s="35">
        <v>21.9</v>
      </c>
      <c r="O33" s="35">
        <v>22.3</v>
      </c>
      <c r="P33" s="35">
        <v>23.1</v>
      </c>
      <c r="Q33" s="35">
        <v>24</v>
      </c>
      <c r="R33" s="35">
        <v>23.3</v>
      </c>
      <c r="S33" s="35">
        <v>24.1</v>
      </c>
      <c r="T33" s="35">
        <v>25.2</v>
      </c>
      <c r="U33" s="35">
        <v>25.6</v>
      </c>
      <c r="V33" s="35">
        <v>25.7</v>
      </c>
      <c r="W33" s="35">
        <v>26.5</v>
      </c>
      <c r="X33" s="35">
        <v>27.2</v>
      </c>
      <c r="Y33" s="35">
        <v>28.2</v>
      </c>
      <c r="Z33" s="35">
        <v>29.5</v>
      </c>
      <c r="AA33" s="35">
        <v>30.6</v>
      </c>
      <c r="AB33" s="35">
        <v>31.6</v>
      </c>
      <c r="AC33" s="35">
        <v>32.6</v>
      </c>
      <c r="AD33" s="35">
        <v>33.5</v>
      </c>
      <c r="AE33" s="35">
        <v>34.700000000000003</v>
      </c>
      <c r="AF33" s="35">
        <v>35.9</v>
      </c>
      <c r="AG33" s="35">
        <v>37.299999999999997</v>
      </c>
      <c r="AH33" s="35">
        <v>38.6</v>
      </c>
      <c r="AI33" s="35">
        <v>40.1</v>
      </c>
      <c r="AJ33" s="35">
        <v>40.9</v>
      </c>
      <c r="AK33" s="35">
        <v>42.1</v>
      </c>
      <c r="AL33" s="35">
        <v>42</v>
      </c>
      <c r="AM33" s="35">
        <v>42.1</v>
      </c>
      <c r="AN33" s="35">
        <v>45.4</v>
      </c>
      <c r="AO33" s="35">
        <v>46.6</v>
      </c>
      <c r="AP33" s="35">
        <v>46.6</v>
      </c>
      <c r="AQ33" s="35">
        <v>48</v>
      </c>
      <c r="AR33" s="35">
        <v>49.4</v>
      </c>
      <c r="AS33" s="35">
        <v>51.6</v>
      </c>
      <c r="AT33" s="35">
        <v>52.5</v>
      </c>
      <c r="AU33" s="35">
        <v>53.7</v>
      </c>
      <c r="AV33" s="35">
        <v>55.5</v>
      </c>
      <c r="AW33" s="35">
        <v>56.8</v>
      </c>
      <c r="AX33" s="35">
        <v>57.3</v>
      </c>
      <c r="AY33" s="35">
        <v>58.1</v>
      </c>
      <c r="AZ33" s="35">
        <v>60.4</v>
      </c>
      <c r="BA33" s="35">
        <v>60.8</v>
      </c>
      <c r="BB33" s="35">
        <v>61.3</v>
      </c>
      <c r="BC33" s="35">
        <v>64.3</v>
      </c>
      <c r="BD33" s="35">
        <v>68.099999999999994</v>
      </c>
      <c r="BE33" s="35">
        <v>70.7</v>
      </c>
      <c r="BF33" s="35">
        <v>73.3</v>
      </c>
      <c r="BG33" s="35">
        <v>75.8</v>
      </c>
      <c r="BH33" s="35">
        <v>76.8</v>
      </c>
      <c r="BI33" s="35">
        <v>78.2</v>
      </c>
      <c r="BJ33" s="35">
        <v>79.3</v>
      </c>
      <c r="BK33" s="35">
        <v>80.900000000000006</v>
      </c>
      <c r="BL33" s="35">
        <v>81.5</v>
      </c>
      <c r="BM33" s="35">
        <v>83.7</v>
      </c>
      <c r="BN33" s="35">
        <v>84.5</v>
      </c>
      <c r="BO33" s="35">
        <v>85</v>
      </c>
      <c r="BP33" s="35">
        <v>87.5</v>
      </c>
      <c r="BQ33" s="35">
        <v>91.8</v>
      </c>
      <c r="BR33" s="35">
        <v>92.4</v>
      </c>
      <c r="BS33" s="35">
        <v>101.5</v>
      </c>
      <c r="BT33" s="35">
        <v>94.1</v>
      </c>
      <c r="BU33" s="35">
        <v>98.4</v>
      </c>
      <c r="BV33" s="35">
        <v>99.4</v>
      </c>
      <c r="BW33" s="35">
        <v>97.2</v>
      </c>
      <c r="BX33" s="35">
        <v>104.1</v>
      </c>
      <c r="BY33" s="35">
        <v>107.6</v>
      </c>
      <c r="BZ33" s="35">
        <v>113.4</v>
      </c>
      <c r="CA33" s="35">
        <v>118.3</v>
      </c>
      <c r="CB33" s="35">
        <v>114.5</v>
      </c>
      <c r="CC33" s="35">
        <v>112.4</v>
      </c>
      <c r="CD33" s="35">
        <v>119.4</v>
      </c>
      <c r="CE33" s="35">
        <v>122.6</v>
      </c>
      <c r="CF33" s="35">
        <v>123.7</v>
      </c>
      <c r="CG33" s="35">
        <v>124.6</v>
      </c>
      <c r="CH33" s="35">
        <v>121.2</v>
      </c>
      <c r="CI33" s="35">
        <v>124.5</v>
      </c>
      <c r="CJ33" s="35">
        <v>126.1</v>
      </c>
      <c r="CK33" s="35">
        <v>129.5</v>
      </c>
      <c r="CL33" s="35">
        <v>127.6</v>
      </c>
      <c r="CM33" s="35">
        <v>136.9</v>
      </c>
      <c r="CN33" s="35">
        <v>136.80000000000001</v>
      </c>
      <c r="CO33" s="35">
        <v>140</v>
      </c>
      <c r="CP33" s="35">
        <v>136.69999999999999</v>
      </c>
      <c r="CQ33" s="35">
        <v>138.30000000000001</v>
      </c>
      <c r="CR33" s="35">
        <v>143.6</v>
      </c>
      <c r="CS33" s="35">
        <v>145.80000000000001</v>
      </c>
      <c r="CT33" s="35">
        <v>146.9</v>
      </c>
      <c r="CU33" s="35">
        <v>141.9</v>
      </c>
      <c r="CV33" s="35">
        <v>151.19999999999999</v>
      </c>
      <c r="CW33" s="35">
        <v>152</v>
      </c>
      <c r="CX33" s="35">
        <v>156.9</v>
      </c>
      <c r="CY33" s="35">
        <v>152.4</v>
      </c>
      <c r="CZ33" s="35">
        <v>160.69999999999999</v>
      </c>
      <c r="DA33" s="35">
        <v>162.4</v>
      </c>
      <c r="DB33" s="35">
        <v>165.3</v>
      </c>
      <c r="DC33" s="35">
        <v>165.9</v>
      </c>
      <c r="DD33" s="35">
        <v>169.3</v>
      </c>
      <c r="DE33" s="35">
        <v>174.1</v>
      </c>
      <c r="DF33" s="35">
        <v>177.8</v>
      </c>
      <c r="DG33" s="35">
        <v>176.9</v>
      </c>
      <c r="DH33" s="35">
        <v>184.1</v>
      </c>
      <c r="DI33" s="35">
        <v>189.2</v>
      </c>
      <c r="DJ33" s="35">
        <v>195.6</v>
      </c>
      <c r="DK33" s="35">
        <v>201.4</v>
      </c>
      <c r="DL33" s="35">
        <v>201.6</v>
      </c>
      <c r="DM33" s="35">
        <v>206.3</v>
      </c>
      <c r="DN33" s="35">
        <v>208.2</v>
      </c>
      <c r="DO33" s="35">
        <v>209.4</v>
      </c>
      <c r="DP33" s="35">
        <v>216.4</v>
      </c>
      <c r="DQ33" s="35">
        <v>224</v>
      </c>
      <c r="DR33" s="35">
        <v>232.2</v>
      </c>
      <c r="DS33" s="35">
        <v>243.3</v>
      </c>
      <c r="DT33" s="35">
        <v>236.6</v>
      </c>
      <c r="DU33" s="35">
        <v>234.8</v>
      </c>
      <c r="DV33" s="35">
        <v>250.9</v>
      </c>
      <c r="DW33" s="35">
        <v>259.89999999999998</v>
      </c>
      <c r="DX33" s="35">
        <v>231.9</v>
      </c>
      <c r="DY33" s="35">
        <v>229.3</v>
      </c>
      <c r="DZ33" s="35">
        <v>227.4</v>
      </c>
      <c r="EA33" s="35">
        <v>214.3</v>
      </c>
      <c r="EB33" s="35">
        <v>218.8</v>
      </c>
      <c r="EC33" s="35">
        <v>218.9</v>
      </c>
      <c r="ED33" s="35">
        <v>217.9</v>
      </c>
      <c r="EE33" s="35">
        <v>207.9</v>
      </c>
      <c r="EF33" s="35">
        <v>234.2</v>
      </c>
      <c r="EG33" s="35">
        <v>239.7</v>
      </c>
      <c r="EH33" s="35">
        <v>239</v>
      </c>
      <c r="EI33" s="35">
        <v>234.3</v>
      </c>
      <c r="EJ33" s="35">
        <v>247.7</v>
      </c>
      <c r="EK33" s="35">
        <v>261.8</v>
      </c>
      <c r="EL33" s="35">
        <v>269.39999999999998</v>
      </c>
      <c r="EM33" s="35">
        <v>270.39999999999998</v>
      </c>
      <c r="EN33" s="35">
        <v>276</v>
      </c>
      <c r="EO33" s="35">
        <v>285.2</v>
      </c>
      <c r="EP33" s="35">
        <v>294.89999999999998</v>
      </c>
      <c r="EQ33" s="35">
        <v>310.10000000000002</v>
      </c>
      <c r="ER33" s="35">
        <v>297.7</v>
      </c>
      <c r="ES33" s="35">
        <v>301.7</v>
      </c>
      <c r="ET33" s="35">
        <v>320.5</v>
      </c>
      <c r="EU33" s="35">
        <v>332</v>
      </c>
      <c r="EV33" s="35">
        <v>319.60000000000002</v>
      </c>
      <c r="EW33" s="35">
        <v>314.2</v>
      </c>
      <c r="EX33" s="35">
        <v>333.4</v>
      </c>
      <c r="EY33" s="35">
        <v>361.1</v>
      </c>
      <c r="EZ33" s="35">
        <v>323.8</v>
      </c>
      <c r="FA33" s="35">
        <v>305.10000000000002</v>
      </c>
      <c r="FB33" s="35">
        <v>281.10000000000002</v>
      </c>
      <c r="FC33" s="35">
        <v>275.60000000000002</v>
      </c>
      <c r="FD33" s="35">
        <v>293.3</v>
      </c>
      <c r="FE33" s="35">
        <v>293.3</v>
      </c>
      <c r="FF33" s="35">
        <v>288.39999999999998</v>
      </c>
      <c r="FG33" s="35">
        <v>278</v>
      </c>
      <c r="FH33" s="35">
        <v>297.8</v>
      </c>
      <c r="FI33" s="35">
        <v>311.89999999999998</v>
      </c>
      <c r="FJ33" s="35">
        <v>315.2</v>
      </c>
      <c r="FK33" s="35">
        <v>319.39999999999998</v>
      </c>
      <c r="FL33" s="35">
        <v>327.2</v>
      </c>
      <c r="FM33" s="35">
        <v>329.9</v>
      </c>
      <c r="FN33" s="35">
        <v>330.1</v>
      </c>
      <c r="FO33" s="35">
        <v>337</v>
      </c>
      <c r="FP33" s="35">
        <v>346.2</v>
      </c>
      <c r="FQ33" s="35">
        <v>359.2</v>
      </c>
      <c r="FR33" s="35">
        <v>376.5</v>
      </c>
      <c r="FS33" s="35">
        <v>386.1</v>
      </c>
      <c r="FT33" s="35">
        <v>366.6</v>
      </c>
      <c r="FU33" s="35">
        <v>364.9</v>
      </c>
      <c r="FV33" s="35">
        <v>375.7</v>
      </c>
      <c r="FW33" s="35">
        <v>369.4</v>
      </c>
      <c r="FX33" s="35">
        <v>385.3</v>
      </c>
      <c r="FY33" s="35">
        <v>393</v>
      </c>
      <c r="FZ33" s="35">
        <v>395.4</v>
      </c>
      <c r="GA33" s="35">
        <v>415.3</v>
      </c>
      <c r="GB33" s="35">
        <v>406.5</v>
      </c>
      <c r="GC33" s="35">
        <v>412.3</v>
      </c>
      <c r="GD33" s="35">
        <v>397.8</v>
      </c>
      <c r="GE33" s="35">
        <v>406.6</v>
      </c>
      <c r="GF33" s="35">
        <v>418.2</v>
      </c>
      <c r="GG33" s="35">
        <v>418.4</v>
      </c>
      <c r="GH33" s="35">
        <v>424.1</v>
      </c>
      <c r="GI33" s="35">
        <v>411.9</v>
      </c>
      <c r="GJ33" s="35">
        <v>431.6</v>
      </c>
      <c r="GK33" s="35">
        <v>474.5</v>
      </c>
      <c r="GL33" s="35">
        <v>475.7</v>
      </c>
      <c r="GM33" s="35">
        <v>450.7</v>
      </c>
      <c r="GN33" s="35">
        <v>460.5</v>
      </c>
      <c r="GO33" s="35">
        <v>452.9</v>
      </c>
      <c r="GP33" s="35">
        <v>472.5</v>
      </c>
      <c r="GQ33" s="35">
        <v>529</v>
      </c>
      <c r="GR33" s="35">
        <v>495.2</v>
      </c>
      <c r="GS33" s="35">
        <v>489.6</v>
      </c>
      <c r="GT33" s="35">
        <v>497.5</v>
      </c>
      <c r="GU33" s="35">
        <v>488</v>
      </c>
      <c r="GV33" s="35">
        <v>515.4</v>
      </c>
      <c r="GW33" s="35">
        <v>522.9</v>
      </c>
      <c r="GX33" s="35">
        <v>543.6</v>
      </c>
      <c r="GY33" s="35">
        <v>566.6</v>
      </c>
      <c r="GZ33" s="35">
        <v>534.4</v>
      </c>
      <c r="HA33" s="35">
        <v>570.79999999999995</v>
      </c>
      <c r="HB33" s="35">
        <v>581.29999999999995</v>
      </c>
      <c r="HC33">
        <v>589.79999999999995</v>
      </c>
      <c r="HD33">
        <v>594.79999999999995</v>
      </c>
      <c r="HE33">
        <v>582.20000000000005</v>
      </c>
      <c r="HF33">
        <v>521.4</v>
      </c>
    </row>
    <row r="34" spans="1:214" x14ac:dyDescent="0.35">
      <c r="A34" s="35" t="s">
        <v>491</v>
      </c>
      <c r="B34" s="35">
        <v>70.599999999999994</v>
      </c>
      <c r="C34" s="35">
        <v>72.400000000000006</v>
      </c>
      <c r="D34" s="35">
        <v>74.3</v>
      </c>
      <c r="E34" s="35">
        <v>76</v>
      </c>
      <c r="F34" s="35">
        <v>78.3</v>
      </c>
      <c r="G34" s="35">
        <v>80.2</v>
      </c>
      <c r="H34" s="35">
        <v>82.8</v>
      </c>
      <c r="I34" s="35">
        <v>84.7</v>
      </c>
      <c r="J34" s="35">
        <v>86.4</v>
      </c>
      <c r="K34" s="35">
        <v>88.5</v>
      </c>
      <c r="L34" s="35">
        <v>90.4</v>
      </c>
      <c r="M34" s="35">
        <v>92.5</v>
      </c>
      <c r="N34" s="35">
        <v>95.1</v>
      </c>
      <c r="O34" s="35">
        <v>96.3</v>
      </c>
      <c r="P34" s="35">
        <v>98.7</v>
      </c>
      <c r="Q34" s="35">
        <v>99.6</v>
      </c>
      <c r="R34" s="35">
        <v>101</v>
      </c>
      <c r="S34" s="35">
        <v>104</v>
      </c>
      <c r="T34" s="35">
        <v>106.8</v>
      </c>
      <c r="U34" s="35">
        <v>107.5</v>
      </c>
      <c r="V34" s="35">
        <v>109</v>
      </c>
      <c r="W34" s="35">
        <v>111.7</v>
      </c>
      <c r="X34" s="35">
        <v>114.9</v>
      </c>
      <c r="Y34" s="35">
        <v>117.3</v>
      </c>
      <c r="Z34" s="35">
        <v>120.9</v>
      </c>
      <c r="AA34" s="35">
        <v>123.5</v>
      </c>
      <c r="AB34" s="35">
        <v>126</v>
      </c>
      <c r="AC34" s="35">
        <v>129.6</v>
      </c>
      <c r="AD34" s="35">
        <v>132.9</v>
      </c>
      <c r="AE34" s="35">
        <v>135.5</v>
      </c>
      <c r="AF34" s="35">
        <v>138.30000000000001</v>
      </c>
      <c r="AG34" s="35">
        <v>141.1</v>
      </c>
      <c r="AH34" s="35">
        <v>143</v>
      </c>
      <c r="AI34" s="35">
        <v>147.69999999999999</v>
      </c>
      <c r="AJ34" s="35">
        <v>144.19999999999999</v>
      </c>
      <c r="AK34" s="35">
        <v>147.6</v>
      </c>
      <c r="AL34" s="35">
        <v>150.6</v>
      </c>
      <c r="AM34" s="35">
        <v>152.6</v>
      </c>
      <c r="AN34" s="35">
        <v>155.6</v>
      </c>
      <c r="AO34" s="35">
        <v>159</v>
      </c>
      <c r="AP34" s="35">
        <v>161.9</v>
      </c>
      <c r="AQ34" s="35">
        <v>163.30000000000001</v>
      </c>
      <c r="AR34" s="35">
        <v>168.2</v>
      </c>
      <c r="AS34" s="35">
        <v>173.3</v>
      </c>
      <c r="AT34" s="35">
        <v>180.2</v>
      </c>
      <c r="AU34" s="35">
        <v>183.7</v>
      </c>
      <c r="AV34" s="35">
        <v>188.3</v>
      </c>
      <c r="AW34" s="35">
        <v>190.7</v>
      </c>
      <c r="AX34" s="35">
        <v>193.9</v>
      </c>
      <c r="AY34" s="35">
        <v>198.3</v>
      </c>
      <c r="AZ34" s="35">
        <v>201.7</v>
      </c>
      <c r="BA34" s="35">
        <v>206</v>
      </c>
      <c r="BB34" s="35">
        <v>209.6</v>
      </c>
      <c r="BC34" s="35">
        <v>216</v>
      </c>
      <c r="BD34" s="35">
        <v>222</v>
      </c>
      <c r="BE34" s="35">
        <v>228</v>
      </c>
      <c r="BF34" s="35">
        <v>234.7</v>
      </c>
      <c r="BG34" s="35">
        <v>240.3</v>
      </c>
      <c r="BH34" s="35">
        <v>244.7</v>
      </c>
      <c r="BI34" s="35">
        <v>250.2</v>
      </c>
      <c r="BJ34" s="35">
        <v>254.7</v>
      </c>
      <c r="BK34" s="35">
        <v>260</v>
      </c>
      <c r="BL34" s="35">
        <v>265.10000000000002</v>
      </c>
      <c r="BM34" s="35">
        <v>268.5</v>
      </c>
      <c r="BN34" s="35">
        <v>273</v>
      </c>
      <c r="BO34" s="35">
        <v>276.60000000000002</v>
      </c>
      <c r="BP34" s="35">
        <v>282.3</v>
      </c>
      <c r="BQ34" s="35">
        <v>286.8</v>
      </c>
      <c r="BR34" s="35">
        <v>291.89999999999998</v>
      </c>
      <c r="BS34" s="35">
        <v>298.5</v>
      </c>
      <c r="BT34" s="35">
        <v>306</v>
      </c>
      <c r="BU34" s="35">
        <v>310</v>
      </c>
      <c r="BV34" s="35">
        <v>315.7</v>
      </c>
      <c r="BW34" s="35">
        <v>323.2</v>
      </c>
      <c r="BX34" s="35">
        <v>327.3</v>
      </c>
      <c r="BY34" s="35">
        <v>332.4</v>
      </c>
      <c r="BZ34" s="35">
        <v>340.2</v>
      </c>
      <c r="CA34" s="35">
        <v>348.2</v>
      </c>
      <c r="CB34" s="35">
        <v>353.9</v>
      </c>
      <c r="CC34" s="35">
        <v>354.2</v>
      </c>
      <c r="CD34" s="35">
        <v>369.3</v>
      </c>
      <c r="CE34" s="35">
        <v>368.7</v>
      </c>
      <c r="CF34" s="35">
        <v>375.6</v>
      </c>
      <c r="CG34" s="35">
        <v>382.7</v>
      </c>
      <c r="CH34" s="35">
        <v>384.3</v>
      </c>
      <c r="CI34" s="35">
        <v>390.2</v>
      </c>
      <c r="CJ34" s="35">
        <v>399.4</v>
      </c>
      <c r="CK34" s="35">
        <v>407.3</v>
      </c>
      <c r="CL34" s="35">
        <v>412.8</v>
      </c>
      <c r="CM34" s="35">
        <v>418.2</v>
      </c>
      <c r="CN34" s="35">
        <v>424.1</v>
      </c>
      <c r="CO34" s="35">
        <v>425.3</v>
      </c>
      <c r="CP34" s="35">
        <v>427.5</v>
      </c>
      <c r="CQ34" s="35">
        <v>432.8</v>
      </c>
      <c r="CR34" s="35">
        <v>439.5</v>
      </c>
      <c r="CS34" s="35">
        <v>447.2</v>
      </c>
      <c r="CT34" s="35">
        <v>456</v>
      </c>
      <c r="CU34" s="35">
        <v>465.8</v>
      </c>
      <c r="CV34" s="35">
        <v>470</v>
      </c>
      <c r="CW34" s="35">
        <v>473.3</v>
      </c>
      <c r="CX34" s="35">
        <v>478.8</v>
      </c>
      <c r="CY34" s="35">
        <v>477.9</v>
      </c>
      <c r="CZ34" s="35">
        <v>483.5</v>
      </c>
      <c r="DA34" s="35">
        <v>489.3</v>
      </c>
      <c r="DB34" s="35">
        <v>497.8</v>
      </c>
      <c r="DC34" s="35">
        <v>506.5</v>
      </c>
      <c r="DD34" s="35">
        <v>510.1</v>
      </c>
      <c r="DE34" s="35">
        <v>517.29999999999995</v>
      </c>
      <c r="DF34" s="35">
        <v>523.79999999999995</v>
      </c>
      <c r="DG34" s="35">
        <v>530.70000000000005</v>
      </c>
      <c r="DH34" s="35">
        <v>536.6</v>
      </c>
      <c r="DI34" s="35">
        <v>544</v>
      </c>
      <c r="DJ34" s="35">
        <v>549.6</v>
      </c>
      <c r="DK34" s="35">
        <v>555.4</v>
      </c>
      <c r="DL34" s="35">
        <v>561.6</v>
      </c>
      <c r="DM34" s="35">
        <v>568.6</v>
      </c>
      <c r="DN34" s="35">
        <v>576.20000000000005</v>
      </c>
      <c r="DO34" s="35">
        <v>585.4</v>
      </c>
      <c r="DP34" s="35">
        <v>595.20000000000005</v>
      </c>
      <c r="DQ34" s="35">
        <v>603.70000000000005</v>
      </c>
      <c r="DR34" s="35">
        <v>612.4</v>
      </c>
      <c r="DS34" s="35">
        <v>618.9</v>
      </c>
      <c r="DT34" s="35">
        <v>623.70000000000005</v>
      </c>
      <c r="DU34" s="35">
        <v>630.1</v>
      </c>
      <c r="DV34" s="35">
        <v>637.1</v>
      </c>
      <c r="DW34" s="35">
        <v>637.79999999999995</v>
      </c>
      <c r="DX34" s="35">
        <v>641.70000000000005</v>
      </c>
      <c r="DY34" s="35">
        <v>653</v>
      </c>
      <c r="DZ34" s="35">
        <v>659.3</v>
      </c>
      <c r="EA34" s="35">
        <v>664</v>
      </c>
      <c r="EB34" s="35">
        <v>680.5</v>
      </c>
      <c r="EC34" s="35">
        <v>689</v>
      </c>
      <c r="ED34" s="35">
        <v>698.5</v>
      </c>
      <c r="EE34" s="35">
        <v>709.9</v>
      </c>
      <c r="EF34" s="35">
        <v>723.4</v>
      </c>
      <c r="EG34" s="35">
        <v>729.8</v>
      </c>
      <c r="EH34" s="35">
        <v>753.2</v>
      </c>
      <c r="EI34" s="35">
        <v>765.1</v>
      </c>
      <c r="EJ34" s="35">
        <v>775.4</v>
      </c>
      <c r="EK34" s="35">
        <v>797.6</v>
      </c>
      <c r="EL34" s="35">
        <v>817.9</v>
      </c>
      <c r="EM34" s="35">
        <v>835.9</v>
      </c>
      <c r="EN34" s="35">
        <v>851.8</v>
      </c>
      <c r="EO34" s="35">
        <v>866.6</v>
      </c>
      <c r="EP34" s="35">
        <v>882.7</v>
      </c>
      <c r="EQ34" s="35">
        <v>892.2</v>
      </c>
      <c r="ER34" s="35">
        <v>903.9</v>
      </c>
      <c r="ES34" s="35">
        <v>912.4</v>
      </c>
      <c r="ET34" s="35">
        <v>931.9</v>
      </c>
      <c r="EU34" s="35">
        <v>939.4</v>
      </c>
      <c r="EV34" s="35">
        <v>940.4</v>
      </c>
      <c r="EW34" s="35">
        <v>957.1</v>
      </c>
      <c r="EX34" s="35">
        <v>952.5</v>
      </c>
      <c r="EY34" s="35">
        <v>959.4</v>
      </c>
      <c r="EZ34" s="35">
        <v>964.8</v>
      </c>
      <c r="FA34" s="35">
        <v>946.3</v>
      </c>
      <c r="FB34" s="35">
        <v>929.2</v>
      </c>
      <c r="FC34" s="35">
        <v>923</v>
      </c>
      <c r="FD34" s="35">
        <v>937.4</v>
      </c>
      <c r="FE34" s="35">
        <v>952.1</v>
      </c>
      <c r="FF34" s="35">
        <v>951.6</v>
      </c>
      <c r="FG34" s="35">
        <v>965.7</v>
      </c>
      <c r="FH34" s="35">
        <v>970.1</v>
      </c>
      <c r="FI34" s="35">
        <v>977.7</v>
      </c>
      <c r="FJ34" s="35">
        <v>986.8</v>
      </c>
      <c r="FK34" s="35">
        <v>996.4</v>
      </c>
      <c r="FL34" s="35">
        <v>994.5</v>
      </c>
      <c r="FM34" s="35">
        <v>1002.7</v>
      </c>
      <c r="FN34" s="35">
        <v>1016.9</v>
      </c>
      <c r="FO34" s="35">
        <v>1019.5</v>
      </c>
      <c r="FP34" s="35">
        <v>1016.6</v>
      </c>
      <c r="FQ34" s="35">
        <v>1030.8</v>
      </c>
      <c r="FR34" s="35">
        <v>1052.3</v>
      </c>
      <c r="FS34" s="35">
        <v>1056.4000000000001</v>
      </c>
      <c r="FT34" s="35">
        <v>1068.7</v>
      </c>
      <c r="FU34" s="35">
        <v>1075.3</v>
      </c>
      <c r="FV34" s="35">
        <v>1083.9000000000001</v>
      </c>
      <c r="FW34" s="35">
        <v>1102.2</v>
      </c>
      <c r="FX34" s="35">
        <v>1111.4000000000001</v>
      </c>
      <c r="FY34" s="35">
        <v>1120.5999999999999</v>
      </c>
      <c r="FZ34" s="35">
        <v>1122.3</v>
      </c>
      <c r="GA34" s="35">
        <v>1129.5999999999999</v>
      </c>
      <c r="GB34" s="35">
        <v>1139.4000000000001</v>
      </c>
      <c r="GC34" s="35">
        <v>1148.2</v>
      </c>
      <c r="GD34" s="35">
        <v>1157.7</v>
      </c>
      <c r="GE34" s="35">
        <v>1165.3</v>
      </c>
      <c r="GF34" s="35">
        <v>1184.8</v>
      </c>
      <c r="GG34" s="35">
        <v>1192.8</v>
      </c>
      <c r="GH34" s="35">
        <v>1212.4000000000001</v>
      </c>
      <c r="GI34" s="35">
        <v>1224.9000000000001</v>
      </c>
      <c r="GJ34" s="35">
        <v>1244.3</v>
      </c>
      <c r="GK34" s="35">
        <v>1262.0999999999999</v>
      </c>
      <c r="GL34" s="35">
        <v>1277</v>
      </c>
      <c r="GM34" s="35">
        <v>1290.5999999999999</v>
      </c>
      <c r="GN34" s="35">
        <v>1306</v>
      </c>
      <c r="GO34" s="35">
        <v>1316.7</v>
      </c>
      <c r="GP34" s="35">
        <v>1330</v>
      </c>
      <c r="GQ34" s="35">
        <v>1344.8</v>
      </c>
      <c r="GR34" s="35">
        <v>1373.3</v>
      </c>
      <c r="GS34" s="35">
        <v>1372.7</v>
      </c>
      <c r="GT34" s="35">
        <v>1379.3</v>
      </c>
      <c r="GU34" s="35">
        <v>1293.8</v>
      </c>
      <c r="GV34" s="35">
        <v>1397.4</v>
      </c>
      <c r="GW34" s="35">
        <v>1411.4</v>
      </c>
      <c r="GX34" s="35">
        <v>1427</v>
      </c>
      <c r="GY34" s="35">
        <v>1499.4</v>
      </c>
      <c r="GZ34" s="35">
        <v>1503.2</v>
      </c>
      <c r="HA34" s="35">
        <v>1525.7</v>
      </c>
      <c r="HB34" s="35">
        <v>1547.7</v>
      </c>
      <c r="HC34">
        <v>1566.1</v>
      </c>
      <c r="HD34">
        <v>1582.3</v>
      </c>
      <c r="HE34">
        <v>1586.6</v>
      </c>
      <c r="HF34">
        <v>1603.4</v>
      </c>
    </row>
    <row r="35" spans="1:214" x14ac:dyDescent="0.35">
      <c r="A35" s="35" t="s">
        <v>2157</v>
      </c>
      <c r="B35" s="35">
        <v>3.8</v>
      </c>
      <c r="C35" s="35">
        <v>3.7</v>
      </c>
      <c r="D35" s="35">
        <v>3.8</v>
      </c>
      <c r="E35" s="35">
        <v>3.6</v>
      </c>
      <c r="F35" s="35">
        <v>4.0999999999999996</v>
      </c>
      <c r="G35" s="35">
        <v>4.2</v>
      </c>
      <c r="H35" s="35">
        <v>4.4000000000000004</v>
      </c>
      <c r="I35" s="35">
        <v>4.5</v>
      </c>
      <c r="J35" s="35">
        <v>5</v>
      </c>
      <c r="K35" s="35">
        <v>5</v>
      </c>
      <c r="L35" s="35">
        <v>5.2</v>
      </c>
      <c r="M35" s="35">
        <v>5.7</v>
      </c>
      <c r="N35" s="35">
        <v>6</v>
      </c>
      <c r="O35" s="35">
        <v>6.1</v>
      </c>
      <c r="P35" s="35">
        <v>5.9</v>
      </c>
      <c r="Q35" s="35">
        <v>6.1</v>
      </c>
      <c r="R35" s="35">
        <v>6.3</v>
      </c>
      <c r="S35" s="35">
        <v>6.6</v>
      </c>
      <c r="T35" s="35">
        <v>7.3</v>
      </c>
      <c r="U35" s="35">
        <v>6.5</v>
      </c>
      <c r="V35" s="35">
        <v>6.1</v>
      </c>
      <c r="W35" s="35">
        <v>6.6</v>
      </c>
      <c r="X35" s="35">
        <v>8.1999999999999993</v>
      </c>
      <c r="Y35" s="35">
        <v>8.4</v>
      </c>
      <c r="Z35" s="35">
        <v>9.6999999999999993</v>
      </c>
      <c r="AA35" s="35">
        <v>9.6</v>
      </c>
      <c r="AB35" s="35">
        <v>9.6999999999999993</v>
      </c>
      <c r="AC35" s="35">
        <v>9.6</v>
      </c>
      <c r="AD35" s="35">
        <v>10.5</v>
      </c>
      <c r="AE35" s="35">
        <v>11.4</v>
      </c>
      <c r="AF35" s="35">
        <v>11.8</v>
      </c>
      <c r="AG35" s="35">
        <v>12</v>
      </c>
      <c r="AH35" s="35">
        <v>10.5</v>
      </c>
      <c r="AI35" s="35">
        <v>12.4</v>
      </c>
      <c r="AJ35" s="35">
        <v>12.5</v>
      </c>
      <c r="AK35" s="35">
        <v>13.1</v>
      </c>
      <c r="AL35" s="35">
        <v>13.7</v>
      </c>
      <c r="AM35" s="35">
        <v>13.8</v>
      </c>
      <c r="AN35" s="35">
        <v>13.6</v>
      </c>
      <c r="AO35" s="35">
        <v>13.2</v>
      </c>
      <c r="AP35" s="35">
        <v>16.100000000000001</v>
      </c>
      <c r="AQ35" s="35">
        <v>12.8</v>
      </c>
      <c r="AR35" s="35">
        <v>14</v>
      </c>
      <c r="AS35" s="35">
        <v>15.1</v>
      </c>
      <c r="AT35" s="35">
        <v>16.8</v>
      </c>
      <c r="AU35" s="35">
        <v>15.2</v>
      </c>
      <c r="AV35" s="35">
        <v>15.7</v>
      </c>
      <c r="AW35" s="35">
        <v>14.1</v>
      </c>
      <c r="AX35" s="35">
        <v>14.1</v>
      </c>
      <c r="AY35" s="35">
        <v>14.3</v>
      </c>
      <c r="AZ35" s="35">
        <v>14.4</v>
      </c>
      <c r="BA35" s="35">
        <v>13.3</v>
      </c>
      <c r="BB35" s="35">
        <v>12.8</v>
      </c>
      <c r="BC35" s="35">
        <v>15.7</v>
      </c>
      <c r="BD35" s="35">
        <v>17.399999999999999</v>
      </c>
      <c r="BE35" s="35">
        <v>17.7</v>
      </c>
      <c r="BF35" s="35">
        <v>20.100000000000001</v>
      </c>
      <c r="BG35" s="35">
        <v>19.899999999999999</v>
      </c>
      <c r="BH35" s="35">
        <v>17.5</v>
      </c>
      <c r="BI35" s="35">
        <v>17.7</v>
      </c>
      <c r="BJ35" s="35">
        <v>20</v>
      </c>
      <c r="BK35" s="35">
        <v>19.600000000000001</v>
      </c>
      <c r="BL35" s="35">
        <v>20.9</v>
      </c>
      <c r="BM35" s="35">
        <v>20.5</v>
      </c>
      <c r="BN35" s="35">
        <v>21.4</v>
      </c>
      <c r="BO35" s="35">
        <v>22</v>
      </c>
      <c r="BP35" s="35">
        <v>22.4</v>
      </c>
      <c r="BQ35" s="35">
        <v>24.8</v>
      </c>
      <c r="BR35" s="35">
        <v>22.7</v>
      </c>
      <c r="BS35" s="35">
        <v>24.5</v>
      </c>
      <c r="BT35" s="35">
        <v>24.8</v>
      </c>
      <c r="BU35" s="35">
        <v>23.6</v>
      </c>
      <c r="BV35" s="35">
        <v>23.4</v>
      </c>
      <c r="BW35" s="35">
        <v>25.2</v>
      </c>
      <c r="BX35" s="35">
        <v>27.3</v>
      </c>
      <c r="BY35" s="35">
        <v>28.2</v>
      </c>
      <c r="BZ35" s="35">
        <v>27.8</v>
      </c>
      <c r="CA35" s="35">
        <v>24.2</v>
      </c>
      <c r="CB35" s="35">
        <v>22.8</v>
      </c>
      <c r="CC35" s="35">
        <v>22.1</v>
      </c>
      <c r="CD35" s="35">
        <v>21.4</v>
      </c>
      <c r="CE35" s="35">
        <v>22.1</v>
      </c>
      <c r="CF35" s="35">
        <v>23</v>
      </c>
      <c r="CG35" s="35">
        <v>23.4</v>
      </c>
      <c r="CH35" s="35">
        <v>23.8</v>
      </c>
      <c r="CI35" s="35">
        <v>23.4</v>
      </c>
      <c r="CJ35" s="35">
        <v>23.7</v>
      </c>
      <c r="CK35" s="35">
        <v>23.6</v>
      </c>
      <c r="CL35" s="35">
        <v>25.2</v>
      </c>
      <c r="CM35" s="35">
        <v>24.7</v>
      </c>
      <c r="CN35" s="35">
        <v>23.2</v>
      </c>
      <c r="CO35" s="35">
        <v>24.4</v>
      </c>
      <c r="CP35" s="35">
        <v>24.8</v>
      </c>
      <c r="CQ35" s="35">
        <v>26.8</v>
      </c>
      <c r="CR35" s="35">
        <v>25.2</v>
      </c>
      <c r="CS35" s="35">
        <v>30.8</v>
      </c>
      <c r="CT35" s="35">
        <v>27.1</v>
      </c>
      <c r="CU35" s="35">
        <v>28.7</v>
      </c>
      <c r="CV35" s="35">
        <v>31.4</v>
      </c>
      <c r="CW35" s="35">
        <v>32.700000000000003</v>
      </c>
      <c r="CX35" s="35">
        <v>32.5</v>
      </c>
      <c r="CY35" s="35">
        <v>31.3</v>
      </c>
      <c r="CZ35" s="35">
        <v>31.9</v>
      </c>
      <c r="DA35" s="35">
        <v>30.9</v>
      </c>
      <c r="DB35" s="35">
        <v>31.9</v>
      </c>
      <c r="DC35" s="35">
        <v>33.5</v>
      </c>
      <c r="DD35" s="35">
        <v>33.299999999999997</v>
      </c>
      <c r="DE35" s="35">
        <v>33.4</v>
      </c>
      <c r="DF35" s="35">
        <v>33.1</v>
      </c>
      <c r="DG35" s="35">
        <v>33.6</v>
      </c>
      <c r="DH35" s="35">
        <v>35.5</v>
      </c>
      <c r="DI35" s="35">
        <v>34.4</v>
      </c>
      <c r="DJ35" s="35">
        <v>34.700000000000003</v>
      </c>
      <c r="DK35" s="35">
        <v>34.5</v>
      </c>
      <c r="DL35" s="35">
        <v>35.700000000000003</v>
      </c>
      <c r="DM35" s="35">
        <v>34.799999999999997</v>
      </c>
      <c r="DN35" s="35">
        <v>36.299999999999997</v>
      </c>
      <c r="DO35" s="35">
        <v>35.5</v>
      </c>
      <c r="DP35" s="35">
        <v>35.6</v>
      </c>
      <c r="DQ35" s="35">
        <v>35.9</v>
      </c>
      <c r="DR35" s="35">
        <v>37.200000000000003</v>
      </c>
      <c r="DS35" s="35">
        <v>36.5</v>
      </c>
      <c r="DT35" s="35">
        <v>33.5</v>
      </c>
      <c r="DU35" s="35">
        <v>33.700000000000003</v>
      </c>
      <c r="DV35" s="35">
        <v>30.1</v>
      </c>
      <c r="DW35" s="35">
        <v>30.4</v>
      </c>
      <c r="DX35" s="35">
        <v>28.3</v>
      </c>
      <c r="DY35" s="35">
        <v>26.6</v>
      </c>
      <c r="DZ35" s="35">
        <v>28.3</v>
      </c>
      <c r="EA35" s="35">
        <v>30.2</v>
      </c>
      <c r="EB35" s="35">
        <v>31.5</v>
      </c>
      <c r="EC35" s="35">
        <v>33.5</v>
      </c>
      <c r="ED35" s="35">
        <v>34.5</v>
      </c>
      <c r="EE35" s="35">
        <v>31.7</v>
      </c>
      <c r="EF35" s="35">
        <v>33.6</v>
      </c>
      <c r="EG35" s="35">
        <v>36.200000000000003</v>
      </c>
      <c r="EH35" s="35">
        <v>37.799999999999997</v>
      </c>
      <c r="EI35" s="35">
        <v>40.799999999999997</v>
      </c>
      <c r="EJ35" s="35">
        <v>43.9</v>
      </c>
      <c r="EK35" s="35">
        <v>44.3</v>
      </c>
      <c r="EL35" s="35">
        <v>55.3</v>
      </c>
      <c r="EM35" s="35">
        <v>53</v>
      </c>
      <c r="EN35" s="35">
        <v>53.3</v>
      </c>
      <c r="EO35" s="35">
        <v>58.2</v>
      </c>
      <c r="EP35" s="35">
        <v>59.6</v>
      </c>
      <c r="EQ35" s="35">
        <v>60.3</v>
      </c>
      <c r="ER35" s="35">
        <v>61.8</v>
      </c>
      <c r="ES35" s="35">
        <v>55.2</v>
      </c>
      <c r="ET35" s="35">
        <v>59.2</v>
      </c>
      <c r="EU35" s="35">
        <v>59.4</v>
      </c>
      <c r="EV35" s="35">
        <v>56.3</v>
      </c>
      <c r="EW35" s="35">
        <v>56.6</v>
      </c>
      <c r="EX35" s="35">
        <v>50.2</v>
      </c>
      <c r="EY35" s="35">
        <v>51.6</v>
      </c>
      <c r="EZ35" s="35">
        <v>52.8</v>
      </c>
      <c r="FA35" s="35">
        <v>35.1</v>
      </c>
      <c r="FB35" s="35">
        <v>43.7</v>
      </c>
      <c r="FC35" s="35">
        <v>49.6</v>
      </c>
      <c r="FD35" s="35">
        <v>41.3</v>
      </c>
      <c r="FE35" s="35">
        <v>43.4</v>
      </c>
      <c r="FF35" s="35">
        <v>45.1</v>
      </c>
      <c r="FG35" s="35">
        <v>43.4</v>
      </c>
      <c r="FH35" s="35">
        <v>45.5</v>
      </c>
      <c r="FI35" s="35">
        <v>50.4</v>
      </c>
      <c r="FJ35" s="35">
        <v>48.4</v>
      </c>
      <c r="FK35" s="35">
        <v>49.8</v>
      </c>
      <c r="FL35" s="35">
        <v>46.4</v>
      </c>
      <c r="FM35" s="35">
        <v>49</v>
      </c>
      <c r="FN35" s="35">
        <v>49.2</v>
      </c>
      <c r="FO35" s="35">
        <v>49.5</v>
      </c>
      <c r="FP35" s="35">
        <v>52.1</v>
      </c>
      <c r="FQ35" s="35">
        <v>51.9</v>
      </c>
      <c r="FR35" s="35">
        <v>53.8</v>
      </c>
      <c r="FS35" s="35">
        <v>54.1</v>
      </c>
      <c r="FT35" s="35">
        <v>53.1</v>
      </c>
      <c r="FU35" s="35">
        <v>54.6</v>
      </c>
      <c r="FV35" s="35">
        <v>56.4</v>
      </c>
      <c r="FW35" s="35">
        <v>55.1</v>
      </c>
      <c r="FX35" s="35">
        <v>57</v>
      </c>
      <c r="FY35" s="35">
        <v>57.7</v>
      </c>
      <c r="FZ35" s="35">
        <v>57.6</v>
      </c>
      <c r="GA35" s="35">
        <v>57.5</v>
      </c>
      <c r="GB35" s="35">
        <v>55.8</v>
      </c>
      <c r="GC35" s="35">
        <v>54.1</v>
      </c>
      <c r="GD35" s="35">
        <v>54</v>
      </c>
      <c r="GE35" s="35">
        <v>52.4</v>
      </c>
      <c r="GF35" s="35">
        <v>52.8</v>
      </c>
      <c r="GG35" s="35">
        <v>54.2</v>
      </c>
      <c r="GH35" s="35">
        <v>55.7</v>
      </c>
      <c r="GI35" s="35">
        <v>54.6</v>
      </c>
      <c r="GJ35" s="35">
        <v>54.1</v>
      </c>
      <c r="GK35" s="35">
        <v>54.1</v>
      </c>
      <c r="GL35" s="35">
        <v>55.8</v>
      </c>
      <c r="GM35" s="35">
        <v>61.1</v>
      </c>
      <c r="GN35" s="35">
        <v>61.3</v>
      </c>
      <c r="GO35" s="35">
        <v>63.3</v>
      </c>
      <c r="GP35" s="35">
        <v>73.599999999999994</v>
      </c>
      <c r="GQ35" s="35">
        <v>74.5</v>
      </c>
      <c r="GR35" s="35">
        <v>73.400000000000006</v>
      </c>
      <c r="GS35" s="35">
        <v>72.099999999999994</v>
      </c>
      <c r="GT35" s="35">
        <v>67.7</v>
      </c>
      <c r="GU35" s="35">
        <v>65</v>
      </c>
      <c r="GV35" s="35">
        <v>80.900000000000006</v>
      </c>
      <c r="GW35" s="35">
        <v>84.8</v>
      </c>
      <c r="GX35" s="35">
        <v>88</v>
      </c>
      <c r="GY35" s="35">
        <v>90.3</v>
      </c>
      <c r="GZ35" s="35">
        <v>94.4</v>
      </c>
      <c r="HA35" s="35">
        <v>110.5</v>
      </c>
      <c r="HB35">
        <v>165.9</v>
      </c>
      <c r="HC35">
        <v>109.8</v>
      </c>
      <c r="HD35">
        <v>100.7</v>
      </c>
      <c r="HE35">
        <v>117.1</v>
      </c>
    </row>
    <row r="36" spans="1:214" x14ac:dyDescent="0.35">
      <c r="A36" s="35" t="s">
        <v>2158</v>
      </c>
      <c r="B36" s="35">
        <v>1.1000000000000001</v>
      </c>
      <c r="C36" s="35">
        <v>1.1000000000000001</v>
      </c>
      <c r="D36" s="35">
        <v>1.1000000000000001</v>
      </c>
      <c r="E36" s="35">
        <v>1.1000000000000001</v>
      </c>
      <c r="F36" s="35">
        <v>1.1000000000000001</v>
      </c>
      <c r="G36" s="35">
        <v>1.2</v>
      </c>
      <c r="H36" s="35">
        <v>1.2</v>
      </c>
      <c r="I36" s="35">
        <v>1.2</v>
      </c>
      <c r="J36" s="35">
        <v>1.3</v>
      </c>
      <c r="K36" s="35">
        <v>1.3</v>
      </c>
      <c r="L36" s="35">
        <v>1.3</v>
      </c>
      <c r="M36" s="35">
        <v>1.4</v>
      </c>
      <c r="N36" s="35">
        <v>1.4</v>
      </c>
      <c r="O36" s="35">
        <v>1.5</v>
      </c>
      <c r="P36" s="35">
        <v>1.5</v>
      </c>
      <c r="Q36" s="35">
        <v>1.6</v>
      </c>
      <c r="R36" s="35">
        <v>1.6</v>
      </c>
      <c r="S36" s="35">
        <v>1.6</v>
      </c>
      <c r="T36" s="35">
        <v>1.7</v>
      </c>
      <c r="U36" s="35">
        <v>1.7</v>
      </c>
      <c r="V36" s="35">
        <v>1.8</v>
      </c>
      <c r="W36" s="35">
        <v>1.8</v>
      </c>
      <c r="X36" s="35">
        <v>1.9</v>
      </c>
      <c r="Y36" s="35">
        <v>2</v>
      </c>
      <c r="Z36" s="35">
        <v>2</v>
      </c>
      <c r="AA36" s="35">
        <v>2.1</v>
      </c>
      <c r="AB36" s="35">
        <v>2.2000000000000002</v>
      </c>
      <c r="AC36" s="35">
        <v>2.2999999999999998</v>
      </c>
      <c r="AD36" s="35">
        <v>2.5</v>
      </c>
      <c r="AE36" s="35">
        <v>2.7</v>
      </c>
      <c r="AF36" s="35">
        <v>2.9</v>
      </c>
      <c r="AG36" s="35">
        <v>3</v>
      </c>
      <c r="AH36" s="35">
        <v>3.2</v>
      </c>
      <c r="AI36" s="35">
        <v>3.3</v>
      </c>
      <c r="AJ36" s="35">
        <v>3.5</v>
      </c>
      <c r="AK36" s="35">
        <v>3.6</v>
      </c>
      <c r="AL36" s="35">
        <v>3.8</v>
      </c>
      <c r="AM36" s="35">
        <v>3.9</v>
      </c>
      <c r="AN36" s="35">
        <v>3.9</v>
      </c>
      <c r="AO36" s="35">
        <v>4</v>
      </c>
      <c r="AP36" s="35">
        <v>3.6</v>
      </c>
      <c r="AQ36" s="35">
        <v>2.9</v>
      </c>
      <c r="AR36" s="35">
        <v>3.8</v>
      </c>
      <c r="AS36" s="35">
        <v>4</v>
      </c>
      <c r="AT36" s="35">
        <v>3.7</v>
      </c>
      <c r="AU36" s="35">
        <v>3.8</v>
      </c>
      <c r="AV36" s="35">
        <v>3.9</v>
      </c>
      <c r="AW36" s="35">
        <v>4</v>
      </c>
      <c r="AX36" s="35">
        <v>4</v>
      </c>
      <c r="AY36" s="35">
        <v>4</v>
      </c>
      <c r="AZ36" s="35">
        <v>4.0999999999999996</v>
      </c>
      <c r="BA36" s="35">
        <v>4.0999999999999996</v>
      </c>
      <c r="BB36" s="35">
        <v>4</v>
      </c>
      <c r="BC36" s="35">
        <v>4.0999999999999996</v>
      </c>
      <c r="BD36" s="35">
        <v>4.0999999999999996</v>
      </c>
      <c r="BE36" s="35">
        <v>4.3</v>
      </c>
      <c r="BF36" s="35">
        <v>4.5</v>
      </c>
      <c r="BG36" s="35">
        <v>4.7</v>
      </c>
      <c r="BH36" s="35">
        <v>4.8</v>
      </c>
      <c r="BI36" s="35">
        <v>4.8</v>
      </c>
      <c r="BJ36" s="35">
        <v>4.7</v>
      </c>
      <c r="BK36" s="35">
        <v>4.8</v>
      </c>
      <c r="BL36" s="35">
        <v>4.9000000000000004</v>
      </c>
      <c r="BM36" s="35">
        <v>5.2</v>
      </c>
      <c r="BN36" s="35">
        <v>5.5</v>
      </c>
      <c r="BO36" s="35">
        <v>5.8</v>
      </c>
      <c r="BP36" s="35">
        <v>6.1</v>
      </c>
      <c r="BQ36" s="35">
        <v>6.4</v>
      </c>
      <c r="BR36" s="35">
        <v>6.7</v>
      </c>
      <c r="BS36" s="35">
        <v>7</v>
      </c>
      <c r="BT36" s="35">
        <v>7.3</v>
      </c>
      <c r="BU36" s="35">
        <v>7.7</v>
      </c>
      <c r="BV36" s="35">
        <v>8</v>
      </c>
      <c r="BW36" s="35">
        <v>8.3000000000000007</v>
      </c>
      <c r="BX36" s="35">
        <v>8.5</v>
      </c>
      <c r="BY36" s="35">
        <v>8.6999999999999993</v>
      </c>
      <c r="BZ36" s="35">
        <v>8.8000000000000007</v>
      </c>
      <c r="CA36" s="35">
        <v>8.9</v>
      </c>
      <c r="CB36" s="35">
        <v>9</v>
      </c>
      <c r="CC36" s="35">
        <v>9.3000000000000007</v>
      </c>
      <c r="CD36" s="35">
        <v>9.5</v>
      </c>
      <c r="CE36" s="35">
        <v>9.9</v>
      </c>
      <c r="CF36" s="35">
        <v>10.199999999999999</v>
      </c>
      <c r="CG36" s="35">
        <v>10.5</v>
      </c>
      <c r="CH36" s="35">
        <v>11</v>
      </c>
      <c r="CI36" s="35">
        <v>11.4</v>
      </c>
      <c r="CJ36" s="35">
        <v>11.8</v>
      </c>
      <c r="CK36" s="35">
        <v>12.2</v>
      </c>
      <c r="CL36" s="35">
        <v>12.6</v>
      </c>
      <c r="CM36" s="35">
        <v>13</v>
      </c>
      <c r="CN36" s="35">
        <v>13.3</v>
      </c>
      <c r="CO36" s="35">
        <v>13.6</v>
      </c>
      <c r="CP36" s="35">
        <v>13.8</v>
      </c>
      <c r="CQ36" s="35">
        <v>14.1</v>
      </c>
      <c r="CR36" s="35">
        <v>14.2</v>
      </c>
      <c r="CS36" s="35">
        <v>14.4</v>
      </c>
      <c r="CT36" s="35">
        <v>14.6</v>
      </c>
      <c r="CU36" s="35">
        <v>14.6</v>
      </c>
      <c r="CV36" s="35">
        <v>14.5</v>
      </c>
      <c r="CW36" s="35">
        <v>14.4</v>
      </c>
      <c r="CX36" s="35">
        <v>14</v>
      </c>
      <c r="CY36" s="35">
        <v>13.7</v>
      </c>
      <c r="CZ36" s="35">
        <v>13.5</v>
      </c>
      <c r="DA36" s="35">
        <v>13.2</v>
      </c>
      <c r="DB36" s="35">
        <v>13</v>
      </c>
      <c r="DC36" s="35">
        <v>12.7</v>
      </c>
      <c r="DD36" s="35">
        <v>12.3</v>
      </c>
      <c r="DE36" s="35">
        <v>11.9</v>
      </c>
      <c r="DF36" s="35">
        <v>11.3</v>
      </c>
      <c r="DG36" s="35">
        <v>10.9</v>
      </c>
      <c r="DH36" s="35">
        <v>10.6</v>
      </c>
      <c r="DI36" s="35">
        <v>10.5</v>
      </c>
      <c r="DJ36" s="35">
        <v>10.5</v>
      </c>
      <c r="DK36" s="35">
        <v>10.5</v>
      </c>
      <c r="DL36" s="35">
        <v>10.3</v>
      </c>
      <c r="DM36" s="35">
        <v>10.1</v>
      </c>
      <c r="DN36" s="35">
        <v>9.9</v>
      </c>
      <c r="DO36" s="35">
        <v>9.6999999999999993</v>
      </c>
      <c r="DP36" s="35">
        <v>9.6999999999999993</v>
      </c>
      <c r="DQ36" s="35">
        <v>9.8000000000000007</v>
      </c>
      <c r="DR36" s="35">
        <v>10</v>
      </c>
      <c r="DS36" s="35">
        <v>10.4</v>
      </c>
      <c r="DT36" s="35">
        <v>11</v>
      </c>
      <c r="DU36" s="35">
        <v>11.8</v>
      </c>
      <c r="DV36" s="35">
        <v>12.7</v>
      </c>
      <c r="DW36" s="35">
        <v>13.5</v>
      </c>
      <c r="DX36" s="35">
        <v>14.1</v>
      </c>
      <c r="DY36" s="35">
        <v>14.5</v>
      </c>
      <c r="DZ36" s="35">
        <v>14.9</v>
      </c>
      <c r="EA36" s="35">
        <v>15.4</v>
      </c>
      <c r="EB36" s="35">
        <v>16.100000000000001</v>
      </c>
      <c r="EC36" s="35">
        <v>17</v>
      </c>
      <c r="ED36" s="35">
        <v>18</v>
      </c>
      <c r="EE36" s="35">
        <v>19.2</v>
      </c>
      <c r="EF36" s="35">
        <v>20.5</v>
      </c>
      <c r="EG36" s="35">
        <v>22</v>
      </c>
      <c r="EH36" s="35">
        <v>23.4</v>
      </c>
      <c r="EI36" s="35">
        <v>24.5</v>
      </c>
      <c r="EJ36" s="35">
        <v>25.2</v>
      </c>
      <c r="EK36" s="35">
        <v>25.5</v>
      </c>
      <c r="EL36" s="35">
        <v>25.3</v>
      </c>
      <c r="EM36" s="35">
        <v>25</v>
      </c>
      <c r="EN36" s="35">
        <v>24.4</v>
      </c>
      <c r="EO36" s="35">
        <v>23.7</v>
      </c>
      <c r="EP36" s="35">
        <v>22.8</v>
      </c>
      <c r="EQ36" s="35">
        <v>21.9</v>
      </c>
      <c r="ER36" s="35">
        <v>21</v>
      </c>
      <c r="ES36" s="35">
        <v>20.2</v>
      </c>
      <c r="ET36" s="35">
        <v>19.399999999999999</v>
      </c>
      <c r="EU36" s="35">
        <v>18.899999999999999</v>
      </c>
      <c r="EV36" s="35">
        <v>18.5</v>
      </c>
      <c r="EW36" s="35">
        <v>18.5</v>
      </c>
      <c r="EX36" s="35">
        <v>18.600000000000001</v>
      </c>
      <c r="EY36" s="35">
        <v>18.7</v>
      </c>
      <c r="EZ36" s="35">
        <v>18.7</v>
      </c>
      <c r="FA36" s="35">
        <v>18.8</v>
      </c>
      <c r="FB36" s="35">
        <v>18.8</v>
      </c>
      <c r="FC36" s="35">
        <v>18.7</v>
      </c>
      <c r="FD36" s="35">
        <v>18.5</v>
      </c>
      <c r="FE36" s="35">
        <v>18.3</v>
      </c>
      <c r="FF36" s="35">
        <v>18</v>
      </c>
      <c r="FG36" s="35">
        <v>17.7</v>
      </c>
      <c r="FH36" s="35">
        <v>17.7</v>
      </c>
      <c r="FI36" s="35">
        <v>17.7</v>
      </c>
      <c r="FJ36" s="35">
        <v>17.899999999999999</v>
      </c>
      <c r="FK36" s="35">
        <v>18</v>
      </c>
      <c r="FL36" s="35">
        <v>17.899999999999999</v>
      </c>
      <c r="FM36" s="35">
        <v>17.7</v>
      </c>
      <c r="FN36" s="35">
        <v>17.399999999999999</v>
      </c>
      <c r="FO36" s="35">
        <v>17.2</v>
      </c>
      <c r="FP36" s="35">
        <v>17.100000000000001</v>
      </c>
      <c r="FQ36" s="35">
        <v>17.100000000000001</v>
      </c>
      <c r="FR36" s="35">
        <v>17.3</v>
      </c>
      <c r="FS36" s="35">
        <v>17.5</v>
      </c>
      <c r="FT36" s="35">
        <v>17.8</v>
      </c>
      <c r="FU36" s="35">
        <v>18.100000000000001</v>
      </c>
      <c r="FV36" s="35">
        <v>18.399999999999999</v>
      </c>
      <c r="FW36" s="35">
        <v>18.7</v>
      </c>
      <c r="FX36" s="35">
        <v>18.899999999999999</v>
      </c>
      <c r="FY36" s="35">
        <v>19</v>
      </c>
      <c r="FZ36" s="35">
        <v>19</v>
      </c>
      <c r="GA36" s="35">
        <v>19.100000000000001</v>
      </c>
      <c r="GB36" s="35">
        <v>19.3</v>
      </c>
      <c r="GC36" s="35">
        <v>19.5</v>
      </c>
      <c r="GD36" s="35">
        <v>19.8</v>
      </c>
      <c r="GE36" s="35">
        <v>20</v>
      </c>
      <c r="GF36" s="35">
        <v>20</v>
      </c>
      <c r="GG36" s="35">
        <v>20</v>
      </c>
      <c r="GH36" s="35">
        <v>19.8</v>
      </c>
      <c r="GI36" s="35">
        <v>19.8</v>
      </c>
      <c r="GJ36" s="35">
        <v>19.8</v>
      </c>
      <c r="GK36" s="35">
        <v>20</v>
      </c>
      <c r="GL36" s="35">
        <v>20.2</v>
      </c>
      <c r="GM36" s="35">
        <v>20.399999999999999</v>
      </c>
      <c r="GN36" s="35">
        <v>20.6</v>
      </c>
      <c r="GO36" s="35">
        <v>20.6</v>
      </c>
      <c r="GP36" s="35">
        <v>20.8</v>
      </c>
      <c r="GQ36" s="35">
        <v>20.8</v>
      </c>
      <c r="GR36" s="35">
        <v>20.7</v>
      </c>
      <c r="GS36" s="35">
        <v>20.7</v>
      </c>
      <c r="GT36" s="35">
        <v>20.7</v>
      </c>
      <c r="GU36" s="35">
        <v>19.8</v>
      </c>
      <c r="GV36" s="35">
        <v>20.5</v>
      </c>
      <c r="GW36" s="35">
        <v>21.3</v>
      </c>
      <c r="GX36" s="35">
        <v>22</v>
      </c>
      <c r="GY36" s="35">
        <v>22.7</v>
      </c>
      <c r="GZ36" s="35">
        <v>23.2</v>
      </c>
      <c r="HA36" s="35">
        <v>23.4</v>
      </c>
      <c r="HB36" s="35">
        <v>23.4</v>
      </c>
      <c r="HC36">
        <v>23.6</v>
      </c>
      <c r="HD36">
        <v>23.9</v>
      </c>
      <c r="HE36">
        <v>24.5</v>
      </c>
      <c r="HF36">
        <v>25.4</v>
      </c>
    </row>
    <row r="37" spans="1:214" x14ac:dyDescent="0.35">
      <c r="A37" s="35" t="s">
        <v>2159</v>
      </c>
      <c r="B37" s="35">
        <v>14.7</v>
      </c>
      <c r="C37" s="35">
        <v>15.6</v>
      </c>
      <c r="D37" s="35">
        <v>16.600000000000001</v>
      </c>
      <c r="E37" s="35">
        <v>17.5</v>
      </c>
      <c r="F37" s="35">
        <v>18.3</v>
      </c>
      <c r="G37" s="35">
        <v>19.100000000000001</v>
      </c>
      <c r="H37" s="35">
        <v>19.600000000000001</v>
      </c>
      <c r="I37" s="35">
        <v>20.3</v>
      </c>
      <c r="J37" s="35">
        <v>21.2</v>
      </c>
      <c r="K37" s="35">
        <v>21.6</v>
      </c>
      <c r="L37" s="35">
        <v>22.5</v>
      </c>
      <c r="M37" s="35">
        <v>22.5</v>
      </c>
      <c r="N37" s="35">
        <v>23.2</v>
      </c>
      <c r="O37" s="35">
        <v>24</v>
      </c>
      <c r="P37" s="35">
        <v>24.2</v>
      </c>
      <c r="Q37" s="35">
        <v>25</v>
      </c>
      <c r="R37" s="35">
        <v>23.4</v>
      </c>
      <c r="S37" s="35">
        <v>24.7</v>
      </c>
      <c r="T37" s="35">
        <v>25.9</v>
      </c>
      <c r="U37" s="35">
        <v>27.1</v>
      </c>
      <c r="V37" s="35">
        <v>29.2</v>
      </c>
      <c r="W37" s="35">
        <v>30.5</v>
      </c>
      <c r="X37" s="35">
        <v>31</v>
      </c>
      <c r="Y37" s="35">
        <v>32.6</v>
      </c>
      <c r="Z37" s="35">
        <v>33.4</v>
      </c>
      <c r="AA37" s="35">
        <v>33.4</v>
      </c>
      <c r="AB37" s="35">
        <v>34.700000000000003</v>
      </c>
      <c r="AC37" s="35">
        <v>35</v>
      </c>
      <c r="AD37" s="35">
        <v>35.700000000000003</v>
      </c>
      <c r="AE37" s="35">
        <v>37.5</v>
      </c>
      <c r="AF37" s="35">
        <v>37.299999999999997</v>
      </c>
      <c r="AG37" s="35">
        <v>37.700000000000003</v>
      </c>
      <c r="AH37" s="35">
        <v>39.200000000000003</v>
      </c>
      <c r="AI37" s="35">
        <v>41</v>
      </c>
      <c r="AJ37" s="35">
        <v>41.3</v>
      </c>
      <c r="AK37" s="35">
        <v>41.7</v>
      </c>
      <c r="AL37" s="35">
        <v>42.4</v>
      </c>
      <c r="AM37" s="35">
        <v>43.5</v>
      </c>
      <c r="AN37" s="35">
        <v>44.5</v>
      </c>
      <c r="AO37" s="35">
        <v>46.9</v>
      </c>
      <c r="AP37" s="35">
        <v>49.1</v>
      </c>
      <c r="AQ37" s="35">
        <v>49</v>
      </c>
      <c r="AR37" s="35">
        <v>52.4</v>
      </c>
      <c r="AS37" s="35">
        <v>54.3</v>
      </c>
      <c r="AT37" s="35">
        <v>55.6</v>
      </c>
      <c r="AU37" s="35">
        <v>57.4</v>
      </c>
      <c r="AV37" s="35">
        <v>57.7</v>
      </c>
      <c r="AW37" s="35">
        <v>57.7</v>
      </c>
      <c r="AX37" s="35">
        <v>59</v>
      </c>
      <c r="AY37" s="35">
        <v>61</v>
      </c>
      <c r="AZ37" s="35">
        <v>62.1</v>
      </c>
      <c r="BA37" s="35">
        <v>62.6</v>
      </c>
      <c r="BB37" s="35">
        <v>65.8</v>
      </c>
      <c r="BC37" s="35">
        <v>66.3</v>
      </c>
      <c r="BD37" s="35">
        <v>67.2</v>
      </c>
      <c r="BE37" s="35">
        <v>68.3</v>
      </c>
      <c r="BF37" s="35">
        <v>69.900000000000006</v>
      </c>
      <c r="BG37" s="35">
        <v>70.599999999999994</v>
      </c>
      <c r="BH37" s="35">
        <v>71.3</v>
      </c>
      <c r="BI37" s="35">
        <v>72.8</v>
      </c>
      <c r="BJ37" s="35">
        <v>74.900000000000006</v>
      </c>
      <c r="BK37" s="35">
        <v>76.3</v>
      </c>
      <c r="BL37" s="35">
        <v>78.099999999999994</v>
      </c>
      <c r="BM37" s="35">
        <v>79.8</v>
      </c>
      <c r="BN37" s="35">
        <v>81.599999999999994</v>
      </c>
      <c r="BO37" s="35">
        <v>83.6</v>
      </c>
      <c r="BP37" s="35">
        <v>85.3</v>
      </c>
      <c r="BQ37" s="35">
        <v>86.9</v>
      </c>
      <c r="BR37" s="35">
        <v>88.3</v>
      </c>
      <c r="BS37" s="35">
        <v>89.9</v>
      </c>
      <c r="BT37" s="35">
        <v>91.6</v>
      </c>
      <c r="BU37" s="35">
        <v>93.1</v>
      </c>
      <c r="BV37" s="35">
        <v>95.3</v>
      </c>
      <c r="BW37" s="35">
        <v>97.3</v>
      </c>
      <c r="BX37" s="35">
        <v>99.5</v>
      </c>
      <c r="BY37" s="35">
        <v>101.9</v>
      </c>
      <c r="BZ37" s="35">
        <v>104.2</v>
      </c>
      <c r="CA37" s="35">
        <v>107.3</v>
      </c>
      <c r="CB37" s="35">
        <v>111</v>
      </c>
      <c r="CC37" s="35">
        <v>114.8</v>
      </c>
      <c r="CD37" s="35">
        <v>118.8</v>
      </c>
      <c r="CE37" s="35">
        <v>124.2</v>
      </c>
      <c r="CF37" s="35">
        <v>130.30000000000001</v>
      </c>
      <c r="CG37" s="35">
        <v>137.4</v>
      </c>
      <c r="CH37" s="35">
        <v>141.5</v>
      </c>
      <c r="CI37" s="35">
        <v>152.19999999999999</v>
      </c>
      <c r="CJ37" s="35">
        <v>158.6</v>
      </c>
      <c r="CK37" s="35">
        <v>173.8</v>
      </c>
      <c r="CL37" s="35">
        <v>170.5</v>
      </c>
      <c r="CM37" s="35">
        <v>178.6</v>
      </c>
      <c r="CN37" s="35">
        <v>185.8</v>
      </c>
      <c r="CO37" s="35">
        <v>185</v>
      </c>
      <c r="CP37" s="35">
        <v>188.9</v>
      </c>
      <c r="CQ37" s="35">
        <v>189.7</v>
      </c>
      <c r="CR37" s="35">
        <v>200.6</v>
      </c>
      <c r="CS37" s="35">
        <v>201.7</v>
      </c>
      <c r="CT37" s="35">
        <v>203.6</v>
      </c>
      <c r="CU37" s="35">
        <v>203.9</v>
      </c>
      <c r="CV37" s="35">
        <v>203.7</v>
      </c>
      <c r="CW37" s="35">
        <v>215.7</v>
      </c>
      <c r="CX37" s="35">
        <v>220.4</v>
      </c>
      <c r="CY37" s="35">
        <v>220.7</v>
      </c>
      <c r="CZ37" s="35">
        <v>220.7</v>
      </c>
      <c r="DA37" s="35">
        <v>208.8</v>
      </c>
      <c r="DB37" s="35">
        <v>218.2</v>
      </c>
      <c r="DC37" s="35">
        <v>232.2</v>
      </c>
      <c r="DD37" s="35">
        <v>224.8</v>
      </c>
      <c r="DE37" s="35">
        <v>221.7</v>
      </c>
      <c r="DF37" s="35">
        <v>226</v>
      </c>
      <c r="DG37" s="35">
        <v>223.7</v>
      </c>
      <c r="DH37" s="35">
        <v>228</v>
      </c>
      <c r="DI37" s="35">
        <v>232.4</v>
      </c>
      <c r="DJ37" s="35">
        <v>232.1</v>
      </c>
      <c r="DK37" s="35">
        <v>235.3</v>
      </c>
      <c r="DL37" s="35">
        <v>233.9</v>
      </c>
      <c r="DM37" s="35">
        <v>241.7</v>
      </c>
      <c r="DN37" s="35">
        <v>247.8</v>
      </c>
      <c r="DO37" s="35">
        <v>246.4</v>
      </c>
      <c r="DP37" s="35">
        <v>255</v>
      </c>
      <c r="DQ37" s="35">
        <v>260.2</v>
      </c>
      <c r="DR37" s="35">
        <v>260.10000000000002</v>
      </c>
      <c r="DS37" s="35">
        <v>269.39999999999998</v>
      </c>
      <c r="DT37" s="35">
        <v>277.2</v>
      </c>
      <c r="DU37" s="35">
        <v>279.10000000000002</v>
      </c>
      <c r="DV37" s="35">
        <v>290.39999999999998</v>
      </c>
      <c r="DW37" s="35">
        <v>308</v>
      </c>
      <c r="DX37" s="35">
        <v>295.8</v>
      </c>
      <c r="DY37" s="35">
        <v>326</v>
      </c>
      <c r="DZ37" s="35">
        <v>326</v>
      </c>
      <c r="EA37" s="35">
        <v>326</v>
      </c>
      <c r="EB37" s="35">
        <v>334.7</v>
      </c>
      <c r="EC37" s="35">
        <v>345.4</v>
      </c>
      <c r="ED37" s="35">
        <v>347</v>
      </c>
      <c r="EE37" s="35">
        <v>348.3</v>
      </c>
      <c r="EF37" s="35">
        <v>361.8</v>
      </c>
      <c r="EG37" s="35">
        <v>357</v>
      </c>
      <c r="EH37" s="35">
        <v>376</v>
      </c>
      <c r="EI37" s="35">
        <v>387.1</v>
      </c>
      <c r="EJ37" s="35">
        <v>385.7</v>
      </c>
      <c r="EK37" s="35">
        <v>391</v>
      </c>
      <c r="EL37" s="35">
        <v>399.1</v>
      </c>
      <c r="EM37" s="35">
        <v>410</v>
      </c>
      <c r="EN37" s="35">
        <v>409.1</v>
      </c>
      <c r="EO37" s="35">
        <v>407.9</v>
      </c>
      <c r="EP37" s="35">
        <v>394</v>
      </c>
      <c r="EQ37" s="35">
        <v>399.2</v>
      </c>
      <c r="ER37" s="35">
        <v>414.4</v>
      </c>
      <c r="ES37" s="35">
        <v>408.1</v>
      </c>
      <c r="ET37" s="35">
        <v>440.1</v>
      </c>
      <c r="EU37" s="35">
        <v>423.7</v>
      </c>
      <c r="EV37" s="35">
        <v>429.9</v>
      </c>
      <c r="EW37" s="35">
        <v>442.3</v>
      </c>
      <c r="EX37" s="35">
        <v>446.3</v>
      </c>
      <c r="EY37" s="35">
        <v>456</v>
      </c>
      <c r="EZ37" s="35">
        <v>460</v>
      </c>
      <c r="FA37" s="35">
        <v>462.1</v>
      </c>
      <c r="FB37" s="35">
        <v>480.2</v>
      </c>
      <c r="FC37" s="35">
        <v>492</v>
      </c>
      <c r="FD37" s="35">
        <v>502.4</v>
      </c>
      <c r="FE37" s="35">
        <v>498.2</v>
      </c>
      <c r="FF37" s="35">
        <v>508.7</v>
      </c>
      <c r="FG37" s="35">
        <v>513</v>
      </c>
      <c r="FH37" s="35">
        <v>533.20000000000005</v>
      </c>
      <c r="FI37" s="35">
        <v>540.79999999999995</v>
      </c>
      <c r="FJ37" s="35">
        <v>544.4</v>
      </c>
      <c r="FK37" s="35">
        <v>534.70000000000005</v>
      </c>
      <c r="FL37" s="35">
        <v>520.70000000000005</v>
      </c>
      <c r="FM37" s="35">
        <v>522.9</v>
      </c>
      <c r="FN37" s="35">
        <v>523.9</v>
      </c>
      <c r="FO37" s="35">
        <v>544.4</v>
      </c>
      <c r="FP37" s="35">
        <v>542</v>
      </c>
      <c r="FQ37" s="35">
        <v>552.70000000000005</v>
      </c>
      <c r="FR37" s="35">
        <v>548.4</v>
      </c>
      <c r="FS37" s="35">
        <v>562.79999999999995</v>
      </c>
      <c r="FT37" s="35">
        <v>572.79999999999995</v>
      </c>
      <c r="FU37" s="35">
        <v>573.6</v>
      </c>
      <c r="FV37" s="35">
        <v>585.1</v>
      </c>
      <c r="FW37" s="35">
        <v>607.79999999999995</v>
      </c>
      <c r="FX37" s="35">
        <v>634.1</v>
      </c>
      <c r="FY37" s="35">
        <v>643.20000000000005</v>
      </c>
      <c r="FZ37" s="35">
        <v>652.20000000000005</v>
      </c>
      <c r="GA37" s="35">
        <v>667.3</v>
      </c>
      <c r="GB37" s="35">
        <v>670.2</v>
      </c>
      <c r="GC37" s="35">
        <v>671.5</v>
      </c>
      <c r="GD37" s="35">
        <v>679.9</v>
      </c>
      <c r="GE37" s="35">
        <v>688.5</v>
      </c>
      <c r="GF37" s="35">
        <v>697.2</v>
      </c>
      <c r="GG37" s="35">
        <v>706.6</v>
      </c>
      <c r="GH37" s="35">
        <v>705.1</v>
      </c>
      <c r="GI37" s="35">
        <v>702.3</v>
      </c>
      <c r="GJ37" s="35">
        <v>718</v>
      </c>
      <c r="GK37" s="35">
        <v>713.3</v>
      </c>
      <c r="GL37" s="35">
        <v>720.9</v>
      </c>
      <c r="GM37" s="35">
        <v>733.2</v>
      </c>
      <c r="GN37" s="35">
        <v>737.9</v>
      </c>
      <c r="GO37" s="35">
        <v>734.3</v>
      </c>
      <c r="GP37" s="35">
        <v>745.2</v>
      </c>
      <c r="GQ37" s="35">
        <v>763.2</v>
      </c>
      <c r="GR37" s="35">
        <v>773.5</v>
      </c>
      <c r="GS37" s="35">
        <v>773.8</v>
      </c>
      <c r="GT37" s="35">
        <v>762.4</v>
      </c>
      <c r="GU37" s="35">
        <v>813.3</v>
      </c>
      <c r="GV37" s="35">
        <v>851.9</v>
      </c>
      <c r="GW37" s="35">
        <v>840.6</v>
      </c>
      <c r="GX37" s="35">
        <v>868</v>
      </c>
      <c r="GY37" s="35">
        <v>910.1</v>
      </c>
      <c r="GZ37" s="35">
        <v>918.1</v>
      </c>
      <c r="HA37" s="35">
        <v>915.2</v>
      </c>
      <c r="HB37" s="35">
        <v>934.7</v>
      </c>
      <c r="HC37">
        <v>962.7</v>
      </c>
      <c r="HD37">
        <v>982.9</v>
      </c>
      <c r="HE37">
        <v>1045.9000000000001</v>
      </c>
      <c r="HF37">
        <v>996.9</v>
      </c>
    </row>
    <row r="38" spans="1:214" x14ac:dyDescent="0.35">
      <c r="A38" s="35" t="s">
        <v>2160</v>
      </c>
      <c r="B38" s="35">
        <v>129.9</v>
      </c>
      <c r="C38" s="35">
        <v>134.1</v>
      </c>
      <c r="D38" s="35">
        <v>140.1</v>
      </c>
      <c r="E38" s="35">
        <v>144.30000000000001</v>
      </c>
      <c r="F38" s="35">
        <v>149.1</v>
      </c>
      <c r="G38" s="35">
        <v>153.6</v>
      </c>
      <c r="H38" s="35">
        <v>156.9</v>
      </c>
      <c r="I38" s="35">
        <v>161</v>
      </c>
      <c r="J38" s="35">
        <v>165.7</v>
      </c>
      <c r="K38" s="35">
        <v>167.9</v>
      </c>
      <c r="L38" s="35">
        <v>172.5</v>
      </c>
      <c r="M38" s="35">
        <v>176.8</v>
      </c>
      <c r="N38" s="35">
        <v>181.7</v>
      </c>
      <c r="O38" s="35">
        <v>185.7</v>
      </c>
      <c r="P38" s="35">
        <v>190</v>
      </c>
      <c r="Q38" s="35">
        <v>195.9</v>
      </c>
      <c r="R38" s="35">
        <v>201.1</v>
      </c>
      <c r="S38" s="35">
        <v>210.1</v>
      </c>
      <c r="T38" s="35">
        <v>217</v>
      </c>
      <c r="U38" s="35">
        <v>223.7</v>
      </c>
      <c r="V38" s="35">
        <v>235.9</v>
      </c>
      <c r="W38" s="35">
        <v>240.3</v>
      </c>
      <c r="X38" s="35">
        <v>246.6</v>
      </c>
      <c r="Y38" s="35">
        <v>254.2</v>
      </c>
      <c r="Z38" s="35">
        <v>260.3</v>
      </c>
      <c r="AA38" s="35">
        <v>259.39999999999998</v>
      </c>
      <c r="AB38" s="35">
        <v>261.3</v>
      </c>
      <c r="AC38" s="35">
        <v>263.89999999999998</v>
      </c>
      <c r="AD38" s="35">
        <v>271.10000000000002</v>
      </c>
      <c r="AE38" s="35">
        <v>278.60000000000002</v>
      </c>
      <c r="AF38" s="35">
        <v>282.3</v>
      </c>
      <c r="AG38" s="35">
        <v>287.5</v>
      </c>
      <c r="AH38" s="35">
        <v>292.5</v>
      </c>
      <c r="AI38" s="35">
        <v>306</v>
      </c>
      <c r="AJ38" s="35">
        <v>313.5</v>
      </c>
      <c r="AK38" s="35">
        <v>320.5</v>
      </c>
      <c r="AL38" s="35">
        <v>323.2</v>
      </c>
      <c r="AM38" s="35">
        <v>333.2</v>
      </c>
      <c r="AN38" s="35">
        <v>344.8</v>
      </c>
      <c r="AO38" s="35">
        <v>356.1</v>
      </c>
      <c r="AP38" s="35">
        <v>367.6</v>
      </c>
      <c r="AQ38" s="35">
        <v>371.7</v>
      </c>
      <c r="AR38" s="35">
        <v>379.1</v>
      </c>
      <c r="AS38" s="35">
        <v>388.1</v>
      </c>
      <c r="AT38" s="35">
        <v>402.6</v>
      </c>
      <c r="AU38" s="35">
        <v>405.3</v>
      </c>
      <c r="AV38" s="35">
        <v>409.8</v>
      </c>
      <c r="AW38" s="35">
        <v>418.5</v>
      </c>
      <c r="AX38" s="35">
        <v>425.5</v>
      </c>
      <c r="AY38" s="35">
        <v>435.4</v>
      </c>
      <c r="AZ38" s="35">
        <v>443.4</v>
      </c>
      <c r="BA38" s="35">
        <v>452.9</v>
      </c>
      <c r="BB38" s="35">
        <v>461.9</v>
      </c>
      <c r="BC38" s="35">
        <v>467.5</v>
      </c>
      <c r="BD38" s="35">
        <v>476.7</v>
      </c>
      <c r="BE38" s="35">
        <v>482.1</v>
      </c>
      <c r="BF38" s="35">
        <v>495.1</v>
      </c>
      <c r="BG38" s="35">
        <v>505.9</v>
      </c>
      <c r="BH38" s="35">
        <v>518.29999999999995</v>
      </c>
      <c r="BI38" s="35">
        <v>529.29999999999995</v>
      </c>
      <c r="BJ38" s="35">
        <v>542.70000000000005</v>
      </c>
      <c r="BK38" s="35">
        <v>557.70000000000005</v>
      </c>
      <c r="BL38" s="35">
        <v>571.6</v>
      </c>
      <c r="BM38" s="35">
        <v>582.20000000000005</v>
      </c>
      <c r="BN38" s="35">
        <v>595.9</v>
      </c>
      <c r="BO38" s="35">
        <v>605.5</v>
      </c>
      <c r="BP38" s="35">
        <v>616.5</v>
      </c>
      <c r="BQ38" s="35">
        <v>626.29999999999995</v>
      </c>
      <c r="BR38" s="35">
        <v>637.79999999999995</v>
      </c>
      <c r="BS38" s="35">
        <v>646.9</v>
      </c>
      <c r="BT38" s="35">
        <v>656.4</v>
      </c>
      <c r="BU38" s="35">
        <v>668.1</v>
      </c>
      <c r="BV38" s="35">
        <v>678.6</v>
      </c>
      <c r="BW38" s="35">
        <v>693.1</v>
      </c>
      <c r="BX38" s="35">
        <v>703.2</v>
      </c>
      <c r="BY38" s="35">
        <v>720.1</v>
      </c>
      <c r="BZ38" s="35">
        <v>736.6</v>
      </c>
      <c r="CA38" s="35">
        <v>755.1</v>
      </c>
      <c r="CB38" s="35">
        <v>770.4</v>
      </c>
      <c r="CC38" s="35">
        <v>790</v>
      </c>
      <c r="CD38" s="35">
        <v>811.4</v>
      </c>
      <c r="CE38" s="35">
        <v>824.1</v>
      </c>
      <c r="CF38" s="35">
        <v>843.9</v>
      </c>
      <c r="CG38" s="35">
        <v>871</v>
      </c>
      <c r="CH38" s="35">
        <v>881.6</v>
      </c>
      <c r="CI38" s="35">
        <v>901.3</v>
      </c>
      <c r="CJ38" s="35">
        <v>919.2</v>
      </c>
      <c r="CK38" s="35">
        <v>947</v>
      </c>
      <c r="CL38" s="35">
        <v>959.3</v>
      </c>
      <c r="CM38" s="35">
        <v>975.2</v>
      </c>
      <c r="CN38" s="35">
        <v>988.2</v>
      </c>
      <c r="CO38" s="35">
        <v>991.3</v>
      </c>
      <c r="CP38" s="35">
        <v>1001.1</v>
      </c>
      <c r="CQ38" s="35">
        <v>1011.6</v>
      </c>
      <c r="CR38" s="35">
        <v>1028.0999999999999</v>
      </c>
      <c r="CS38" s="35">
        <v>1036.0999999999999</v>
      </c>
      <c r="CT38" s="35">
        <v>1046.5999999999999</v>
      </c>
      <c r="CU38" s="35">
        <v>1060.5</v>
      </c>
      <c r="CV38" s="35">
        <v>1077.4000000000001</v>
      </c>
      <c r="CW38" s="35">
        <v>1100.7</v>
      </c>
      <c r="CX38" s="35">
        <v>1118.5</v>
      </c>
      <c r="CY38" s="35">
        <v>1132.8</v>
      </c>
      <c r="CZ38" s="35">
        <v>1136.8</v>
      </c>
      <c r="DA38" s="35">
        <v>1131.2</v>
      </c>
      <c r="DB38" s="35">
        <v>1145.0999999999999</v>
      </c>
      <c r="DC38" s="35">
        <v>1171.4000000000001</v>
      </c>
      <c r="DD38" s="35">
        <v>1176</v>
      </c>
      <c r="DE38" s="35">
        <v>1192</v>
      </c>
      <c r="DF38" s="35">
        <v>1202.5</v>
      </c>
      <c r="DG38" s="35">
        <v>1209</v>
      </c>
      <c r="DH38" s="35">
        <v>1225.5</v>
      </c>
      <c r="DI38" s="35">
        <v>1243.5</v>
      </c>
      <c r="DJ38" s="35">
        <v>1250.5</v>
      </c>
      <c r="DK38" s="35">
        <v>1272.2</v>
      </c>
      <c r="DL38" s="35">
        <v>1290.9000000000001</v>
      </c>
      <c r="DM38" s="35">
        <v>1312.2</v>
      </c>
      <c r="DN38" s="35">
        <v>1338.9</v>
      </c>
      <c r="DO38" s="35">
        <v>1357.5</v>
      </c>
      <c r="DP38" s="35">
        <v>1388.2</v>
      </c>
      <c r="DQ38" s="35">
        <v>1417.2</v>
      </c>
      <c r="DR38" s="35">
        <v>1435.6</v>
      </c>
      <c r="DS38" s="35">
        <v>1453</v>
      </c>
      <c r="DT38" s="35">
        <v>1478</v>
      </c>
      <c r="DU38" s="35">
        <v>1507</v>
      </c>
      <c r="DV38" s="35">
        <v>1560.6</v>
      </c>
      <c r="DW38" s="35">
        <v>1617.6</v>
      </c>
      <c r="DX38" s="35">
        <v>1597.3</v>
      </c>
      <c r="DY38" s="35">
        <v>1656.2</v>
      </c>
      <c r="DZ38" s="35">
        <v>1677.3</v>
      </c>
      <c r="EA38" s="35">
        <v>1694.5</v>
      </c>
      <c r="EB38" s="35">
        <v>1724.4</v>
      </c>
      <c r="EC38" s="35">
        <v>1756.3</v>
      </c>
      <c r="ED38" s="35">
        <v>1781.7</v>
      </c>
      <c r="EE38" s="35">
        <v>1783.4</v>
      </c>
      <c r="EF38" s="35">
        <v>1811.7</v>
      </c>
      <c r="EG38" s="35">
        <v>1814.6</v>
      </c>
      <c r="EH38" s="35">
        <v>1843.6</v>
      </c>
      <c r="EI38" s="35">
        <v>1868.2</v>
      </c>
      <c r="EJ38" s="35">
        <v>1895.3</v>
      </c>
      <c r="EK38" s="35">
        <v>1903</v>
      </c>
      <c r="EL38" s="35">
        <v>1925.1</v>
      </c>
      <c r="EM38" s="35">
        <v>1952.9</v>
      </c>
      <c r="EN38" s="35">
        <v>1978</v>
      </c>
      <c r="EO38" s="35">
        <v>2024.5</v>
      </c>
      <c r="EP38" s="35">
        <v>2008</v>
      </c>
      <c r="EQ38" s="35">
        <v>2042.4</v>
      </c>
      <c r="ER38" s="35">
        <v>2078.5</v>
      </c>
      <c r="ES38" s="35">
        <v>2094.1999999999998</v>
      </c>
      <c r="ET38" s="35">
        <v>2165.9</v>
      </c>
      <c r="EU38" s="35">
        <v>2182.4</v>
      </c>
      <c r="EV38" s="35">
        <v>2205.9</v>
      </c>
      <c r="EW38" s="35">
        <v>2242.1</v>
      </c>
      <c r="EX38" s="35">
        <v>2256.4</v>
      </c>
      <c r="EY38" s="35">
        <v>2293.3000000000002</v>
      </c>
      <c r="EZ38" s="35">
        <v>2337.8000000000002</v>
      </c>
      <c r="FA38" s="35">
        <v>2337.1999999999998</v>
      </c>
      <c r="FB38" s="35">
        <v>2371.5</v>
      </c>
      <c r="FC38" s="35">
        <v>2419.8000000000002</v>
      </c>
      <c r="FD38" s="35">
        <v>2446.9</v>
      </c>
      <c r="FE38" s="35">
        <v>2444.5</v>
      </c>
      <c r="FF38" s="35">
        <v>2439.1</v>
      </c>
      <c r="FG38" s="35">
        <v>2443.1</v>
      </c>
      <c r="FH38" s="35">
        <v>2451.4</v>
      </c>
      <c r="FI38" s="35">
        <v>2452.3000000000002</v>
      </c>
      <c r="FJ38" s="35">
        <v>2451.4</v>
      </c>
      <c r="FK38" s="35">
        <v>2445</v>
      </c>
      <c r="FL38" s="35">
        <v>2423.3000000000002</v>
      </c>
      <c r="FM38" s="35">
        <v>2417.9</v>
      </c>
      <c r="FN38" s="35">
        <v>2431.3000000000002</v>
      </c>
      <c r="FO38" s="35">
        <v>2447.1999999999998</v>
      </c>
      <c r="FP38" s="35">
        <v>2448.6</v>
      </c>
      <c r="FQ38" s="35">
        <v>2475.8000000000002</v>
      </c>
      <c r="FR38" s="35">
        <v>2485.5</v>
      </c>
      <c r="FS38" s="35">
        <v>2507.5</v>
      </c>
      <c r="FT38" s="35">
        <v>2527.4</v>
      </c>
      <c r="FU38" s="35">
        <v>2529.9</v>
      </c>
      <c r="FV38" s="35">
        <v>2541.1</v>
      </c>
      <c r="FW38" s="35">
        <v>2578.9</v>
      </c>
      <c r="FX38" s="35">
        <v>2622.2</v>
      </c>
      <c r="FY38" s="35">
        <v>2647.2</v>
      </c>
      <c r="FZ38" s="35">
        <v>2652.9</v>
      </c>
      <c r="GA38" s="35">
        <v>2706.9</v>
      </c>
      <c r="GB38" s="35">
        <v>2729.6</v>
      </c>
      <c r="GC38" s="35">
        <v>2729.9</v>
      </c>
      <c r="GD38" s="35">
        <v>2758.2</v>
      </c>
      <c r="GE38" s="35">
        <v>2788.4</v>
      </c>
      <c r="GF38" s="35">
        <v>2815.9</v>
      </c>
      <c r="GG38" s="35">
        <v>2843.1</v>
      </c>
      <c r="GH38" s="35">
        <v>2857.2</v>
      </c>
      <c r="GI38" s="35">
        <v>2858.9</v>
      </c>
      <c r="GJ38" s="35">
        <v>2896.3</v>
      </c>
      <c r="GK38" s="35">
        <v>2919.8</v>
      </c>
      <c r="GL38" s="35">
        <v>2945</v>
      </c>
      <c r="GM38" s="35">
        <v>2990</v>
      </c>
      <c r="GN38" s="35">
        <v>3021.4</v>
      </c>
      <c r="GO38" s="35">
        <v>3025.9</v>
      </c>
      <c r="GP38" s="35">
        <v>3071.4</v>
      </c>
      <c r="GQ38" s="35">
        <v>3135.2</v>
      </c>
      <c r="GR38" s="35">
        <v>3165.1</v>
      </c>
      <c r="GS38" s="35">
        <v>3186.5</v>
      </c>
      <c r="GT38" s="35">
        <v>3210.4</v>
      </c>
      <c r="GU38" s="35">
        <v>3220.4</v>
      </c>
      <c r="GV38" s="35">
        <v>3257.6</v>
      </c>
      <c r="GW38" s="35">
        <v>3260.7</v>
      </c>
      <c r="GX38" s="35">
        <v>3335.5</v>
      </c>
      <c r="GY38" s="35">
        <v>3421.4</v>
      </c>
      <c r="GZ38" s="35">
        <v>3481.6</v>
      </c>
      <c r="HA38" s="35">
        <v>3510.5</v>
      </c>
      <c r="HB38" s="35">
        <v>3575.3</v>
      </c>
      <c r="HC38">
        <v>3677.7</v>
      </c>
      <c r="HD38">
        <v>3739.5</v>
      </c>
      <c r="HE38">
        <v>3828.2</v>
      </c>
      <c r="HF38">
        <v>3795.1</v>
      </c>
    </row>
    <row r="39" spans="1:214" x14ac:dyDescent="0.35">
      <c r="A39" s="35" t="s">
        <v>2161</v>
      </c>
      <c r="B39" s="35"/>
      <c r="C39" s="35"/>
      <c r="D39" s="35"/>
      <c r="E39" s="35"/>
      <c r="F39" s="35"/>
      <c r="G39" s="35"/>
      <c r="H39" s="35"/>
      <c r="I39" s="35"/>
      <c r="J39" s="35"/>
      <c r="K39" s="35"/>
      <c r="L39" s="35"/>
      <c r="M39" s="35"/>
      <c r="N39" s="35"/>
      <c r="O39" s="35"/>
      <c r="P39" s="35"/>
      <c r="Q39" s="35"/>
      <c r="R39" s="35"/>
      <c r="S39" s="35"/>
      <c r="T39" s="35"/>
      <c r="U39" s="35"/>
      <c r="V39" s="35"/>
      <c r="W39" s="35"/>
      <c r="X39" s="35"/>
      <c r="Y39" s="35"/>
      <c r="Z39" s="35"/>
      <c r="AA39" s="35"/>
      <c r="AB39" s="35"/>
      <c r="AC39" s="35"/>
      <c r="AD39" s="35"/>
      <c r="AE39" s="35"/>
      <c r="AF39" s="35"/>
      <c r="AG39" s="35"/>
      <c r="AH39" s="35"/>
      <c r="AI39" s="35"/>
      <c r="AJ39" s="35"/>
      <c r="AK39" s="35"/>
      <c r="AL39" s="35"/>
      <c r="AM39" s="35"/>
      <c r="AN39" s="35"/>
      <c r="AO39" s="35"/>
      <c r="AP39" s="35"/>
      <c r="AQ39" s="35"/>
      <c r="AR39" s="35"/>
      <c r="AS39" s="35"/>
      <c r="AT39" s="35"/>
      <c r="AU39" s="35"/>
      <c r="AV39" s="35"/>
      <c r="AW39" s="35"/>
      <c r="AX39" s="35"/>
      <c r="AY39" s="35"/>
      <c r="AZ39" s="35"/>
      <c r="BA39" s="35"/>
      <c r="BB39" s="35"/>
      <c r="BC39" s="35"/>
      <c r="BD39" s="35"/>
      <c r="BE39" s="35"/>
      <c r="BF39" s="35"/>
      <c r="BG39" s="35"/>
      <c r="BH39" s="35"/>
      <c r="BI39" s="35"/>
      <c r="BJ39" s="35"/>
      <c r="BK39" s="35"/>
      <c r="BL39" s="35"/>
      <c r="BM39" s="35"/>
      <c r="BN39" s="35"/>
      <c r="BO39" s="35"/>
      <c r="BP39" s="35"/>
      <c r="BQ39" s="35"/>
      <c r="BR39" s="35"/>
      <c r="BS39" s="35"/>
      <c r="BT39" s="35"/>
      <c r="BU39" s="35"/>
      <c r="BV39" s="35"/>
      <c r="BW39" s="35"/>
      <c r="BX39" s="35"/>
      <c r="BY39" s="35"/>
      <c r="BZ39" s="35"/>
      <c r="CA39" s="35"/>
      <c r="CB39" s="35"/>
      <c r="CC39" s="35"/>
      <c r="CD39" s="35"/>
      <c r="CE39" s="35"/>
      <c r="CF39" s="35"/>
      <c r="CG39" s="35"/>
      <c r="CH39" s="35"/>
      <c r="CI39" s="35"/>
      <c r="CJ39" s="35"/>
      <c r="CK39" s="35"/>
      <c r="CL39" s="35"/>
      <c r="CM39" s="35"/>
      <c r="CN39" s="35"/>
      <c r="CO39" s="35"/>
      <c r="CP39" s="35">
        <v>78.072000000000003</v>
      </c>
      <c r="CQ39" s="35">
        <v>80.831000000000003</v>
      </c>
      <c r="CR39" s="35">
        <v>85.251000000000005</v>
      </c>
      <c r="CS39" s="35">
        <v>88.177999999999997</v>
      </c>
      <c r="CT39" s="35">
        <v>84.001999999999995</v>
      </c>
      <c r="CU39" s="35">
        <v>86.254999999999995</v>
      </c>
      <c r="CV39" s="35">
        <v>87.977999999999994</v>
      </c>
      <c r="CW39" s="35">
        <v>89.828999999999994</v>
      </c>
      <c r="CX39" s="35">
        <v>95.218000000000004</v>
      </c>
      <c r="CY39" s="35">
        <v>94.483999999999995</v>
      </c>
      <c r="CZ39" s="35">
        <v>93.858000000000004</v>
      </c>
      <c r="DA39" s="35">
        <v>92.180999999999997</v>
      </c>
      <c r="DB39" s="35">
        <v>94.539000000000001</v>
      </c>
      <c r="DC39" s="35">
        <v>102.461</v>
      </c>
      <c r="DD39" s="35">
        <v>99.671999999999997</v>
      </c>
      <c r="DE39" s="35">
        <v>97.608999999999995</v>
      </c>
      <c r="DF39" s="35">
        <v>98.691000000000003</v>
      </c>
      <c r="DG39" s="35">
        <v>98.641999999999996</v>
      </c>
      <c r="DH39" s="35">
        <v>101.001</v>
      </c>
      <c r="DI39" s="35">
        <v>105.738</v>
      </c>
      <c r="DJ39" s="35">
        <v>103.992</v>
      </c>
      <c r="DK39" s="35">
        <v>106.28700000000001</v>
      </c>
      <c r="DL39" s="35">
        <v>106.646</v>
      </c>
      <c r="DM39" s="35">
        <v>110.762</v>
      </c>
      <c r="DN39" s="35">
        <v>114.027</v>
      </c>
      <c r="DO39" s="35">
        <v>113.559</v>
      </c>
      <c r="DP39" s="35">
        <v>120.524</v>
      </c>
      <c r="DQ39" s="35">
        <v>121.904</v>
      </c>
      <c r="DR39" s="35">
        <v>121.898</v>
      </c>
      <c r="DS39" s="35">
        <v>123.319</v>
      </c>
      <c r="DT39" s="35">
        <v>133.626</v>
      </c>
      <c r="DU39" s="35">
        <v>129.62200000000001</v>
      </c>
      <c r="DV39" s="35">
        <v>138.71600000000001</v>
      </c>
      <c r="DW39" s="35">
        <v>145.774</v>
      </c>
      <c r="DX39" s="35">
        <v>143.21899999999999</v>
      </c>
      <c r="DY39" s="35">
        <v>153.809</v>
      </c>
      <c r="DZ39" s="35">
        <v>156.084</v>
      </c>
      <c r="EA39" s="35">
        <v>157.45500000000001</v>
      </c>
      <c r="EB39" s="35">
        <v>164.01</v>
      </c>
      <c r="EC39" s="35">
        <v>166.934</v>
      </c>
      <c r="ED39" s="35">
        <v>165.90600000000001</v>
      </c>
      <c r="EE39" s="35">
        <v>171.10599999999999</v>
      </c>
      <c r="EF39" s="35">
        <v>186.792</v>
      </c>
      <c r="EG39" s="35">
        <v>182.54300000000001</v>
      </c>
      <c r="EH39" s="35">
        <v>190.07</v>
      </c>
      <c r="EI39" s="35">
        <v>194.96299999999999</v>
      </c>
      <c r="EJ39" s="35">
        <v>186.476</v>
      </c>
      <c r="EK39" s="35">
        <v>191.75200000000001</v>
      </c>
      <c r="EL39" s="35">
        <v>199.036</v>
      </c>
      <c r="EM39" s="35">
        <v>200.24600000000001</v>
      </c>
      <c r="EN39" s="35">
        <v>195.23099999999999</v>
      </c>
      <c r="EO39" s="35">
        <v>197.352</v>
      </c>
      <c r="EP39" s="35">
        <v>191.74700000000001</v>
      </c>
      <c r="EQ39" s="35">
        <v>189.018</v>
      </c>
      <c r="ER39" s="35">
        <v>197.488</v>
      </c>
      <c r="ES39" s="35">
        <v>189.083</v>
      </c>
      <c r="ET39" s="35">
        <v>209.34700000000001</v>
      </c>
      <c r="EU39" s="35">
        <v>201.38300000000001</v>
      </c>
      <c r="EV39" s="35">
        <v>204.31800000000001</v>
      </c>
      <c r="EW39" s="35">
        <v>206.11</v>
      </c>
      <c r="EX39" s="35">
        <v>209.60300000000001</v>
      </c>
      <c r="EY39" s="35">
        <v>216.57</v>
      </c>
      <c r="EZ39" s="35">
        <v>213.01599999999999</v>
      </c>
      <c r="FA39" s="35">
        <v>217.49100000000001</v>
      </c>
      <c r="FB39" s="35">
        <v>266.40699999999998</v>
      </c>
      <c r="FC39" s="35">
        <v>284.52600000000001</v>
      </c>
      <c r="FD39" s="35">
        <v>273.90300000000002</v>
      </c>
      <c r="FE39" s="35">
        <v>272.34500000000003</v>
      </c>
      <c r="FF39" s="35">
        <v>283.26799999999997</v>
      </c>
      <c r="FG39" s="35">
        <v>290.80799999999999</v>
      </c>
      <c r="FH39" s="35">
        <v>297.13</v>
      </c>
      <c r="FI39" s="35">
        <v>309.66800000000001</v>
      </c>
      <c r="FJ39" s="35">
        <v>293.83999999999997</v>
      </c>
      <c r="FK39" s="35">
        <v>288.89999999999998</v>
      </c>
      <c r="FL39" s="35">
        <v>248.81299999999999</v>
      </c>
      <c r="FM39" s="35">
        <v>249.625</v>
      </c>
      <c r="FN39" s="35">
        <v>258.161</v>
      </c>
      <c r="FO39" s="35">
        <v>273.39</v>
      </c>
      <c r="FP39" s="35">
        <v>263.07900000000001</v>
      </c>
      <c r="FQ39" s="35">
        <v>269.70999999999998</v>
      </c>
      <c r="FR39" s="35">
        <v>272.06299999999999</v>
      </c>
      <c r="FS39" s="35">
        <v>283.40800000000002</v>
      </c>
      <c r="FT39" s="35">
        <v>281.45499999999998</v>
      </c>
      <c r="FU39" s="35">
        <v>282.10700000000003</v>
      </c>
      <c r="FV39" s="35">
        <v>303.39</v>
      </c>
      <c r="FW39" s="35">
        <v>320.01499999999999</v>
      </c>
      <c r="FX39" s="35">
        <v>343.69200000000001</v>
      </c>
      <c r="FY39" s="35">
        <v>345.71199999999999</v>
      </c>
      <c r="FZ39" s="35">
        <v>362.79199999999997</v>
      </c>
      <c r="GA39" s="35">
        <v>363.41</v>
      </c>
      <c r="GB39" s="35">
        <v>365.38400000000001</v>
      </c>
      <c r="GC39" s="35">
        <v>384.03199999999998</v>
      </c>
      <c r="GD39" s="35">
        <v>378.24599999999998</v>
      </c>
      <c r="GE39" s="35">
        <v>382.36700000000002</v>
      </c>
      <c r="GF39" s="35">
        <v>396.21600000000001</v>
      </c>
      <c r="GG39" s="35">
        <v>408.32299999999998</v>
      </c>
      <c r="GH39" s="35">
        <v>396.16199999999998</v>
      </c>
      <c r="GI39" s="35">
        <v>373.916</v>
      </c>
      <c r="GJ39" s="35">
        <v>396.06599999999997</v>
      </c>
      <c r="GK39" s="35">
        <v>401.38499999999999</v>
      </c>
      <c r="GL39" s="35">
        <v>411.51900000000001</v>
      </c>
      <c r="GM39" s="35">
        <v>406.423</v>
      </c>
      <c r="GN39" s="35">
        <v>411.28800000000001</v>
      </c>
      <c r="GO39" s="35">
        <v>411.25099999999998</v>
      </c>
      <c r="GP39" s="35">
        <v>429.279</v>
      </c>
      <c r="GQ39" s="35">
        <v>439.28199999999998</v>
      </c>
      <c r="GR39" s="35">
        <v>437.56599999999997</v>
      </c>
      <c r="GS39" s="35">
        <v>434.72500000000002</v>
      </c>
      <c r="GT39" s="35">
        <v>451.57299999999998</v>
      </c>
      <c r="GU39" s="35">
        <v>584.35400000000004</v>
      </c>
      <c r="GV39" s="35">
        <v>533.04399999999998</v>
      </c>
      <c r="GW39" s="35">
        <v>537.83799999999997</v>
      </c>
      <c r="GX39" s="35">
        <v>548.28599999999994</v>
      </c>
      <c r="GY39" s="35">
        <v>559.476</v>
      </c>
      <c r="GZ39" s="35">
        <v>580.827</v>
      </c>
      <c r="HA39" s="35">
        <v>599.62099999999998</v>
      </c>
      <c r="HB39" s="35">
        <v>634.75099999999998</v>
      </c>
      <c r="HC39">
        <v>630.83399999999995</v>
      </c>
      <c r="HD39">
        <v>638.77099999999996</v>
      </c>
      <c r="HE39">
        <v>640.79</v>
      </c>
      <c r="HF39">
        <v>660.94500000000005</v>
      </c>
    </row>
    <row r="40" spans="1:214" x14ac:dyDescent="0.35">
      <c r="A40" s="35" t="s">
        <v>2162</v>
      </c>
      <c r="B40" s="35"/>
      <c r="C40" s="35"/>
      <c r="D40" s="35"/>
      <c r="E40" s="35"/>
      <c r="F40" s="35"/>
      <c r="G40" s="35"/>
      <c r="H40" s="35"/>
      <c r="I40" s="35"/>
      <c r="J40" s="35"/>
      <c r="K40" s="35"/>
      <c r="L40" s="35"/>
      <c r="M40" s="35"/>
      <c r="N40" s="35"/>
      <c r="O40" s="35"/>
      <c r="P40" s="35"/>
      <c r="Q40" s="35"/>
      <c r="R40" s="35"/>
      <c r="S40" s="35"/>
      <c r="T40" s="35"/>
      <c r="U40" s="35"/>
      <c r="V40" s="35"/>
      <c r="W40" s="35"/>
      <c r="X40" s="35"/>
      <c r="Y40" s="35"/>
      <c r="Z40" s="35"/>
      <c r="AA40" s="35"/>
      <c r="AB40" s="35"/>
      <c r="AC40" s="35"/>
      <c r="AD40" s="35"/>
      <c r="AE40" s="35"/>
      <c r="AF40" s="35"/>
      <c r="AG40" s="35"/>
      <c r="AH40" s="35"/>
      <c r="AI40" s="35"/>
      <c r="AJ40" s="35"/>
      <c r="AK40" s="35"/>
      <c r="AL40" s="35"/>
      <c r="AM40" s="35"/>
      <c r="AN40" s="35"/>
      <c r="AO40" s="35"/>
      <c r="AP40" s="35"/>
      <c r="AQ40" s="35"/>
      <c r="AR40" s="35"/>
      <c r="AS40" s="35"/>
      <c r="AT40" s="35"/>
      <c r="AU40" s="35"/>
      <c r="AV40" s="35"/>
      <c r="AW40" s="35"/>
      <c r="AX40" s="35"/>
      <c r="AY40" s="35"/>
      <c r="AZ40" s="35"/>
      <c r="BA40" s="35"/>
      <c r="BB40" s="35"/>
      <c r="BC40" s="35"/>
      <c r="BD40" s="35"/>
      <c r="BE40" s="35"/>
      <c r="BF40" s="35"/>
      <c r="BG40" s="35"/>
      <c r="BH40" s="35"/>
      <c r="BI40" s="35"/>
      <c r="BJ40" s="35"/>
      <c r="BK40" s="35"/>
      <c r="BL40" s="35"/>
      <c r="BM40" s="35"/>
      <c r="BN40" s="35"/>
      <c r="BO40" s="35"/>
      <c r="BP40" s="35"/>
      <c r="BQ40" s="35"/>
      <c r="BR40" s="35"/>
      <c r="BS40" s="35"/>
      <c r="BT40" s="35"/>
      <c r="BU40" s="35"/>
      <c r="BV40" s="35"/>
      <c r="BW40" s="35"/>
      <c r="BX40" s="35"/>
      <c r="BY40" s="35"/>
      <c r="BZ40" s="35"/>
      <c r="CA40" s="35"/>
      <c r="CB40" s="35"/>
      <c r="CC40" s="35"/>
      <c r="CD40" s="35"/>
      <c r="CE40" s="35"/>
      <c r="CF40" s="35"/>
      <c r="CG40" s="35"/>
      <c r="CH40" s="35"/>
      <c r="CI40" s="35"/>
      <c r="CJ40" s="35"/>
      <c r="CK40" s="35"/>
      <c r="CL40" s="35"/>
      <c r="CM40" s="35"/>
      <c r="CN40" s="35"/>
      <c r="CO40" s="35"/>
      <c r="CP40" s="35">
        <v>73.888000000000005</v>
      </c>
      <c r="CQ40" s="35">
        <v>76.036000000000001</v>
      </c>
      <c r="CR40" s="35">
        <v>80.603999999999999</v>
      </c>
      <c r="CS40" s="35">
        <v>84.1</v>
      </c>
      <c r="CT40" s="35">
        <v>78.947999999999993</v>
      </c>
      <c r="CU40" s="35">
        <v>81.772000000000006</v>
      </c>
      <c r="CV40" s="35">
        <v>82.891999999999996</v>
      </c>
      <c r="CW40" s="35">
        <v>85.54</v>
      </c>
      <c r="CX40" s="35">
        <v>90.524000000000001</v>
      </c>
      <c r="CY40" s="35">
        <v>90.54</v>
      </c>
      <c r="CZ40" s="35">
        <v>89.28</v>
      </c>
      <c r="DA40" s="35">
        <v>87.567999999999998</v>
      </c>
      <c r="DB40" s="35">
        <v>88.772000000000006</v>
      </c>
      <c r="DC40" s="35">
        <v>96.376000000000005</v>
      </c>
      <c r="DD40" s="35">
        <v>94.872</v>
      </c>
      <c r="DE40" s="35">
        <v>93.891999999999996</v>
      </c>
      <c r="DF40" s="35">
        <v>95.98</v>
      </c>
      <c r="DG40" s="35">
        <v>94.924000000000007</v>
      </c>
      <c r="DH40" s="35">
        <v>97.108000000000004</v>
      </c>
      <c r="DI40" s="35">
        <v>101.384</v>
      </c>
      <c r="DJ40" s="35">
        <v>99.444000000000003</v>
      </c>
      <c r="DK40" s="35">
        <v>101.608</v>
      </c>
      <c r="DL40" s="35">
        <v>102.26</v>
      </c>
      <c r="DM40" s="35">
        <v>103.952</v>
      </c>
      <c r="DN40" s="35">
        <v>107.1</v>
      </c>
      <c r="DO40" s="35">
        <v>107.208</v>
      </c>
      <c r="DP40" s="35">
        <v>113.428</v>
      </c>
      <c r="DQ40" s="35">
        <v>114.62</v>
      </c>
      <c r="DR40" s="35">
        <v>114.852</v>
      </c>
      <c r="DS40" s="35">
        <v>116.16800000000001</v>
      </c>
      <c r="DT40" s="35">
        <v>125.392</v>
      </c>
      <c r="DU40" s="35">
        <v>121.748</v>
      </c>
      <c r="DV40" s="35">
        <v>129.38800000000001</v>
      </c>
      <c r="DW40" s="35">
        <v>132.12799999999999</v>
      </c>
      <c r="DX40" s="35">
        <v>133.364</v>
      </c>
      <c r="DY40" s="35">
        <v>143.65199999999999</v>
      </c>
      <c r="DZ40" s="35">
        <v>145.547</v>
      </c>
      <c r="EA40" s="35">
        <v>146.352</v>
      </c>
      <c r="EB40" s="35">
        <v>152.89599999999999</v>
      </c>
      <c r="EC40" s="35">
        <v>155.30699999999999</v>
      </c>
      <c r="ED40" s="35">
        <v>154.37799999999999</v>
      </c>
      <c r="EE40" s="35">
        <v>158.02000000000001</v>
      </c>
      <c r="EF40" s="35">
        <v>174.22900000000001</v>
      </c>
      <c r="EG40" s="35">
        <v>170.506</v>
      </c>
      <c r="EH40" s="35">
        <v>177.77199999999999</v>
      </c>
      <c r="EI40" s="35">
        <v>182.69200000000001</v>
      </c>
      <c r="EJ40" s="35">
        <v>173.33</v>
      </c>
      <c r="EK40" s="35">
        <v>177.28200000000001</v>
      </c>
      <c r="EL40" s="35">
        <v>183.90799999999999</v>
      </c>
      <c r="EM40" s="35">
        <v>185.81800000000001</v>
      </c>
      <c r="EN40" s="35">
        <v>179.68299999999999</v>
      </c>
      <c r="EO40" s="35">
        <v>182.94399999999999</v>
      </c>
      <c r="EP40" s="35">
        <v>175.95599999999999</v>
      </c>
      <c r="EQ40" s="35">
        <v>176.53</v>
      </c>
      <c r="ER40" s="35">
        <v>186.733</v>
      </c>
      <c r="ES40" s="35">
        <v>177.65899999999999</v>
      </c>
      <c r="ET40" s="35">
        <v>200.21799999999999</v>
      </c>
      <c r="EU40" s="35">
        <v>190.602</v>
      </c>
      <c r="EV40" s="35">
        <v>194.11099999999999</v>
      </c>
      <c r="EW40" s="35">
        <v>196.02799999999999</v>
      </c>
      <c r="EX40" s="35">
        <v>200.29400000000001</v>
      </c>
      <c r="EY40" s="35">
        <v>203.79400000000001</v>
      </c>
      <c r="EZ40" s="35">
        <v>205.059</v>
      </c>
      <c r="FA40" s="35">
        <v>208.505</v>
      </c>
      <c r="FB40" s="35">
        <v>256.94400000000002</v>
      </c>
      <c r="FC40" s="35">
        <v>274.66399999999999</v>
      </c>
      <c r="FD40" s="35">
        <v>263.92399999999998</v>
      </c>
      <c r="FE40" s="35">
        <v>261.94400000000002</v>
      </c>
      <c r="FF40" s="35">
        <v>271.84399999999999</v>
      </c>
      <c r="FG40" s="35">
        <v>272.45600000000002</v>
      </c>
      <c r="FH40" s="35">
        <v>283.69099999999997</v>
      </c>
      <c r="FI40" s="35">
        <v>297.60899999999998</v>
      </c>
      <c r="FJ40" s="35">
        <v>282.44499999999999</v>
      </c>
      <c r="FK40" s="35">
        <v>277.19600000000003</v>
      </c>
      <c r="FL40" s="35">
        <v>237.739</v>
      </c>
      <c r="FM40" s="35">
        <v>239.291</v>
      </c>
      <c r="FN40" s="35">
        <v>246.24799999999999</v>
      </c>
      <c r="FO40" s="35">
        <v>262.32400000000001</v>
      </c>
      <c r="FP40" s="35">
        <v>250.54</v>
      </c>
      <c r="FQ40" s="35">
        <v>259.56200000000001</v>
      </c>
      <c r="FR40" s="35">
        <v>258.45</v>
      </c>
      <c r="FS40" s="35">
        <v>270.887</v>
      </c>
      <c r="FT40" s="35">
        <v>269.279</v>
      </c>
      <c r="FU40" s="35">
        <v>269.98200000000003</v>
      </c>
      <c r="FV40" s="35">
        <v>291.58999999999997</v>
      </c>
      <c r="FW40" s="35">
        <v>307.77499999999998</v>
      </c>
      <c r="FX40" s="35">
        <v>332.4</v>
      </c>
      <c r="FY40" s="35">
        <v>335.61099999999999</v>
      </c>
      <c r="FZ40" s="35">
        <v>352.18799999999999</v>
      </c>
      <c r="GA40" s="35">
        <v>353.44200000000001</v>
      </c>
      <c r="GB40" s="35">
        <v>352.90899999999999</v>
      </c>
      <c r="GC40" s="35">
        <v>366.274</v>
      </c>
      <c r="GD40" s="35">
        <v>360.221</v>
      </c>
      <c r="GE40" s="35">
        <v>363.84399999999999</v>
      </c>
      <c r="GF40" s="35">
        <v>377.96699999999998</v>
      </c>
      <c r="GG40" s="35">
        <v>388.17599999999999</v>
      </c>
      <c r="GH40" s="35">
        <v>376.56400000000002</v>
      </c>
      <c r="GI40" s="35">
        <v>354.404</v>
      </c>
      <c r="GJ40" s="35">
        <v>375.43799999999999</v>
      </c>
      <c r="GK40" s="35">
        <v>382.68</v>
      </c>
      <c r="GL40" s="35">
        <v>390.32400000000001</v>
      </c>
      <c r="GM40" s="35">
        <v>386.39299999999997</v>
      </c>
      <c r="GN40" s="35">
        <v>390.94</v>
      </c>
      <c r="GO40" s="35">
        <v>390.53500000000003</v>
      </c>
      <c r="GP40" s="35">
        <v>407.62099999999998</v>
      </c>
      <c r="GQ40" s="35">
        <v>416.459</v>
      </c>
      <c r="GR40" s="35">
        <v>418.661</v>
      </c>
      <c r="GS40" s="35">
        <v>411.69499999999999</v>
      </c>
      <c r="GT40" s="35">
        <v>428.30799999999999</v>
      </c>
      <c r="GU40" s="35">
        <v>506.81599999999997</v>
      </c>
      <c r="GV40" s="35">
        <v>484.78</v>
      </c>
      <c r="GW40" s="35">
        <v>500.25799999999998</v>
      </c>
      <c r="GX40" s="35">
        <v>509.42099999999999</v>
      </c>
      <c r="GY40" s="35">
        <v>527.01700000000005</v>
      </c>
      <c r="GZ40" s="35">
        <v>542.85299999999995</v>
      </c>
      <c r="HA40" s="35">
        <v>553.86500000000001</v>
      </c>
      <c r="HB40" s="35">
        <v>592.26700000000005</v>
      </c>
      <c r="HC40">
        <v>590.13</v>
      </c>
      <c r="HD40">
        <v>605.63699999999994</v>
      </c>
      <c r="HE40">
        <v>604.82500000000005</v>
      </c>
      <c r="HF40">
        <v>627.72799999999995</v>
      </c>
    </row>
    <row r="41" spans="1:214" x14ac:dyDescent="0.35">
      <c r="A41" s="35" t="s">
        <v>2163</v>
      </c>
      <c r="B41" s="35">
        <v>5.5759999999999996</v>
      </c>
      <c r="C41" s="35">
        <v>5.2279999999999998</v>
      </c>
      <c r="D41" s="35">
        <v>4.8159999999999998</v>
      </c>
      <c r="E41" s="35">
        <v>4.9000000000000004</v>
      </c>
      <c r="F41" s="35">
        <v>5.4640000000000004</v>
      </c>
      <c r="G41" s="35">
        <v>6.3120000000000003</v>
      </c>
      <c r="H41" s="35">
        <v>5.7560000000000002</v>
      </c>
      <c r="I41" s="35">
        <v>5.6440000000000001</v>
      </c>
      <c r="J41" s="35">
        <v>5.6680000000000001</v>
      </c>
      <c r="K41" s="35">
        <v>5.2160000000000002</v>
      </c>
      <c r="L41" s="35">
        <v>6.7240000000000002</v>
      </c>
      <c r="M41" s="35">
        <v>5.7</v>
      </c>
      <c r="N41" s="35">
        <v>5.74</v>
      </c>
      <c r="O41" s="35">
        <v>6.2080000000000002</v>
      </c>
      <c r="P41" s="35">
        <v>5.3440000000000003</v>
      </c>
      <c r="Q41" s="35">
        <v>5.92</v>
      </c>
      <c r="R41" s="35">
        <v>7.76</v>
      </c>
      <c r="S41" s="35">
        <v>8.5719999999999992</v>
      </c>
      <c r="T41" s="35">
        <v>6.4960000000000004</v>
      </c>
      <c r="U41" s="35">
        <v>7.84</v>
      </c>
      <c r="V41" s="35">
        <v>8.6519999999999992</v>
      </c>
      <c r="W41" s="35">
        <v>7.8040000000000003</v>
      </c>
      <c r="X41" s="35">
        <v>10.772</v>
      </c>
      <c r="Y41" s="35">
        <v>10.423999999999999</v>
      </c>
      <c r="Z41" s="35">
        <v>10.012</v>
      </c>
      <c r="AA41" s="35">
        <v>9.76</v>
      </c>
      <c r="AB41" s="35">
        <v>10.592000000000001</v>
      </c>
      <c r="AC41" s="35">
        <v>11.108000000000001</v>
      </c>
      <c r="AD41" s="35">
        <v>10.715999999999999</v>
      </c>
      <c r="AE41" s="35">
        <v>10.651999999999999</v>
      </c>
      <c r="AF41" s="35">
        <v>11.804</v>
      </c>
      <c r="AG41" s="35">
        <v>10.7</v>
      </c>
      <c r="AH41" s="35">
        <v>10.968</v>
      </c>
      <c r="AI41" s="35">
        <v>11.528</v>
      </c>
      <c r="AJ41" s="35">
        <v>11.907999999999999</v>
      </c>
      <c r="AK41" s="35">
        <v>12.528</v>
      </c>
      <c r="AL41" s="35">
        <v>13.592000000000001</v>
      </c>
      <c r="AM41" s="35">
        <v>13.048</v>
      </c>
      <c r="AN41" s="35">
        <v>14.292</v>
      </c>
      <c r="AO41" s="35">
        <v>15.752000000000001</v>
      </c>
      <c r="AP41" s="35">
        <v>16.260000000000002</v>
      </c>
      <c r="AQ41" s="35">
        <v>16.536000000000001</v>
      </c>
      <c r="AR41" s="35">
        <v>15.916</v>
      </c>
      <c r="AS41" s="35">
        <v>16.628</v>
      </c>
      <c r="AT41" s="35">
        <v>16.091999999999999</v>
      </c>
      <c r="AU41" s="35">
        <v>15.715999999999999</v>
      </c>
      <c r="AV41" s="35">
        <v>14.827999999999999</v>
      </c>
      <c r="AW41" s="35">
        <v>15.012</v>
      </c>
      <c r="AX41" s="35">
        <v>13.852</v>
      </c>
      <c r="AY41" s="35">
        <v>14.552</v>
      </c>
      <c r="AZ41" s="35">
        <v>14.544</v>
      </c>
      <c r="BA41" s="35">
        <v>14.484</v>
      </c>
      <c r="BB41" s="35">
        <v>15.9</v>
      </c>
      <c r="BC41" s="35">
        <v>14.2</v>
      </c>
      <c r="BD41" s="35">
        <v>15.904</v>
      </c>
      <c r="BE41" s="35">
        <v>15.768000000000001</v>
      </c>
      <c r="BF41" s="35">
        <v>16.556000000000001</v>
      </c>
      <c r="BG41" s="35">
        <v>17.236000000000001</v>
      </c>
      <c r="BH41" s="35">
        <v>18.091999999999999</v>
      </c>
      <c r="BI41" s="35">
        <v>18.824000000000002</v>
      </c>
      <c r="BJ41" s="35">
        <v>17.044</v>
      </c>
      <c r="BK41" s="35">
        <v>19.408000000000001</v>
      </c>
      <c r="BL41" s="35">
        <v>20.036000000000001</v>
      </c>
      <c r="BM41" s="35">
        <v>21.184000000000001</v>
      </c>
      <c r="BN41" s="35">
        <v>19.72</v>
      </c>
      <c r="BO41" s="35">
        <v>20.556000000000001</v>
      </c>
      <c r="BP41" s="35">
        <v>21.283999999999999</v>
      </c>
      <c r="BQ41" s="35">
        <v>18.32</v>
      </c>
      <c r="BR41" s="35">
        <v>18.760000000000002</v>
      </c>
      <c r="BS41" s="35">
        <v>19.559999999999999</v>
      </c>
      <c r="BT41" s="35">
        <v>18.827999999999999</v>
      </c>
      <c r="BU41" s="35">
        <v>18.696000000000002</v>
      </c>
      <c r="BV41" s="35">
        <v>18.972000000000001</v>
      </c>
      <c r="BW41" s="35">
        <v>19.835999999999999</v>
      </c>
      <c r="BX41" s="35">
        <v>20.388000000000002</v>
      </c>
      <c r="BY41" s="35">
        <v>19.283999999999999</v>
      </c>
      <c r="BZ41" s="35">
        <v>20.192</v>
      </c>
      <c r="CA41" s="35">
        <v>19.936</v>
      </c>
      <c r="CB41" s="35">
        <v>18.832000000000001</v>
      </c>
      <c r="CC41" s="35">
        <v>20.492000000000001</v>
      </c>
      <c r="CD41" s="35">
        <v>21.448</v>
      </c>
      <c r="CE41" s="35">
        <v>20.184000000000001</v>
      </c>
      <c r="CF41" s="35">
        <v>20.507999999999999</v>
      </c>
      <c r="CG41" s="35">
        <v>21.187999999999999</v>
      </c>
      <c r="CH41" s="35">
        <v>21.552</v>
      </c>
      <c r="CI41" s="35">
        <v>21.611999999999998</v>
      </c>
      <c r="CJ41" s="35">
        <v>21.056000000000001</v>
      </c>
      <c r="CK41" s="35">
        <v>20.611999999999998</v>
      </c>
      <c r="CL41" s="35">
        <v>21.388000000000002</v>
      </c>
      <c r="CM41" s="35">
        <v>22.8</v>
      </c>
      <c r="CN41" s="35">
        <v>22.288</v>
      </c>
      <c r="CO41" s="35">
        <v>23.064</v>
      </c>
      <c r="CP41" s="35">
        <v>21.783999999999999</v>
      </c>
      <c r="CQ41" s="35">
        <v>22.472000000000001</v>
      </c>
      <c r="CR41" s="35">
        <v>24.884</v>
      </c>
      <c r="CS41" s="35">
        <v>24.763999999999999</v>
      </c>
      <c r="CT41" s="35">
        <v>23.632000000000001</v>
      </c>
      <c r="CU41" s="35">
        <v>23.952000000000002</v>
      </c>
      <c r="CV41" s="35">
        <v>25.152000000000001</v>
      </c>
      <c r="CW41" s="35">
        <v>26.475999999999999</v>
      </c>
      <c r="CX41" s="35">
        <v>27.744</v>
      </c>
      <c r="CY41" s="35">
        <v>28.027999999999999</v>
      </c>
      <c r="CZ41" s="35">
        <v>26.448</v>
      </c>
      <c r="DA41" s="35">
        <v>26.815999999999999</v>
      </c>
      <c r="DB41" s="35">
        <v>29.135999999999999</v>
      </c>
      <c r="DC41" s="35">
        <v>27.904</v>
      </c>
      <c r="DD41" s="35">
        <v>27.116</v>
      </c>
      <c r="DE41" s="35">
        <v>28.72</v>
      </c>
      <c r="DF41" s="35">
        <v>28.4</v>
      </c>
      <c r="DG41" s="35">
        <v>29.015999999999998</v>
      </c>
      <c r="DH41" s="35">
        <v>29.084</v>
      </c>
      <c r="DI41" s="35">
        <v>28.744</v>
      </c>
      <c r="DJ41" s="35">
        <v>27.052</v>
      </c>
      <c r="DK41" s="35">
        <v>27.335999999999999</v>
      </c>
      <c r="DL41" s="35">
        <v>29.103999999999999</v>
      </c>
      <c r="DM41" s="35">
        <v>31.231999999999999</v>
      </c>
      <c r="DN41" s="35">
        <v>27.78</v>
      </c>
      <c r="DO41" s="35">
        <v>32.192</v>
      </c>
      <c r="DP41" s="35">
        <v>34.264000000000003</v>
      </c>
      <c r="DQ41" s="35">
        <v>34.124000000000002</v>
      </c>
      <c r="DR41" s="35">
        <v>35.572000000000003</v>
      </c>
      <c r="DS41" s="35">
        <v>36.04</v>
      </c>
      <c r="DT41" s="35">
        <v>35.728000000000002</v>
      </c>
      <c r="DU41" s="35">
        <v>39.26</v>
      </c>
      <c r="DV41" s="35">
        <v>40.316000000000003</v>
      </c>
      <c r="DW41" s="35">
        <v>43.008000000000003</v>
      </c>
      <c r="DX41" s="35">
        <v>42.667999999999999</v>
      </c>
      <c r="DY41" s="35">
        <v>43.008000000000003</v>
      </c>
      <c r="DZ41" s="35">
        <v>50.609000000000002</v>
      </c>
      <c r="EA41" s="35">
        <v>45.405000000000001</v>
      </c>
      <c r="EB41" s="35">
        <v>41.341999999999999</v>
      </c>
      <c r="EC41" s="35">
        <v>44.814</v>
      </c>
      <c r="ED41" s="35">
        <v>43.170999999999999</v>
      </c>
      <c r="EE41" s="35">
        <v>48.719000000000001</v>
      </c>
      <c r="EF41" s="35">
        <v>46.442999999999998</v>
      </c>
      <c r="EG41" s="35">
        <v>45.506999999999998</v>
      </c>
      <c r="EH41" s="35">
        <v>47.600999999999999</v>
      </c>
      <c r="EI41" s="35">
        <v>44.213000000000001</v>
      </c>
      <c r="EJ41" s="35">
        <v>50.412999999999997</v>
      </c>
      <c r="EK41" s="35">
        <v>44.947000000000003</v>
      </c>
      <c r="EL41" s="35">
        <v>49.942999999999998</v>
      </c>
      <c r="EM41" s="35">
        <v>51.171999999999997</v>
      </c>
      <c r="EN41" s="35">
        <v>47.383000000000003</v>
      </c>
      <c r="EO41" s="35">
        <v>49.225000000000001</v>
      </c>
      <c r="EP41" s="35">
        <v>53.557000000000002</v>
      </c>
      <c r="EQ41" s="35">
        <v>53.237000000000002</v>
      </c>
      <c r="ER41" s="35">
        <v>52.164999999999999</v>
      </c>
      <c r="ES41" s="35">
        <v>51.704000000000001</v>
      </c>
      <c r="ET41" s="35">
        <v>50.936999999999998</v>
      </c>
      <c r="EU41" s="35">
        <v>56.121000000000002</v>
      </c>
      <c r="EV41" s="35">
        <v>55.527999999999999</v>
      </c>
      <c r="EW41" s="35">
        <v>54.619</v>
      </c>
      <c r="EX41" s="35">
        <v>56.613</v>
      </c>
      <c r="EY41" s="35">
        <v>58.841999999999999</v>
      </c>
      <c r="EZ41" s="35">
        <v>56.868000000000002</v>
      </c>
      <c r="FA41" s="35">
        <v>58.177</v>
      </c>
      <c r="FB41" s="35">
        <v>58.334000000000003</v>
      </c>
      <c r="FC41" s="35">
        <v>59.643000000000001</v>
      </c>
      <c r="FD41" s="35">
        <v>67.126000000000005</v>
      </c>
      <c r="FE41" s="35">
        <v>68.543000000000006</v>
      </c>
      <c r="FF41" s="35">
        <v>64.721000000000004</v>
      </c>
      <c r="FG41" s="35">
        <v>73.736999999999995</v>
      </c>
      <c r="FH41" s="35">
        <v>74.820999999999998</v>
      </c>
      <c r="FI41" s="35">
        <v>75.022000000000006</v>
      </c>
      <c r="FJ41" s="35">
        <v>70.503</v>
      </c>
      <c r="FK41" s="35">
        <v>69.144999999999996</v>
      </c>
      <c r="FL41" s="35">
        <v>65.915999999999997</v>
      </c>
      <c r="FM41" s="35">
        <v>70.531000000000006</v>
      </c>
      <c r="FN41" s="35">
        <v>67.106999999999999</v>
      </c>
      <c r="FO41" s="35">
        <v>67.67</v>
      </c>
      <c r="FP41" s="35">
        <v>65.88</v>
      </c>
      <c r="FQ41" s="35">
        <v>65.507000000000005</v>
      </c>
      <c r="FR41" s="35">
        <v>67.563999999999993</v>
      </c>
      <c r="FS41" s="35">
        <v>63.978999999999999</v>
      </c>
      <c r="FT41" s="35">
        <v>68.013999999999996</v>
      </c>
      <c r="FU41" s="35">
        <v>65.742000000000004</v>
      </c>
      <c r="FV41" s="35">
        <v>65.275999999999996</v>
      </c>
      <c r="FW41" s="35">
        <v>67.164000000000001</v>
      </c>
      <c r="FX41" s="35">
        <v>68.84</v>
      </c>
      <c r="FY41" s="35">
        <v>61.402999999999999</v>
      </c>
      <c r="FZ41" s="35">
        <v>63.533999999999999</v>
      </c>
      <c r="GA41" s="35">
        <v>62.906999999999996</v>
      </c>
      <c r="GB41" s="35">
        <v>66.760000000000005</v>
      </c>
      <c r="GC41" s="35">
        <v>64.462000000000003</v>
      </c>
      <c r="GD41" s="35">
        <v>66.301000000000002</v>
      </c>
      <c r="GE41" s="35">
        <v>67.191000000000003</v>
      </c>
      <c r="GF41" s="35">
        <v>68.578000000000003</v>
      </c>
      <c r="GG41" s="35">
        <v>66.980999999999995</v>
      </c>
      <c r="GH41" s="35">
        <v>67.222999999999999</v>
      </c>
      <c r="GI41" s="35">
        <v>69.478999999999999</v>
      </c>
      <c r="GJ41" s="35">
        <v>64.623999999999995</v>
      </c>
      <c r="GK41" s="35">
        <v>65.736999999999995</v>
      </c>
      <c r="GL41" s="35">
        <v>65.108999999999995</v>
      </c>
      <c r="GM41" s="35">
        <v>65.992999999999995</v>
      </c>
      <c r="GN41" s="35">
        <v>70.102999999999994</v>
      </c>
      <c r="GO41" s="35">
        <v>66.3</v>
      </c>
      <c r="GP41" s="35">
        <v>67.444999999999993</v>
      </c>
      <c r="GQ41" s="35">
        <v>67.728999999999999</v>
      </c>
      <c r="GR41" s="35">
        <v>70.805999999999997</v>
      </c>
      <c r="GS41" s="35">
        <v>72.367000000000004</v>
      </c>
      <c r="GT41" s="35">
        <v>75.578999999999994</v>
      </c>
      <c r="GU41" s="35">
        <v>76.015000000000001</v>
      </c>
      <c r="GV41" s="35">
        <v>78.872</v>
      </c>
      <c r="GW41" s="35">
        <v>75.819000000000003</v>
      </c>
      <c r="GX41" s="35">
        <v>73.662000000000006</v>
      </c>
      <c r="GY41" s="35">
        <v>75.066000000000003</v>
      </c>
      <c r="GZ41" s="35">
        <v>69.344999999999999</v>
      </c>
      <c r="HA41" s="35">
        <v>72.477000000000004</v>
      </c>
      <c r="HB41" s="35">
        <v>72.528999999999996</v>
      </c>
      <c r="HC41">
        <v>436.40499999999997</v>
      </c>
      <c r="HD41">
        <v>140.262</v>
      </c>
      <c r="HE41">
        <v>76.876999999999995</v>
      </c>
      <c r="HF41">
        <v>75.772000000000006</v>
      </c>
    </row>
    <row r="42" spans="1:214" x14ac:dyDescent="0.35">
      <c r="A42" s="35" t="s">
        <v>2164</v>
      </c>
      <c r="B42" s="35">
        <v>4.7</v>
      </c>
      <c r="C42" s="35">
        <v>4.8</v>
      </c>
      <c r="D42" s="35">
        <v>4.7</v>
      </c>
      <c r="E42" s="35">
        <v>4.8</v>
      </c>
      <c r="F42" s="35">
        <v>4.7</v>
      </c>
      <c r="G42" s="35">
        <v>4.8</v>
      </c>
      <c r="H42" s="35">
        <v>4.5</v>
      </c>
      <c r="I42" s="35">
        <v>4.5999999999999996</v>
      </c>
      <c r="J42" s="35">
        <v>6.1</v>
      </c>
      <c r="K42" s="35">
        <v>6.2</v>
      </c>
      <c r="L42" s="35">
        <v>7.1</v>
      </c>
      <c r="M42" s="35">
        <v>7</v>
      </c>
      <c r="N42" s="35">
        <v>5.9</v>
      </c>
      <c r="O42" s="35">
        <v>5.6</v>
      </c>
      <c r="P42" s="35">
        <v>4.5999999999999996</v>
      </c>
      <c r="Q42" s="35">
        <v>4.5</v>
      </c>
      <c r="R42" s="35">
        <v>3.5</v>
      </c>
      <c r="S42" s="35">
        <v>2.8</v>
      </c>
      <c r="T42" s="35">
        <v>3.1</v>
      </c>
      <c r="U42" s="35">
        <v>3.5</v>
      </c>
      <c r="V42" s="35">
        <v>4.0999999999999996</v>
      </c>
      <c r="W42" s="35">
        <v>4.0999999999999996</v>
      </c>
      <c r="X42" s="35">
        <v>4.4000000000000004</v>
      </c>
      <c r="Y42" s="35">
        <v>4.8</v>
      </c>
      <c r="Z42" s="35">
        <v>5</v>
      </c>
      <c r="AA42" s="35">
        <v>4.7</v>
      </c>
      <c r="AB42" s="35">
        <v>4.9000000000000004</v>
      </c>
      <c r="AC42" s="35">
        <v>5.3</v>
      </c>
      <c r="AD42" s="35">
        <v>5.6</v>
      </c>
      <c r="AE42" s="35">
        <v>5.7</v>
      </c>
      <c r="AF42" s="35">
        <v>6.2</v>
      </c>
      <c r="AG42" s="35">
        <v>10.1</v>
      </c>
      <c r="AH42" s="35">
        <v>8.5</v>
      </c>
      <c r="AI42" s="35">
        <v>8.1</v>
      </c>
      <c r="AJ42" s="35">
        <v>8</v>
      </c>
      <c r="AK42" s="35">
        <v>10.1</v>
      </c>
      <c r="AL42" s="35">
        <v>8.1</v>
      </c>
      <c r="AM42" s="35">
        <v>8.5</v>
      </c>
      <c r="AN42" s="35">
        <v>7.8</v>
      </c>
      <c r="AO42" s="35">
        <v>8.5</v>
      </c>
      <c r="AP42" s="35">
        <v>8.9</v>
      </c>
      <c r="AQ42" s="35">
        <v>9.3000000000000007</v>
      </c>
      <c r="AR42" s="35">
        <v>9.6999999999999993</v>
      </c>
      <c r="AS42" s="35">
        <v>9.9</v>
      </c>
      <c r="AT42" s="35">
        <v>10.199999999999999</v>
      </c>
      <c r="AU42" s="35">
        <v>10.3</v>
      </c>
      <c r="AV42" s="35">
        <v>10.7</v>
      </c>
      <c r="AW42" s="35">
        <v>13.1</v>
      </c>
      <c r="AX42" s="35">
        <v>13.6</v>
      </c>
      <c r="AY42" s="35">
        <v>13.2</v>
      </c>
      <c r="AZ42" s="35">
        <v>12.6</v>
      </c>
      <c r="BA42" s="35">
        <v>19</v>
      </c>
      <c r="BB42" s="35">
        <v>19.399999999999999</v>
      </c>
      <c r="BC42" s="35">
        <v>21.1</v>
      </c>
      <c r="BD42" s="35">
        <v>21.8</v>
      </c>
      <c r="BE42" s="35">
        <v>21.1</v>
      </c>
      <c r="BF42" s="35">
        <v>20.8</v>
      </c>
      <c r="BG42" s="35">
        <v>20.6</v>
      </c>
      <c r="BH42" s="35">
        <v>20.5</v>
      </c>
      <c r="BI42" s="35">
        <v>20.8</v>
      </c>
      <c r="BJ42" s="35">
        <v>20.8</v>
      </c>
      <c r="BK42" s="35">
        <v>20.7</v>
      </c>
      <c r="BL42" s="35">
        <v>21</v>
      </c>
      <c r="BM42" s="35">
        <v>21.7</v>
      </c>
      <c r="BN42" s="35">
        <v>22.8</v>
      </c>
      <c r="BO42" s="35">
        <v>23.9</v>
      </c>
      <c r="BP42" s="35">
        <v>25.1</v>
      </c>
      <c r="BQ42" s="35">
        <v>26.5</v>
      </c>
      <c r="BR42" s="35">
        <v>28</v>
      </c>
      <c r="BS42" s="35">
        <v>30.2</v>
      </c>
      <c r="BT42" s="35">
        <v>31</v>
      </c>
      <c r="BU42" s="35">
        <v>30.8</v>
      </c>
      <c r="BV42" s="35">
        <v>30</v>
      </c>
      <c r="BW42" s="35">
        <v>29.5</v>
      </c>
      <c r="BX42" s="35">
        <v>28.9</v>
      </c>
      <c r="BY42" s="35">
        <v>28.2</v>
      </c>
      <c r="BZ42" s="35">
        <v>27.6</v>
      </c>
      <c r="CA42" s="35">
        <v>27</v>
      </c>
      <c r="CB42" s="35">
        <v>26.7</v>
      </c>
      <c r="CC42" s="35">
        <v>26.9</v>
      </c>
      <c r="CD42" s="35">
        <v>26.8</v>
      </c>
      <c r="CE42" s="35">
        <v>26.6</v>
      </c>
      <c r="CF42" s="35">
        <v>26.6</v>
      </c>
      <c r="CG42" s="35">
        <v>26.6</v>
      </c>
      <c r="CH42" s="35">
        <v>26.7</v>
      </c>
      <c r="CI42" s="35">
        <v>26.8</v>
      </c>
      <c r="CJ42" s="35">
        <v>27.1</v>
      </c>
      <c r="CK42" s="35">
        <v>27.7</v>
      </c>
      <c r="CL42" s="35">
        <v>28.2</v>
      </c>
      <c r="CM42" s="35">
        <v>28.8</v>
      </c>
      <c r="CN42" s="35">
        <v>30</v>
      </c>
      <c r="CO42" s="35">
        <v>31.8</v>
      </c>
      <c r="CP42" s="35">
        <v>35.1</v>
      </c>
      <c r="CQ42" s="35">
        <v>37.200000000000003</v>
      </c>
      <c r="CR42" s="35">
        <v>37.299999999999997</v>
      </c>
      <c r="CS42" s="35">
        <v>35.700000000000003</v>
      </c>
      <c r="CT42" s="35">
        <v>33.200000000000003</v>
      </c>
      <c r="CU42" s="35">
        <v>32</v>
      </c>
      <c r="CV42" s="35">
        <v>31.6</v>
      </c>
      <c r="CW42" s="35">
        <v>31.9</v>
      </c>
      <c r="CX42" s="35">
        <v>33.6</v>
      </c>
      <c r="CY42" s="35">
        <v>34.299999999999997</v>
      </c>
      <c r="CZ42" s="35">
        <v>34.799999999999997</v>
      </c>
      <c r="DA42" s="35">
        <v>35.200000000000003</v>
      </c>
      <c r="DB42" s="35">
        <v>35.200000000000003</v>
      </c>
      <c r="DC42" s="35">
        <v>35.1</v>
      </c>
      <c r="DD42" s="35">
        <v>34.9</v>
      </c>
      <c r="DE42" s="35">
        <v>34.4</v>
      </c>
      <c r="DF42" s="35">
        <v>34</v>
      </c>
      <c r="DG42" s="35">
        <v>33.200000000000003</v>
      </c>
      <c r="DH42" s="35">
        <v>33</v>
      </c>
      <c r="DI42" s="35">
        <v>33.299999999999997</v>
      </c>
      <c r="DJ42" s="35">
        <v>33.4</v>
      </c>
      <c r="DK42" s="35">
        <v>34.6</v>
      </c>
      <c r="DL42" s="35">
        <v>36.299999999999997</v>
      </c>
      <c r="DM42" s="35">
        <v>39.4</v>
      </c>
      <c r="DN42" s="35">
        <v>42</v>
      </c>
      <c r="DO42" s="35">
        <v>44.6</v>
      </c>
      <c r="DP42" s="35">
        <v>46</v>
      </c>
      <c r="DQ42" s="35">
        <v>46.5</v>
      </c>
      <c r="DR42" s="35">
        <v>44.6</v>
      </c>
      <c r="DS42" s="35">
        <v>45</v>
      </c>
      <c r="DT42" s="35">
        <v>45.3</v>
      </c>
      <c r="DU42" s="35">
        <v>46.4</v>
      </c>
      <c r="DV42" s="35">
        <v>47.2</v>
      </c>
      <c r="DW42" s="35">
        <v>47.6</v>
      </c>
      <c r="DX42" s="35">
        <v>66.3</v>
      </c>
      <c r="DY42" s="35">
        <v>43.1</v>
      </c>
      <c r="DZ42" s="35">
        <v>40.700000000000003</v>
      </c>
      <c r="EA42" s="35">
        <v>39.200000000000003</v>
      </c>
      <c r="EB42" s="35">
        <v>39.700000000000003</v>
      </c>
      <c r="EC42" s="35">
        <v>42.3</v>
      </c>
      <c r="ED42" s="35">
        <v>47</v>
      </c>
      <c r="EE42" s="35">
        <v>56.8</v>
      </c>
      <c r="EF42" s="35">
        <v>46.9</v>
      </c>
      <c r="EG42" s="35">
        <v>45.1</v>
      </c>
      <c r="EH42" s="35">
        <v>43.9</v>
      </c>
      <c r="EI42" s="35">
        <v>43.3</v>
      </c>
      <c r="EJ42" s="35">
        <v>45</v>
      </c>
      <c r="EK42" s="35">
        <v>51.9</v>
      </c>
      <c r="EL42" s="35">
        <v>56.4</v>
      </c>
      <c r="EM42" s="35">
        <v>60.3</v>
      </c>
      <c r="EN42" s="35">
        <v>61.6</v>
      </c>
      <c r="EO42" s="35">
        <v>63.9</v>
      </c>
      <c r="EP42" s="35">
        <v>55.4</v>
      </c>
      <c r="EQ42" s="35">
        <v>51.2</v>
      </c>
      <c r="ER42" s="35">
        <v>49.5</v>
      </c>
      <c r="ES42" s="35">
        <v>48.3</v>
      </c>
      <c r="ET42" s="35">
        <v>47.6</v>
      </c>
      <c r="EU42" s="35">
        <v>47.5</v>
      </c>
      <c r="EV42" s="35">
        <v>47.2</v>
      </c>
      <c r="EW42" s="35">
        <v>47.5</v>
      </c>
      <c r="EX42" s="35">
        <v>48</v>
      </c>
      <c r="EY42" s="35">
        <v>48.7</v>
      </c>
      <c r="EZ42" s="35">
        <v>49.8</v>
      </c>
      <c r="FA42" s="35">
        <v>51.8</v>
      </c>
      <c r="FB42" s="35">
        <v>53.4</v>
      </c>
      <c r="FC42" s="35">
        <v>54.3</v>
      </c>
      <c r="FD42" s="35">
        <v>65.900000000000006</v>
      </c>
      <c r="FE42" s="35">
        <v>54.3</v>
      </c>
      <c r="FF42" s="35">
        <v>53.2</v>
      </c>
      <c r="FG42" s="35">
        <v>53.4</v>
      </c>
      <c r="FH42" s="35">
        <v>54.4</v>
      </c>
      <c r="FI42" s="35">
        <v>56</v>
      </c>
      <c r="FJ42" s="35">
        <v>58</v>
      </c>
      <c r="FK42" s="35">
        <v>59.5</v>
      </c>
      <c r="FL42" s="35">
        <v>59.7</v>
      </c>
      <c r="FM42" s="35">
        <v>60.6</v>
      </c>
      <c r="FN42" s="35">
        <v>57.9</v>
      </c>
      <c r="FO42" s="35">
        <v>57.6</v>
      </c>
      <c r="FP42" s="35">
        <v>55.8</v>
      </c>
      <c r="FQ42" s="35">
        <v>58.9</v>
      </c>
      <c r="FR42" s="35">
        <v>58.9</v>
      </c>
      <c r="FS42" s="35">
        <v>59.6</v>
      </c>
      <c r="FT42" s="35">
        <v>59.5</v>
      </c>
      <c r="FU42" s="35">
        <v>58.9</v>
      </c>
      <c r="FV42" s="35">
        <v>58.2</v>
      </c>
      <c r="FW42" s="35">
        <v>58</v>
      </c>
      <c r="FX42" s="35">
        <v>57.7</v>
      </c>
      <c r="FY42" s="35">
        <v>56.5</v>
      </c>
      <c r="FZ42" s="35">
        <v>55.5</v>
      </c>
      <c r="GA42" s="35">
        <v>55.9</v>
      </c>
      <c r="GB42" s="35">
        <v>57.2</v>
      </c>
      <c r="GC42" s="35">
        <v>58.1</v>
      </c>
      <c r="GD42" s="35">
        <v>60.2</v>
      </c>
      <c r="GE42" s="35">
        <v>61.8</v>
      </c>
      <c r="GF42" s="35">
        <v>62.5</v>
      </c>
      <c r="GG42" s="35">
        <v>60.4</v>
      </c>
      <c r="GH42" s="35">
        <v>58.8</v>
      </c>
      <c r="GI42" s="35">
        <v>57.5</v>
      </c>
      <c r="GJ42" s="35">
        <v>61.4</v>
      </c>
      <c r="GK42" s="35">
        <v>59.6</v>
      </c>
      <c r="GL42" s="35">
        <v>58.1</v>
      </c>
      <c r="GM42" s="35">
        <v>57.7</v>
      </c>
      <c r="GN42" s="35">
        <v>57.3</v>
      </c>
      <c r="GO42" s="35">
        <v>77.900000000000006</v>
      </c>
      <c r="GP42" s="35">
        <v>68.5</v>
      </c>
      <c r="GQ42" s="35">
        <v>58.3</v>
      </c>
      <c r="GR42" s="35">
        <v>80.599999999999994</v>
      </c>
      <c r="GS42" s="35">
        <v>82.1</v>
      </c>
      <c r="GT42" s="35">
        <v>80</v>
      </c>
      <c r="GU42" s="35">
        <v>975.7</v>
      </c>
      <c r="GV42" s="35">
        <v>1108.8</v>
      </c>
      <c r="GW42" s="35">
        <v>462.2</v>
      </c>
      <c r="GX42" s="35">
        <v>387.4</v>
      </c>
      <c r="GY42" s="35">
        <v>693.9</v>
      </c>
      <c r="GZ42" s="35">
        <v>545.6</v>
      </c>
      <c r="HA42" s="35">
        <v>288.3</v>
      </c>
      <c r="HB42" s="35">
        <v>144.5</v>
      </c>
      <c r="HC42">
        <v>122.9</v>
      </c>
      <c r="HD42">
        <v>113.8</v>
      </c>
      <c r="HE42">
        <v>110.8</v>
      </c>
      <c r="HF42">
        <v>104.8</v>
      </c>
    </row>
    <row r="43" spans="1:214" x14ac:dyDescent="0.35">
      <c r="A43" s="35" t="s">
        <v>2165</v>
      </c>
      <c r="B43" s="35">
        <v>0</v>
      </c>
      <c r="C43" s="35">
        <v>0</v>
      </c>
      <c r="D43" s="35">
        <v>0</v>
      </c>
      <c r="E43" s="35">
        <v>0</v>
      </c>
      <c r="F43" s="35">
        <v>0</v>
      </c>
      <c r="G43" s="35">
        <v>0</v>
      </c>
      <c r="H43" s="35">
        <v>0</v>
      </c>
      <c r="I43" s="35">
        <v>0</v>
      </c>
      <c r="J43" s="35">
        <v>0</v>
      </c>
      <c r="K43" s="35">
        <v>0.1</v>
      </c>
      <c r="L43" s="35">
        <v>0.1</v>
      </c>
      <c r="M43" s="35">
        <v>0.1</v>
      </c>
      <c r="N43" s="35">
        <v>0.1</v>
      </c>
      <c r="O43" s="35">
        <v>0.1</v>
      </c>
      <c r="P43" s="35">
        <v>0.1</v>
      </c>
      <c r="Q43" s="35">
        <v>0.1</v>
      </c>
      <c r="R43" s="35">
        <v>0.1</v>
      </c>
      <c r="S43" s="35">
        <v>0.1</v>
      </c>
      <c r="T43" s="35">
        <v>0.1</v>
      </c>
      <c r="U43" s="35">
        <v>0.1</v>
      </c>
      <c r="V43" s="35">
        <v>0.1</v>
      </c>
      <c r="W43" s="35">
        <v>0.2</v>
      </c>
      <c r="X43" s="35">
        <v>0.2</v>
      </c>
      <c r="Y43" s="35">
        <v>0.2</v>
      </c>
      <c r="Z43" s="35">
        <v>0.2</v>
      </c>
      <c r="AA43" s="35">
        <v>0.2</v>
      </c>
      <c r="AB43" s="35">
        <v>0.2</v>
      </c>
      <c r="AC43" s="35">
        <v>0.2</v>
      </c>
      <c r="AD43" s="35">
        <v>0.2</v>
      </c>
      <c r="AE43" s="35">
        <v>0.2</v>
      </c>
      <c r="AF43" s="35">
        <v>0.2</v>
      </c>
      <c r="AG43" s="35">
        <v>0.2</v>
      </c>
      <c r="AH43" s="35">
        <v>0.2</v>
      </c>
      <c r="AI43" s="35">
        <v>0.2</v>
      </c>
      <c r="AJ43" s="35">
        <v>0.2</v>
      </c>
      <c r="AK43" s="35">
        <v>0.3</v>
      </c>
      <c r="AL43" s="35">
        <v>0.3</v>
      </c>
      <c r="AM43" s="35">
        <v>0.3</v>
      </c>
      <c r="AN43" s="35">
        <v>0.3</v>
      </c>
      <c r="AO43" s="35">
        <v>0.3</v>
      </c>
      <c r="AP43" s="35">
        <v>0.3</v>
      </c>
      <c r="AQ43" s="35">
        <v>0.3</v>
      </c>
      <c r="AR43" s="35">
        <v>0.4</v>
      </c>
      <c r="AS43" s="35">
        <v>0.4</v>
      </c>
      <c r="AT43" s="35">
        <v>0.4</v>
      </c>
      <c r="AU43" s="35">
        <v>0.4</v>
      </c>
      <c r="AV43" s="35">
        <v>0.4</v>
      </c>
      <c r="AW43" s="35">
        <v>0.4</v>
      </c>
      <c r="AX43" s="35">
        <v>0.4</v>
      </c>
      <c r="AY43" s="35">
        <v>0.5</v>
      </c>
      <c r="AZ43" s="35">
        <v>0.5</v>
      </c>
      <c r="BA43" s="35">
        <v>0.5</v>
      </c>
      <c r="BB43" s="35">
        <v>0.5</v>
      </c>
      <c r="BC43" s="35">
        <v>0.4</v>
      </c>
      <c r="BD43" s="35">
        <v>0.4</v>
      </c>
      <c r="BE43" s="35">
        <v>0.4</v>
      </c>
      <c r="BF43" s="35">
        <v>0.4</v>
      </c>
      <c r="BG43" s="35">
        <v>0.4</v>
      </c>
      <c r="BH43" s="35">
        <v>0.4</v>
      </c>
      <c r="BI43" s="35">
        <v>0.4</v>
      </c>
      <c r="BJ43" s="35">
        <v>0.3</v>
      </c>
      <c r="BK43" s="35">
        <v>0.3</v>
      </c>
      <c r="BL43" s="35">
        <v>0.3</v>
      </c>
      <c r="BM43" s="35">
        <v>0.3</v>
      </c>
      <c r="BN43" s="35">
        <v>0.3</v>
      </c>
      <c r="BO43" s="35">
        <v>0.3</v>
      </c>
      <c r="BP43" s="35">
        <v>0.3</v>
      </c>
      <c r="BQ43" s="35">
        <v>0.3</v>
      </c>
      <c r="BR43" s="35">
        <v>0.3</v>
      </c>
      <c r="BS43" s="35">
        <v>0.3</v>
      </c>
      <c r="BT43" s="35">
        <v>0.3</v>
      </c>
      <c r="BU43" s="35">
        <v>0.3</v>
      </c>
      <c r="BV43" s="35">
        <v>0.3</v>
      </c>
      <c r="BW43" s="35">
        <v>0.3</v>
      </c>
      <c r="BX43" s="35">
        <v>0.4</v>
      </c>
      <c r="BY43" s="35">
        <v>0.4</v>
      </c>
      <c r="BZ43" s="35">
        <v>0.4</v>
      </c>
      <c r="CA43" s="35">
        <v>0.4</v>
      </c>
      <c r="CB43" s="35">
        <v>0.4</v>
      </c>
      <c r="CC43" s="35">
        <v>0.4</v>
      </c>
      <c r="CD43" s="35">
        <v>0.4</v>
      </c>
      <c r="CE43" s="35">
        <v>0.4</v>
      </c>
      <c r="CF43" s="35">
        <v>0.4</v>
      </c>
      <c r="CG43" s="35">
        <v>0.4</v>
      </c>
      <c r="CH43" s="35">
        <v>0.4</v>
      </c>
      <c r="CI43" s="35">
        <v>0.4</v>
      </c>
      <c r="CJ43" s="35">
        <v>0.4</v>
      </c>
      <c r="CK43" s="35">
        <v>0.4</v>
      </c>
      <c r="CL43" s="35">
        <v>0.4</v>
      </c>
      <c r="CM43" s="35">
        <v>0.4</v>
      </c>
      <c r="CN43" s="35">
        <v>0.4</v>
      </c>
      <c r="CO43" s="35">
        <v>0.4</v>
      </c>
      <c r="CP43" s="35">
        <v>0.4</v>
      </c>
      <c r="CQ43" s="35">
        <v>0.4</v>
      </c>
      <c r="CR43" s="35">
        <v>0.4</v>
      </c>
      <c r="CS43" s="35">
        <v>0.4</v>
      </c>
      <c r="CT43" s="35">
        <v>0.4</v>
      </c>
      <c r="CU43" s="35">
        <v>0.3</v>
      </c>
      <c r="CV43" s="35">
        <v>0.3</v>
      </c>
      <c r="CW43" s="35">
        <v>0.3</v>
      </c>
      <c r="CX43" s="35">
        <v>0.3</v>
      </c>
      <c r="CY43" s="35">
        <v>0.3</v>
      </c>
      <c r="CZ43" s="35">
        <v>0.3</v>
      </c>
      <c r="DA43" s="35">
        <v>0.3</v>
      </c>
      <c r="DB43" s="35">
        <v>0.3</v>
      </c>
      <c r="DC43" s="35">
        <v>0.3</v>
      </c>
      <c r="DD43" s="35">
        <v>0.3</v>
      </c>
      <c r="DE43" s="35">
        <v>0.4</v>
      </c>
      <c r="DF43" s="35">
        <v>0.4</v>
      </c>
      <c r="DG43" s="35">
        <v>0.4</v>
      </c>
      <c r="DH43" s="35">
        <v>0.4</v>
      </c>
      <c r="DI43" s="35">
        <v>0.5</v>
      </c>
      <c r="DJ43" s="35">
        <v>0.5</v>
      </c>
      <c r="DK43" s="35">
        <v>0.5</v>
      </c>
      <c r="DL43" s="35">
        <v>0.4</v>
      </c>
      <c r="DM43" s="35">
        <v>0.4</v>
      </c>
      <c r="DN43" s="35">
        <v>0.4</v>
      </c>
      <c r="DO43" s="35">
        <v>0.4</v>
      </c>
      <c r="DP43" s="35">
        <v>0.4</v>
      </c>
      <c r="DQ43" s="35">
        <v>0.4</v>
      </c>
      <c r="DR43" s="35">
        <v>0.5</v>
      </c>
      <c r="DS43" s="35">
        <v>0.5</v>
      </c>
      <c r="DT43" s="35">
        <v>0.6</v>
      </c>
      <c r="DU43" s="35">
        <v>0.6</v>
      </c>
      <c r="DV43" s="35">
        <v>8</v>
      </c>
      <c r="DW43" s="35">
        <v>14.4</v>
      </c>
      <c r="DX43" s="35">
        <v>4.8</v>
      </c>
      <c r="DY43" s="35">
        <v>3.4</v>
      </c>
      <c r="DZ43" s="35">
        <v>1.8</v>
      </c>
      <c r="EA43" s="35">
        <v>0.6</v>
      </c>
      <c r="EB43" s="35">
        <v>1.7</v>
      </c>
      <c r="EC43" s="35">
        <v>-0.4</v>
      </c>
      <c r="ED43" s="35">
        <v>0.1</v>
      </c>
      <c r="EE43" s="35">
        <v>0.3</v>
      </c>
      <c r="EF43" s="35">
        <v>-1</v>
      </c>
      <c r="EG43" s="35">
        <v>0.9</v>
      </c>
      <c r="EH43" s="35">
        <v>0.4</v>
      </c>
      <c r="EI43" s="35">
        <v>0.4</v>
      </c>
      <c r="EJ43" s="35">
        <v>0.4</v>
      </c>
      <c r="EK43" s="35">
        <v>0.4</v>
      </c>
      <c r="EL43" s="35">
        <v>0.4</v>
      </c>
      <c r="EM43" s="35">
        <v>0.4</v>
      </c>
      <c r="EN43" s="35">
        <v>0.4</v>
      </c>
      <c r="EO43" s="35">
        <v>0.4</v>
      </c>
      <c r="EP43" s="35">
        <v>0.4</v>
      </c>
      <c r="EQ43" s="35">
        <v>0.4</v>
      </c>
      <c r="ER43" s="35">
        <v>0.4</v>
      </c>
      <c r="ES43" s="35">
        <v>0.4</v>
      </c>
      <c r="ET43" s="35">
        <v>1.9</v>
      </c>
      <c r="EU43" s="35">
        <v>10.7</v>
      </c>
      <c r="EV43" s="35">
        <v>8.8000000000000007</v>
      </c>
      <c r="EW43" s="35">
        <v>7.2</v>
      </c>
      <c r="EX43" s="35">
        <v>4</v>
      </c>
      <c r="EY43" s="35">
        <v>2.9</v>
      </c>
      <c r="EZ43" s="35">
        <v>2.2000000000000002</v>
      </c>
      <c r="FA43" s="35">
        <v>2.8</v>
      </c>
      <c r="FB43" s="35">
        <v>2</v>
      </c>
      <c r="FC43" s="35">
        <v>1.2</v>
      </c>
      <c r="FD43" s="35">
        <v>1.2</v>
      </c>
      <c r="FE43" s="35">
        <v>1.2</v>
      </c>
      <c r="FF43" s="35">
        <v>1.6</v>
      </c>
      <c r="FG43" s="35">
        <v>2.1</v>
      </c>
      <c r="FH43" s="35">
        <v>1.6</v>
      </c>
      <c r="FI43" s="35">
        <v>1</v>
      </c>
      <c r="FJ43" s="35">
        <v>0.9</v>
      </c>
      <c r="FK43" s="35">
        <v>0.4</v>
      </c>
      <c r="FL43" s="35">
        <v>0.4</v>
      </c>
      <c r="FM43" s="35">
        <v>0.4</v>
      </c>
      <c r="FN43" s="35">
        <v>0.5</v>
      </c>
      <c r="FO43" s="35">
        <v>0.5</v>
      </c>
      <c r="FP43" s="35">
        <v>0.5</v>
      </c>
      <c r="FQ43" s="35">
        <v>0.5</v>
      </c>
      <c r="FR43" s="35">
        <v>0.5</v>
      </c>
      <c r="FS43" s="35">
        <v>0.5</v>
      </c>
      <c r="FT43" s="35">
        <v>0.5</v>
      </c>
      <c r="FU43" s="35">
        <v>0.5</v>
      </c>
      <c r="FV43" s="35">
        <v>0.5</v>
      </c>
      <c r="FW43" s="35">
        <v>0.5</v>
      </c>
      <c r="FX43" s="35">
        <v>0.5</v>
      </c>
      <c r="FY43" s="35">
        <v>0.5</v>
      </c>
      <c r="FZ43" s="35">
        <v>0.5</v>
      </c>
      <c r="GA43" s="35">
        <v>0.5</v>
      </c>
      <c r="GB43" s="35">
        <v>0.5</v>
      </c>
      <c r="GC43" s="35">
        <v>0.5</v>
      </c>
      <c r="GD43" s="35">
        <v>0.5</v>
      </c>
      <c r="GE43" s="35">
        <v>0.5</v>
      </c>
      <c r="GF43" s="35">
        <v>0.5</v>
      </c>
      <c r="GG43" s="35">
        <v>0.5</v>
      </c>
      <c r="GH43" s="35">
        <v>0.5</v>
      </c>
      <c r="GI43" s="35">
        <v>0.6</v>
      </c>
      <c r="GJ43" s="35">
        <v>0.6</v>
      </c>
      <c r="GK43" s="35">
        <v>0.6</v>
      </c>
      <c r="GL43" s="35">
        <v>0.6</v>
      </c>
      <c r="GM43" s="35">
        <v>0.6</v>
      </c>
      <c r="GN43" s="35">
        <v>0.6</v>
      </c>
      <c r="GO43" s="35">
        <v>0.6</v>
      </c>
      <c r="GP43" s="35">
        <v>0.6</v>
      </c>
      <c r="GQ43" s="35">
        <v>0.6</v>
      </c>
      <c r="GR43" s="35">
        <v>0.6</v>
      </c>
      <c r="GS43" s="35">
        <v>0.6</v>
      </c>
      <c r="GT43" s="35">
        <v>0.6</v>
      </c>
      <c r="GU43" s="35">
        <v>0.6</v>
      </c>
      <c r="GV43" s="35">
        <v>0.6</v>
      </c>
      <c r="GW43" s="35">
        <v>0.6</v>
      </c>
      <c r="GX43" s="35">
        <v>2.5</v>
      </c>
      <c r="GY43" s="35">
        <v>8.6</v>
      </c>
      <c r="GZ43" s="35">
        <v>0.7</v>
      </c>
      <c r="HA43" s="35">
        <v>0.7</v>
      </c>
      <c r="HB43" s="35">
        <v>0.7</v>
      </c>
      <c r="HC43">
        <v>0.7</v>
      </c>
      <c r="HD43">
        <v>0.7</v>
      </c>
      <c r="HE43">
        <v>0.7</v>
      </c>
      <c r="HF43">
        <v>0.7</v>
      </c>
    </row>
    <row r="44" spans="1:214" x14ac:dyDescent="0.35">
      <c r="A44" s="35" t="s">
        <v>2166</v>
      </c>
      <c r="B44" s="35">
        <v>4.7</v>
      </c>
      <c r="C44" s="35">
        <v>4.8</v>
      </c>
      <c r="D44" s="35">
        <v>4.7</v>
      </c>
      <c r="E44" s="35">
        <v>4.8</v>
      </c>
      <c r="F44" s="35">
        <v>4.8</v>
      </c>
      <c r="G44" s="35">
        <v>4.8</v>
      </c>
      <c r="H44" s="35">
        <v>4.5</v>
      </c>
      <c r="I44" s="35">
        <v>4.5999999999999996</v>
      </c>
      <c r="J44" s="35">
        <v>6.1</v>
      </c>
      <c r="K44" s="35">
        <v>6.2</v>
      </c>
      <c r="L44" s="35">
        <v>7.2</v>
      </c>
      <c r="M44" s="35">
        <v>7.1</v>
      </c>
      <c r="N44" s="35">
        <v>5.9</v>
      </c>
      <c r="O44" s="35">
        <v>5.7</v>
      </c>
      <c r="P44" s="35">
        <v>4.7</v>
      </c>
      <c r="Q44" s="35">
        <v>4.5999999999999996</v>
      </c>
      <c r="R44" s="35">
        <v>3.6</v>
      </c>
      <c r="S44" s="35">
        <v>2.9</v>
      </c>
      <c r="T44" s="35">
        <v>3.2</v>
      </c>
      <c r="U44" s="35">
        <v>3.6</v>
      </c>
      <c r="V44" s="35">
        <v>4.2</v>
      </c>
      <c r="W44" s="35">
        <v>4.3</v>
      </c>
      <c r="X44" s="35">
        <v>4.5999999999999996</v>
      </c>
      <c r="Y44" s="35">
        <v>4.9000000000000004</v>
      </c>
      <c r="Z44" s="35">
        <v>5.0999999999999996</v>
      </c>
      <c r="AA44" s="35">
        <v>4.8</v>
      </c>
      <c r="AB44" s="35">
        <v>5.0999999999999996</v>
      </c>
      <c r="AC44" s="35">
        <v>5.5</v>
      </c>
      <c r="AD44" s="35">
        <v>5.8</v>
      </c>
      <c r="AE44" s="35">
        <v>5.9</v>
      </c>
      <c r="AF44" s="35">
        <v>6.4</v>
      </c>
      <c r="AG44" s="35">
        <v>10.3</v>
      </c>
      <c r="AH44" s="35">
        <v>8.6999999999999993</v>
      </c>
      <c r="AI44" s="35">
        <v>8.4</v>
      </c>
      <c r="AJ44" s="35">
        <v>8.3000000000000007</v>
      </c>
      <c r="AK44" s="35">
        <v>10.4</v>
      </c>
      <c r="AL44" s="35">
        <v>8.4</v>
      </c>
      <c r="AM44" s="35">
        <v>8.8000000000000007</v>
      </c>
      <c r="AN44" s="35">
        <v>8.1</v>
      </c>
      <c r="AO44" s="35">
        <v>8.9</v>
      </c>
      <c r="AP44" s="35">
        <v>9.1999999999999993</v>
      </c>
      <c r="AQ44" s="35">
        <v>9.6</v>
      </c>
      <c r="AR44" s="35">
        <v>10.1</v>
      </c>
      <c r="AS44" s="35">
        <v>10.3</v>
      </c>
      <c r="AT44" s="35">
        <v>10.6</v>
      </c>
      <c r="AU44" s="35">
        <v>10.7</v>
      </c>
      <c r="AV44" s="35">
        <v>11.1</v>
      </c>
      <c r="AW44" s="35">
        <v>13.5</v>
      </c>
      <c r="AX44" s="35">
        <v>14</v>
      </c>
      <c r="AY44" s="35">
        <v>13.6</v>
      </c>
      <c r="AZ44" s="35">
        <v>13</v>
      </c>
      <c r="BA44" s="35">
        <v>19.399999999999999</v>
      </c>
      <c r="BB44" s="35">
        <v>19.899999999999999</v>
      </c>
      <c r="BC44" s="35">
        <v>21.6</v>
      </c>
      <c r="BD44" s="35">
        <v>22.2</v>
      </c>
      <c r="BE44" s="35">
        <v>21.5</v>
      </c>
      <c r="BF44" s="35">
        <v>21.2</v>
      </c>
      <c r="BG44" s="35">
        <v>21</v>
      </c>
      <c r="BH44" s="35">
        <v>20.9</v>
      </c>
      <c r="BI44" s="35">
        <v>21.2</v>
      </c>
      <c r="BJ44" s="35">
        <v>21.1</v>
      </c>
      <c r="BK44" s="35">
        <v>21</v>
      </c>
      <c r="BL44" s="35">
        <v>21.3</v>
      </c>
      <c r="BM44" s="35">
        <v>22</v>
      </c>
      <c r="BN44" s="35">
        <v>23.1</v>
      </c>
      <c r="BO44" s="35">
        <v>24.2</v>
      </c>
      <c r="BP44" s="35">
        <v>25.5</v>
      </c>
      <c r="BQ44" s="35">
        <v>26.8</v>
      </c>
      <c r="BR44" s="35">
        <v>28.3</v>
      </c>
      <c r="BS44" s="35">
        <v>30.4</v>
      </c>
      <c r="BT44" s="35">
        <v>31.3</v>
      </c>
      <c r="BU44" s="35">
        <v>31.1</v>
      </c>
      <c r="BV44" s="35">
        <v>30.4</v>
      </c>
      <c r="BW44" s="35">
        <v>29.8</v>
      </c>
      <c r="BX44" s="35">
        <v>29.2</v>
      </c>
      <c r="BY44" s="35">
        <v>28.6</v>
      </c>
      <c r="BZ44" s="35">
        <v>28</v>
      </c>
      <c r="CA44" s="35">
        <v>27.4</v>
      </c>
      <c r="CB44" s="35">
        <v>27.1</v>
      </c>
      <c r="CC44" s="35">
        <v>27.3</v>
      </c>
      <c r="CD44" s="35">
        <v>27.1</v>
      </c>
      <c r="CE44" s="35">
        <v>27</v>
      </c>
      <c r="CF44" s="35">
        <v>26.9</v>
      </c>
      <c r="CG44" s="35">
        <v>27</v>
      </c>
      <c r="CH44" s="35">
        <v>27.1</v>
      </c>
      <c r="CI44" s="35">
        <v>27.2</v>
      </c>
      <c r="CJ44" s="35">
        <v>27.5</v>
      </c>
      <c r="CK44" s="35">
        <v>28.1</v>
      </c>
      <c r="CL44" s="35">
        <v>28.6</v>
      </c>
      <c r="CM44" s="35">
        <v>29.2</v>
      </c>
      <c r="CN44" s="35">
        <v>30.4</v>
      </c>
      <c r="CO44" s="35">
        <v>32.200000000000003</v>
      </c>
      <c r="CP44" s="35">
        <v>35.5</v>
      </c>
      <c r="CQ44" s="35">
        <v>37.6</v>
      </c>
      <c r="CR44" s="35">
        <v>37.700000000000003</v>
      </c>
      <c r="CS44" s="35">
        <v>36</v>
      </c>
      <c r="CT44" s="35">
        <v>33.6</v>
      </c>
      <c r="CU44" s="35">
        <v>32.4</v>
      </c>
      <c r="CV44" s="35">
        <v>31.9</v>
      </c>
      <c r="CW44" s="35">
        <v>32.200000000000003</v>
      </c>
      <c r="CX44" s="35">
        <v>34</v>
      </c>
      <c r="CY44" s="35">
        <v>34.6</v>
      </c>
      <c r="CZ44" s="35">
        <v>35.1</v>
      </c>
      <c r="DA44" s="35">
        <v>35.5</v>
      </c>
      <c r="DB44" s="35">
        <v>35.5</v>
      </c>
      <c r="DC44" s="35">
        <v>35.4</v>
      </c>
      <c r="DD44" s="35">
        <v>35.200000000000003</v>
      </c>
      <c r="DE44" s="35">
        <v>34.799999999999997</v>
      </c>
      <c r="DF44" s="35">
        <v>34.4</v>
      </c>
      <c r="DG44" s="35">
        <v>33.6</v>
      </c>
      <c r="DH44" s="35">
        <v>33.4</v>
      </c>
      <c r="DI44" s="35">
        <v>33.799999999999997</v>
      </c>
      <c r="DJ44" s="35">
        <v>33.799999999999997</v>
      </c>
      <c r="DK44" s="35">
        <v>35</v>
      </c>
      <c r="DL44" s="35">
        <v>36.799999999999997</v>
      </c>
      <c r="DM44" s="35">
        <v>39.9</v>
      </c>
      <c r="DN44" s="35">
        <v>42.4</v>
      </c>
      <c r="DO44" s="35">
        <v>45</v>
      </c>
      <c r="DP44" s="35">
        <v>46.4</v>
      </c>
      <c r="DQ44" s="35">
        <v>46.9</v>
      </c>
      <c r="DR44" s="35">
        <v>45.1</v>
      </c>
      <c r="DS44" s="35">
        <v>45.5</v>
      </c>
      <c r="DT44" s="35">
        <v>45.8</v>
      </c>
      <c r="DU44" s="35">
        <v>47</v>
      </c>
      <c r="DV44" s="35">
        <v>55.2</v>
      </c>
      <c r="DW44" s="35">
        <v>62</v>
      </c>
      <c r="DX44" s="35">
        <v>71.2</v>
      </c>
      <c r="DY44" s="35">
        <v>46.4</v>
      </c>
      <c r="DZ44" s="35">
        <v>42.6</v>
      </c>
      <c r="EA44" s="35">
        <v>39.799999999999997</v>
      </c>
      <c r="EB44" s="35">
        <v>41.3</v>
      </c>
      <c r="EC44" s="35">
        <v>41.9</v>
      </c>
      <c r="ED44" s="35">
        <v>47.1</v>
      </c>
      <c r="EE44" s="35">
        <v>57.1</v>
      </c>
      <c r="EF44" s="35">
        <v>45.9</v>
      </c>
      <c r="EG44" s="35">
        <v>46</v>
      </c>
      <c r="EH44" s="35">
        <v>44.2</v>
      </c>
      <c r="EI44" s="35">
        <v>43.7</v>
      </c>
      <c r="EJ44" s="35">
        <v>45.4</v>
      </c>
      <c r="EK44" s="35">
        <v>52.3</v>
      </c>
      <c r="EL44" s="35">
        <v>56.7</v>
      </c>
      <c r="EM44" s="35">
        <v>60.7</v>
      </c>
      <c r="EN44" s="35">
        <v>62</v>
      </c>
      <c r="EO44" s="35">
        <v>64.2</v>
      </c>
      <c r="EP44" s="35">
        <v>55.7</v>
      </c>
      <c r="EQ44" s="35">
        <v>51.5</v>
      </c>
      <c r="ER44" s="35">
        <v>49.9</v>
      </c>
      <c r="ES44" s="35">
        <v>48.7</v>
      </c>
      <c r="ET44" s="35">
        <v>49.5</v>
      </c>
      <c r="EU44" s="35">
        <v>58.2</v>
      </c>
      <c r="EV44" s="35">
        <v>55.9</v>
      </c>
      <c r="EW44" s="35">
        <v>54.7</v>
      </c>
      <c r="EX44" s="35">
        <v>51.9</v>
      </c>
      <c r="EY44" s="35">
        <v>51.7</v>
      </c>
      <c r="EZ44" s="35">
        <v>52</v>
      </c>
      <c r="FA44" s="35">
        <v>54.6</v>
      </c>
      <c r="FB44" s="35">
        <v>55.4</v>
      </c>
      <c r="FC44" s="35">
        <v>55.5</v>
      </c>
      <c r="FD44" s="35">
        <v>67.099999999999994</v>
      </c>
      <c r="FE44" s="35">
        <v>55.5</v>
      </c>
      <c r="FF44" s="35">
        <v>54.8</v>
      </c>
      <c r="FG44" s="35">
        <v>55.5</v>
      </c>
      <c r="FH44" s="35">
        <v>56</v>
      </c>
      <c r="FI44" s="35">
        <v>56.9</v>
      </c>
      <c r="FJ44" s="35">
        <v>58.9</v>
      </c>
      <c r="FK44" s="35">
        <v>59.9</v>
      </c>
      <c r="FL44" s="35">
        <v>60.2</v>
      </c>
      <c r="FM44" s="35">
        <v>61.1</v>
      </c>
      <c r="FN44" s="35">
        <v>58.4</v>
      </c>
      <c r="FO44" s="35">
        <v>58.1</v>
      </c>
      <c r="FP44" s="35">
        <v>56.3</v>
      </c>
      <c r="FQ44" s="35">
        <v>59.4</v>
      </c>
      <c r="FR44" s="35">
        <v>59.4</v>
      </c>
      <c r="FS44" s="35">
        <v>60.1</v>
      </c>
      <c r="FT44" s="35">
        <v>60</v>
      </c>
      <c r="FU44" s="35">
        <v>59.4</v>
      </c>
      <c r="FV44" s="35">
        <v>58.7</v>
      </c>
      <c r="FW44" s="35">
        <v>58.5</v>
      </c>
      <c r="FX44" s="35">
        <v>58.2</v>
      </c>
      <c r="FY44" s="35">
        <v>57</v>
      </c>
      <c r="FZ44" s="35">
        <v>56</v>
      </c>
      <c r="GA44" s="35">
        <v>56.4</v>
      </c>
      <c r="GB44" s="35">
        <v>57.7</v>
      </c>
      <c r="GC44" s="35">
        <v>58.7</v>
      </c>
      <c r="GD44" s="35">
        <v>60.7</v>
      </c>
      <c r="GE44" s="35">
        <v>62.4</v>
      </c>
      <c r="GF44" s="35">
        <v>63</v>
      </c>
      <c r="GG44" s="35">
        <v>60.9</v>
      </c>
      <c r="GH44" s="35">
        <v>59.4</v>
      </c>
      <c r="GI44" s="35">
        <v>58</v>
      </c>
      <c r="GJ44" s="35">
        <v>61.9</v>
      </c>
      <c r="GK44" s="35">
        <v>60.2</v>
      </c>
      <c r="GL44" s="35">
        <v>58.7</v>
      </c>
      <c r="GM44" s="35">
        <v>58.2</v>
      </c>
      <c r="GN44" s="35">
        <v>57.8</v>
      </c>
      <c r="GO44" s="35">
        <v>78.5</v>
      </c>
      <c r="GP44" s="35">
        <v>69.099999999999994</v>
      </c>
      <c r="GQ44" s="35">
        <v>58.9</v>
      </c>
      <c r="GR44" s="35">
        <v>81.2</v>
      </c>
      <c r="GS44" s="35">
        <v>82.7</v>
      </c>
      <c r="GT44" s="35">
        <v>80.599999999999994</v>
      </c>
      <c r="GU44" s="35">
        <v>976.3</v>
      </c>
      <c r="GV44" s="35">
        <v>1109.4000000000001</v>
      </c>
      <c r="GW44" s="35">
        <v>462.8</v>
      </c>
      <c r="GX44" s="35">
        <v>390</v>
      </c>
      <c r="GY44" s="35">
        <v>702.5</v>
      </c>
      <c r="GZ44" s="35">
        <v>546.29999999999995</v>
      </c>
      <c r="HA44" s="35">
        <v>289</v>
      </c>
      <c r="HB44" s="35">
        <v>145.19999999999999</v>
      </c>
      <c r="HC44">
        <v>123.5</v>
      </c>
      <c r="HD44">
        <v>114.5</v>
      </c>
      <c r="HE44">
        <v>111.5</v>
      </c>
      <c r="HF44">
        <v>105.5</v>
      </c>
    </row>
    <row r="45" spans="1:214" x14ac:dyDescent="0.35">
      <c r="A45" s="35" t="s">
        <v>2167</v>
      </c>
      <c r="B45" s="35"/>
      <c r="C45" s="35"/>
      <c r="D45" s="35"/>
      <c r="E45" s="35"/>
      <c r="F45" s="35"/>
      <c r="G45" s="35"/>
      <c r="H45" s="35"/>
      <c r="I45" s="35"/>
      <c r="J45" s="35"/>
      <c r="K45" s="35"/>
      <c r="L45" s="35"/>
      <c r="M45" s="35"/>
      <c r="N45" s="35"/>
      <c r="O45" s="35"/>
      <c r="P45" s="35"/>
      <c r="Q45" s="35"/>
      <c r="R45" s="35"/>
      <c r="S45" s="35"/>
      <c r="T45" s="35"/>
      <c r="U45" s="35"/>
      <c r="V45" s="35"/>
      <c r="W45" s="35"/>
      <c r="X45" s="35"/>
      <c r="Y45" s="35"/>
      <c r="Z45" s="35"/>
      <c r="AA45" s="35"/>
      <c r="AB45" s="35"/>
      <c r="AC45" s="35"/>
      <c r="AD45" s="35"/>
      <c r="AE45" s="35"/>
      <c r="AF45" s="35"/>
      <c r="AG45" s="35"/>
      <c r="AH45" s="35"/>
      <c r="AI45" s="35"/>
      <c r="AJ45" s="35"/>
      <c r="AK45" s="35"/>
      <c r="AL45" s="35"/>
      <c r="AM45" s="35"/>
      <c r="AN45" s="35"/>
      <c r="AO45" s="35"/>
      <c r="AP45" s="35"/>
      <c r="AQ45" s="35"/>
      <c r="AR45" s="35"/>
      <c r="AS45" s="35"/>
      <c r="AT45" s="35"/>
      <c r="AU45" s="35"/>
      <c r="AV45" s="35"/>
      <c r="AW45" s="35"/>
      <c r="AX45" s="35"/>
      <c r="AY45" s="35"/>
      <c r="AZ45" s="35"/>
      <c r="BA45" s="35"/>
      <c r="BB45" s="35"/>
      <c r="BC45" s="35"/>
      <c r="BD45" s="35"/>
      <c r="BE45" s="35"/>
      <c r="BF45" s="35"/>
      <c r="BG45" s="35"/>
      <c r="BH45" s="35"/>
      <c r="BI45" s="35"/>
      <c r="BJ45" s="35"/>
      <c r="BK45" s="35"/>
      <c r="BL45" s="35"/>
      <c r="BM45" s="35"/>
      <c r="BN45" s="35"/>
      <c r="BO45" s="35"/>
      <c r="BP45" s="35"/>
      <c r="BQ45" s="35"/>
      <c r="BR45" s="35"/>
      <c r="BS45" s="35"/>
      <c r="BT45" s="35"/>
      <c r="BU45" s="35"/>
      <c r="BV45" s="35"/>
      <c r="BW45" s="35"/>
      <c r="BX45" s="35"/>
      <c r="BY45" s="35"/>
      <c r="BZ45" s="35"/>
      <c r="CA45" s="35"/>
      <c r="CB45" s="35"/>
      <c r="CC45" s="35"/>
      <c r="CD45" s="35"/>
      <c r="CE45" s="35"/>
      <c r="CF45" s="35"/>
      <c r="CG45" s="35"/>
      <c r="CH45" s="35"/>
      <c r="CI45" s="35"/>
      <c r="CJ45" s="35"/>
      <c r="CK45" s="35"/>
      <c r="CL45" s="35"/>
      <c r="CM45" s="35"/>
      <c r="CN45" s="35"/>
      <c r="CO45" s="35"/>
      <c r="CP45" s="35"/>
      <c r="CQ45" s="35"/>
      <c r="CR45" s="35"/>
      <c r="CS45" s="35"/>
      <c r="CT45" s="35"/>
      <c r="CU45" s="35"/>
      <c r="CV45" s="35"/>
      <c r="CW45" s="35"/>
      <c r="CX45" s="35"/>
      <c r="CY45" s="35"/>
      <c r="CZ45" s="35"/>
      <c r="DA45" s="35"/>
      <c r="DB45" s="35"/>
      <c r="DC45" s="35"/>
      <c r="DD45" s="35"/>
      <c r="DE45" s="35"/>
      <c r="DF45" s="35"/>
      <c r="DG45" s="35"/>
      <c r="DH45" s="35"/>
      <c r="DI45" s="35"/>
      <c r="DJ45" s="35"/>
      <c r="DK45" s="35"/>
      <c r="DL45" s="35"/>
      <c r="DM45" s="35"/>
      <c r="DN45" s="35"/>
      <c r="DO45" s="35"/>
      <c r="DP45" s="35"/>
      <c r="DQ45" s="35"/>
      <c r="DR45" s="35"/>
      <c r="DS45" s="35"/>
      <c r="DT45" s="35"/>
      <c r="DU45" s="35"/>
      <c r="DV45" s="35"/>
      <c r="DW45" s="35"/>
      <c r="DX45" s="35"/>
      <c r="DY45" s="35"/>
      <c r="DZ45" s="35"/>
      <c r="EA45" s="35"/>
      <c r="EB45" s="35"/>
      <c r="EC45" s="35"/>
      <c r="ED45" s="35"/>
      <c r="EE45" s="35"/>
      <c r="EF45" s="35"/>
      <c r="EG45" s="35"/>
      <c r="EH45" s="35"/>
      <c r="EI45" s="35"/>
      <c r="EJ45" s="35"/>
      <c r="EK45" s="35"/>
      <c r="EL45" s="35"/>
      <c r="EM45" s="35"/>
      <c r="EN45" s="35"/>
      <c r="EO45" s="35"/>
      <c r="EP45" s="35"/>
      <c r="EQ45" s="35"/>
      <c r="ER45" s="35"/>
      <c r="ES45" s="35"/>
      <c r="ET45" s="35"/>
      <c r="EU45" s="35"/>
      <c r="EV45" s="35"/>
      <c r="EW45" s="35"/>
      <c r="EX45" s="35"/>
      <c r="EY45" s="35"/>
      <c r="EZ45" s="35"/>
      <c r="FA45" s="35"/>
      <c r="FB45" s="35"/>
      <c r="FC45" s="35"/>
      <c r="FD45" s="35"/>
      <c r="FE45" s="35"/>
      <c r="FF45" s="35"/>
      <c r="FG45" s="35"/>
      <c r="FH45" s="35"/>
      <c r="FI45" s="35"/>
      <c r="FJ45" s="35"/>
      <c r="FK45" s="35"/>
      <c r="FL45" s="35"/>
      <c r="FM45" s="35"/>
      <c r="FN45" s="35"/>
      <c r="FO45" s="35"/>
      <c r="FP45" s="35"/>
      <c r="FQ45" s="35"/>
      <c r="FR45" s="35"/>
      <c r="FS45" s="35"/>
      <c r="FT45" s="35"/>
      <c r="FU45" s="35"/>
      <c r="FV45" s="35"/>
      <c r="FW45" s="35"/>
      <c r="FX45" s="35"/>
      <c r="FY45" s="35"/>
      <c r="FZ45" s="35"/>
      <c r="GA45" s="35"/>
      <c r="GB45" s="35"/>
      <c r="GC45" s="35"/>
      <c r="GD45" s="35"/>
      <c r="GE45" s="35"/>
      <c r="GF45" s="35"/>
      <c r="GG45" s="35"/>
      <c r="GH45" s="35"/>
      <c r="GI45" s="35"/>
      <c r="GJ45" s="35"/>
      <c r="GK45" s="35"/>
      <c r="GL45" s="35"/>
      <c r="GM45" s="35"/>
      <c r="GN45" s="35"/>
      <c r="GO45" s="35"/>
      <c r="GP45" s="35"/>
      <c r="GQ45" s="35"/>
      <c r="GR45" s="35"/>
      <c r="GS45" s="35"/>
      <c r="GT45" s="35"/>
      <c r="GU45" s="35">
        <v>1078.0999999999999</v>
      </c>
      <c r="GV45" s="35">
        <v>15.6</v>
      </c>
      <c r="GW45" s="35">
        <v>5</v>
      </c>
      <c r="GX45" s="35">
        <v>1933.7</v>
      </c>
      <c r="GY45" s="35">
        <v>290.10000000000002</v>
      </c>
      <c r="GZ45" s="35">
        <v>38.9</v>
      </c>
      <c r="HA45" s="35">
        <v>14.2</v>
      </c>
      <c r="HB45" s="35">
        <v>0</v>
      </c>
      <c r="HC45">
        <v>0</v>
      </c>
      <c r="HD45">
        <v>0</v>
      </c>
      <c r="HE45">
        <v>0</v>
      </c>
    </row>
    <row r="46" spans="1:214" x14ac:dyDescent="0.35">
      <c r="A46" s="35" t="s">
        <v>2168</v>
      </c>
      <c r="B46" s="35"/>
      <c r="C46" s="35"/>
      <c r="D46" s="35"/>
      <c r="E46" s="35"/>
      <c r="F46" s="35"/>
      <c r="G46" s="35"/>
      <c r="H46" s="35"/>
      <c r="I46" s="35"/>
      <c r="J46" s="35"/>
      <c r="K46" s="35"/>
      <c r="L46" s="35"/>
      <c r="M46" s="35"/>
      <c r="N46" s="35"/>
      <c r="O46" s="35"/>
      <c r="P46" s="35"/>
      <c r="Q46" s="35"/>
      <c r="R46" s="35"/>
      <c r="S46" s="35"/>
      <c r="T46" s="35"/>
      <c r="U46" s="35"/>
      <c r="V46" s="35"/>
      <c r="W46" s="35"/>
      <c r="X46" s="35"/>
      <c r="Y46" s="35"/>
      <c r="Z46" s="35"/>
      <c r="AA46" s="35"/>
      <c r="AB46" s="35"/>
      <c r="AC46" s="35"/>
      <c r="AD46" s="35"/>
      <c r="AE46" s="35"/>
      <c r="AF46" s="35"/>
      <c r="AG46" s="35"/>
      <c r="AH46" s="35"/>
      <c r="AI46" s="35"/>
      <c r="AJ46" s="35"/>
      <c r="AK46" s="35"/>
      <c r="AL46" s="35"/>
      <c r="AM46" s="35"/>
      <c r="AN46" s="35"/>
      <c r="AO46" s="35"/>
      <c r="AP46" s="35"/>
      <c r="AQ46" s="35"/>
      <c r="AR46" s="35"/>
      <c r="AS46" s="35"/>
      <c r="AT46" s="35"/>
      <c r="AU46" s="35"/>
      <c r="AV46" s="35"/>
      <c r="AW46" s="35"/>
      <c r="AX46" s="35"/>
      <c r="AY46" s="35"/>
      <c r="AZ46" s="35"/>
      <c r="BA46" s="35"/>
      <c r="BB46" s="35"/>
      <c r="BC46" s="35"/>
      <c r="BD46" s="35"/>
      <c r="BE46" s="35"/>
      <c r="BF46" s="35"/>
      <c r="BG46" s="35"/>
      <c r="BH46" s="35"/>
      <c r="BI46" s="35"/>
      <c r="BJ46" s="35"/>
      <c r="BK46" s="35"/>
      <c r="BL46" s="35"/>
      <c r="BM46" s="35"/>
      <c r="BN46" s="35"/>
      <c r="BO46" s="35"/>
      <c r="BP46" s="35"/>
      <c r="BQ46" s="35"/>
      <c r="BR46" s="35"/>
      <c r="BS46" s="35"/>
      <c r="BT46" s="35"/>
      <c r="BU46" s="35"/>
      <c r="BV46" s="35"/>
      <c r="BW46" s="35"/>
      <c r="BX46" s="35"/>
      <c r="BY46" s="35"/>
      <c r="BZ46" s="35"/>
      <c r="CA46" s="35"/>
      <c r="CB46" s="35"/>
      <c r="CC46" s="35"/>
      <c r="CD46" s="35"/>
      <c r="CE46" s="35"/>
      <c r="CF46" s="35"/>
      <c r="CG46" s="35"/>
      <c r="CH46" s="35"/>
      <c r="CI46" s="35"/>
      <c r="CJ46" s="35"/>
      <c r="CK46" s="35"/>
      <c r="CL46" s="35"/>
      <c r="CM46" s="35"/>
      <c r="CN46" s="35"/>
      <c r="CO46" s="35"/>
      <c r="CP46" s="35"/>
      <c r="CQ46" s="35"/>
      <c r="CR46" s="35"/>
      <c r="CS46" s="35"/>
      <c r="CT46" s="35"/>
      <c r="CU46" s="35"/>
      <c r="CV46" s="35"/>
      <c r="CW46" s="35"/>
      <c r="CX46" s="35"/>
      <c r="CY46" s="35"/>
      <c r="CZ46" s="35"/>
      <c r="DA46" s="35"/>
      <c r="DB46" s="35"/>
      <c r="DC46" s="35"/>
      <c r="DD46" s="35"/>
      <c r="DE46" s="35"/>
      <c r="DF46" s="35"/>
      <c r="DG46" s="35"/>
      <c r="DH46" s="35"/>
      <c r="DI46" s="35"/>
      <c r="DJ46" s="35"/>
      <c r="DK46" s="35"/>
      <c r="DL46" s="35"/>
      <c r="DM46" s="35"/>
      <c r="DN46" s="35"/>
      <c r="DO46" s="35"/>
      <c r="DP46" s="35"/>
      <c r="DQ46" s="35"/>
      <c r="DR46" s="35"/>
      <c r="DS46" s="35"/>
      <c r="DT46" s="35"/>
      <c r="DU46" s="35"/>
      <c r="DV46" s="35"/>
      <c r="DW46" s="35"/>
      <c r="DX46" s="35"/>
      <c r="DY46" s="35"/>
      <c r="DZ46" s="35"/>
      <c r="EA46" s="35"/>
      <c r="EB46" s="35"/>
      <c r="EC46" s="35"/>
      <c r="ED46" s="35"/>
      <c r="EE46" s="35"/>
      <c r="EF46" s="35"/>
      <c r="EG46" s="35"/>
      <c r="EH46" s="35"/>
      <c r="EI46" s="35"/>
      <c r="EJ46" s="35"/>
      <c r="EK46" s="35"/>
      <c r="EL46" s="35"/>
      <c r="EM46" s="35"/>
      <c r="EN46" s="35"/>
      <c r="EO46" s="35"/>
      <c r="EP46" s="35"/>
      <c r="EQ46" s="35"/>
      <c r="ER46" s="35"/>
      <c r="ES46" s="35"/>
      <c r="ET46" s="35"/>
      <c r="EU46" s="35"/>
      <c r="EV46" s="35"/>
      <c r="EW46" s="35"/>
      <c r="EX46" s="35"/>
      <c r="EY46" s="35"/>
      <c r="EZ46" s="35"/>
      <c r="FA46" s="35"/>
      <c r="FB46" s="35"/>
      <c r="FC46" s="35"/>
      <c r="FD46" s="35"/>
      <c r="FE46" s="35"/>
      <c r="FF46" s="35"/>
      <c r="FG46" s="35"/>
      <c r="FH46" s="35"/>
      <c r="FI46" s="35"/>
      <c r="FJ46" s="35"/>
      <c r="FK46" s="35"/>
      <c r="FL46" s="35"/>
      <c r="FM46" s="35"/>
      <c r="FN46" s="35"/>
      <c r="FO46" s="35"/>
      <c r="FP46" s="35"/>
      <c r="FQ46" s="35"/>
      <c r="FR46" s="35"/>
      <c r="FS46" s="35"/>
      <c r="FT46" s="35"/>
      <c r="FU46" s="35"/>
      <c r="FV46" s="35"/>
      <c r="FW46" s="35"/>
      <c r="FX46" s="35"/>
      <c r="FY46" s="35"/>
      <c r="FZ46" s="35"/>
      <c r="GA46" s="35"/>
      <c r="GB46" s="35"/>
      <c r="GC46" s="35"/>
      <c r="GD46" s="35"/>
      <c r="GE46" s="35"/>
      <c r="GF46" s="35"/>
      <c r="GG46" s="35"/>
      <c r="GH46" s="35"/>
      <c r="GI46" s="35"/>
      <c r="GJ46" s="35"/>
      <c r="GK46" s="35"/>
      <c r="GL46" s="35"/>
      <c r="GM46" s="35"/>
      <c r="GN46" s="35"/>
      <c r="GO46" s="35"/>
      <c r="GP46" s="35"/>
      <c r="GQ46" s="35"/>
      <c r="GR46" s="35"/>
      <c r="GS46" s="35"/>
      <c r="GT46" s="35"/>
      <c r="GU46" s="35">
        <v>9.6</v>
      </c>
      <c r="GV46" s="35">
        <v>14.4</v>
      </c>
      <c r="GW46" s="35">
        <v>14.3</v>
      </c>
      <c r="GX46" s="35">
        <v>15</v>
      </c>
      <c r="GY46" s="35">
        <v>15.3</v>
      </c>
      <c r="GZ46" s="35">
        <v>15.6</v>
      </c>
      <c r="HA46" s="35">
        <v>15.7</v>
      </c>
      <c r="HB46" s="35">
        <v>15.8</v>
      </c>
      <c r="HC46">
        <v>7.9</v>
      </c>
      <c r="HD46">
        <v>0</v>
      </c>
      <c r="HE46">
        <v>0</v>
      </c>
    </row>
    <row r="47" spans="1:214" x14ac:dyDescent="0.35">
      <c r="A47" s="35" t="s">
        <v>2169</v>
      </c>
      <c r="B47" s="35"/>
      <c r="C47" s="35"/>
      <c r="D47" s="35"/>
      <c r="E47" s="35"/>
      <c r="F47" s="35"/>
      <c r="G47" s="35"/>
      <c r="H47" s="35"/>
      <c r="I47" s="35"/>
      <c r="J47" s="35"/>
      <c r="K47" s="35"/>
      <c r="L47" s="35"/>
      <c r="M47" s="35"/>
      <c r="N47" s="35"/>
      <c r="O47" s="35"/>
      <c r="P47" s="35"/>
      <c r="Q47" s="35"/>
      <c r="R47" s="35"/>
      <c r="S47" s="35"/>
      <c r="T47" s="35"/>
      <c r="U47" s="35"/>
      <c r="V47" s="35"/>
      <c r="W47" s="35"/>
      <c r="X47" s="35"/>
      <c r="Y47" s="35"/>
      <c r="Z47" s="35"/>
      <c r="AA47" s="35"/>
      <c r="AB47" s="35"/>
      <c r="AC47" s="35"/>
      <c r="AD47" s="35"/>
      <c r="AE47" s="35"/>
      <c r="AF47" s="35"/>
      <c r="AG47" s="35"/>
      <c r="AH47" s="35"/>
      <c r="AI47" s="35"/>
      <c r="AJ47" s="35"/>
      <c r="AK47" s="35"/>
      <c r="AL47" s="35"/>
      <c r="AM47" s="35"/>
      <c r="AN47" s="35"/>
      <c r="AO47" s="35"/>
      <c r="AP47" s="35"/>
      <c r="AQ47" s="35"/>
      <c r="AR47" s="35"/>
      <c r="AS47" s="35"/>
      <c r="AT47" s="35"/>
      <c r="AU47" s="35"/>
      <c r="AV47" s="35"/>
      <c r="AW47" s="35"/>
      <c r="AX47" s="35"/>
      <c r="AY47" s="35"/>
      <c r="AZ47" s="35"/>
      <c r="BA47" s="35"/>
      <c r="BB47" s="35"/>
      <c r="BC47" s="35"/>
      <c r="BD47" s="35"/>
      <c r="BE47" s="35"/>
      <c r="BF47" s="35"/>
      <c r="BG47" s="35"/>
      <c r="BH47" s="35"/>
      <c r="BI47" s="35"/>
      <c r="BJ47" s="35"/>
      <c r="BK47" s="35"/>
      <c r="BL47" s="35"/>
      <c r="BM47" s="35"/>
      <c r="BN47" s="35"/>
      <c r="BO47" s="35"/>
      <c r="BP47" s="35"/>
      <c r="BQ47" s="35"/>
      <c r="BR47" s="35"/>
      <c r="BS47" s="35"/>
      <c r="BT47" s="35"/>
      <c r="BU47" s="35"/>
      <c r="BV47" s="35"/>
      <c r="BW47" s="35"/>
      <c r="BX47" s="35"/>
      <c r="BY47" s="35"/>
      <c r="BZ47" s="35"/>
      <c r="CA47" s="35"/>
      <c r="CB47" s="35"/>
      <c r="CC47" s="35"/>
      <c r="CD47" s="35"/>
      <c r="CE47" s="35"/>
      <c r="CF47" s="35"/>
      <c r="CG47" s="35"/>
      <c r="CH47" s="35"/>
      <c r="CI47" s="35"/>
      <c r="CJ47" s="35"/>
      <c r="CK47" s="35"/>
      <c r="CL47" s="35"/>
      <c r="CM47" s="35"/>
      <c r="CN47" s="35"/>
      <c r="CO47" s="35"/>
      <c r="CP47" s="35"/>
      <c r="CQ47" s="35"/>
      <c r="CR47" s="35"/>
      <c r="CS47" s="35"/>
      <c r="CT47" s="35"/>
      <c r="CU47" s="35"/>
      <c r="CV47" s="35"/>
      <c r="CW47" s="35"/>
      <c r="CX47" s="35"/>
      <c r="CY47" s="35"/>
      <c r="CZ47" s="35"/>
      <c r="DA47" s="35"/>
      <c r="DB47" s="35"/>
      <c r="DC47" s="35"/>
      <c r="DD47" s="35"/>
      <c r="DE47" s="35"/>
      <c r="DF47" s="35"/>
      <c r="DG47" s="35"/>
      <c r="DH47" s="35"/>
      <c r="DI47" s="35"/>
      <c r="DJ47" s="35"/>
      <c r="DK47" s="35"/>
      <c r="DL47" s="35"/>
      <c r="DM47" s="35"/>
      <c r="DN47" s="35"/>
      <c r="DO47" s="35"/>
      <c r="DP47" s="35"/>
      <c r="DQ47" s="35"/>
      <c r="DR47" s="35"/>
      <c r="DS47" s="35"/>
      <c r="DT47" s="35"/>
      <c r="DU47" s="35"/>
      <c r="DV47" s="35"/>
      <c r="DW47" s="35"/>
      <c r="DX47" s="35"/>
      <c r="DY47" s="35"/>
      <c r="DZ47" s="35"/>
      <c r="EA47" s="35"/>
      <c r="EB47" s="35"/>
      <c r="EC47" s="35"/>
      <c r="ED47" s="35"/>
      <c r="EE47" s="35"/>
      <c r="EF47" s="35"/>
      <c r="EG47" s="35"/>
      <c r="EH47" s="35"/>
      <c r="EI47" s="35"/>
      <c r="EJ47" s="35"/>
      <c r="EK47" s="35"/>
      <c r="EL47" s="35"/>
      <c r="EM47" s="35"/>
      <c r="EN47" s="35"/>
      <c r="EO47" s="35"/>
      <c r="EP47" s="35"/>
      <c r="EQ47" s="35"/>
      <c r="ER47" s="35"/>
      <c r="ES47" s="35"/>
      <c r="ET47" s="35"/>
      <c r="EU47" s="35"/>
      <c r="EV47" s="35"/>
      <c r="EW47" s="35"/>
      <c r="EX47" s="35"/>
      <c r="EY47" s="35"/>
      <c r="EZ47" s="35"/>
      <c r="FA47" s="35"/>
      <c r="FB47" s="35"/>
      <c r="FC47" s="35"/>
      <c r="FD47" s="35"/>
      <c r="FE47" s="35"/>
      <c r="FF47" s="35"/>
      <c r="FG47" s="35"/>
      <c r="FH47" s="35"/>
      <c r="FI47" s="35"/>
      <c r="FJ47" s="35"/>
      <c r="FK47" s="35"/>
      <c r="FL47" s="35"/>
      <c r="FM47" s="35"/>
      <c r="FN47" s="35"/>
      <c r="FO47" s="35"/>
      <c r="FP47" s="35"/>
      <c r="FQ47" s="35"/>
      <c r="FR47" s="35"/>
      <c r="FS47" s="35"/>
      <c r="FT47" s="35"/>
      <c r="FU47" s="35"/>
      <c r="FV47" s="35"/>
      <c r="FW47" s="35"/>
      <c r="FX47" s="35"/>
      <c r="FY47" s="35"/>
      <c r="FZ47" s="35"/>
      <c r="GA47" s="35"/>
      <c r="GB47" s="35"/>
      <c r="GC47" s="35"/>
      <c r="GD47" s="35"/>
      <c r="GE47" s="35"/>
      <c r="GF47" s="35"/>
      <c r="GG47" s="35"/>
      <c r="GH47" s="35"/>
      <c r="GI47" s="35"/>
      <c r="GJ47" s="35"/>
      <c r="GK47" s="35"/>
      <c r="GL47" s="35"/>
      <c r="GM47" s="35"/>
      <c r="GN47" s="35"/>
      <c r="GO47" s="35"/>
      <c r="GP47" s="35"/>
      <c r="GQ47" s="35"/>
      <c r="GR47" s="35"/>
      <c r="GS47" s="35"/>
      <c r="GT47" s="35"/>
      <c r="GU47" s="35">
        <v>57.2</v>
      </c>
      <c r="GV47" s="35">
        <v>81.2</v>
      </c>
      <c r="GW47" s="35">
        <v>24.4</v>
      </c>
      <c r="GX47" s="35">
        <v>11.7</v>
      </c>
      <c r="GY47" s="35">
        <v>28.5</v>
      </c>
      <c r="GZ47" s="35">
        <v>18.8</v>
      </c>
      <c r="HA47" s="35">
        <v>1.6</v>
      </c>
      <c r="HB47" s="35">
        <v>0</v>
      </c>
      <c r="HC47">
        <v>0</v>
      </c>
      <c r="HD47">
        <v>0</v>
      </c>
      <c r="HE47">
        <v>0</v>
      </c>
    </row>
    <row r="48" spans="1:214" x14ac:dyDescent="0.35">
      <c r="A48" s="35" t="s">
        <v>2170</v>
      </c>
      <c r="B48" s="35"/>
      <c r="C48" s="35"/>
      <c r="D48" s="35"/>
      <c r="E48" s="35"/>
      <c r="F48" s="35"/>
      <c r="G48" s="35"/>
      <c r="H48" s="35"/>
      <c r="I48" s="35"/>
      <c r="J48" s="35"/>
      <c r="K48" s="35"/>
      <c r="L48" s="35"/>
      <c r="M48" s="35"/>
      <c r="N48" s="35"/>
      <c r="O48" s="35"/>
      <c r="P48" s="35"/>
      <c r="Q48" s="35"/>
      <c r="R48" s="35"/>
      <c r="S48" s="35"/>
      <c r="T48" s="35"/>
      <c r="U48" s="35"/>
      <c r="V48" s="35"/>
      <c r="W48" s="35"/>
      <c r="X48" s="35"/>
      <c r="Y48" s="35"/>
      <c r="Z48" s="35"/>
      <c r="AA48" s="35"/>
      <c r="AB48" s="35"/>
      <c r="AC48" s="35"/>
      <c r="AD48" s="35"/>
      <c r="AE48" s="35"/>
      <c r="AF48" s="35"/>
      <c r="AG48" s="35"/>
      <c r="AH48" s="35"/>
      <c r="AI48" s="35"/>
      <c r="AJ48" s="35"/>
      <c r="AK48" s="35"/>
      <c r="AL48" s="35"/>
      <c r="AM48" s="35"/>
      <c r="AN48" s="35"/>
      <c r="AO48" s="35"/>
      <c r="AP48" s="35"/>
      <c r="AQ48" s="35"/>
      <c r="AR48" s="35"/>
      <c r="AS48" s="35"/>
      <c r="AT48" s="35"/>
      <c r="AU48" s="35"/>
      <c r="AV48" s="35"/>
      <c r="AW48" s="35"/>
      <c r="AX48" s="35"/>
      <c r="AY48" s="35"/>
      <c r="AZ48" s="35"/>
      <c r="BA48" s="35"/>
      <c r="BB48" s="35"/>
      <c r="BC48" s="35"/>
      <c r="BD48" s="35"/>
      <c r="BE48" s="35"/>
      <c r="BF48" s="35"/>
      <c r="BG48" s="35"/>
      <c r="BH48" s="35"/>
      <c r="BI48" s="35"/>
      <c r="BJ48" s="35"/>
      <c r="BK48" s="35"/>
      <c r="BL48" s="35"/>
      <c r="BM48" s="35"/>
      <c r="BN48" s="35"/>
      <c r="BO48" s="35"/>
      <c r="BP48" s="35"/>
      <c r="BQ48" s="35"/>
      <c r="BR48" s="35"/>
      <c r="BS48" s="35"/>
      <c r="BT48" s="35"/>
      <c r="BU48" s="35"/>
      <c r="BV48" s="35"/>
      <c r="BW48" s="35"/>
      <c r="BX48" s="35"/>
      <c r="BY48" s="35"/>
      <c r="BZ48" s="35"/>
      <c r="CA48" s="35"/>
      <c r="CB48" s="35"/>
      <c r="CC48" s="35"/>
      <c r="CD48" s="35"/>
      <c r="CE48" s="35"/>
      <c r="CF48" s="35"/>
      <c r="CG48" s="35"/>
      <c r="CH48" s="35"/>
      <c r="CI48" s="35"/>
      <c r="CJ48" s="35"/>
      <c r="CK48" s="35"/>
      <c r="CL48" s="35"/>
      <c r="CM48" s="35"/>
      <c r="CN48" s="35"/>
      <c r="CO48" s="35"/>
      <c r="CP48" s="35"/>
      <c r="CQ48" s="35"/>
      <c r="CR48" s="35"/>
      <c r="CS48" s="35"/>
      <c r="CT48" s="35"/>
      <c r="CU48" s="35"/>
      <c r="CV48" s="35"/>
      <c r="CW48" s="35"/>
      <c r="CX48" s="35"/>
      <c r="CY48" s="35"/>
      <c r="CZ48" s="35"/>
      <c r="DA48" s="35"/>
      <c r="DB48" s="35"/>
      <c r="DC48" s="35"/>
      <c r="DD48" s="35"/>
      <c r="DE48" s="35"/>
      <c r="DF48" s="35"/>
      <c r="DG48" s="35"/>
      <c r="DH48" s="35"/>
      <c r="DI48" s="35"/>
      <c r="DJ48" s="35"/>
      <c r="DK48" s="35"/>
      <c r="DL48" s="35"/>
      <c r="DM48" s="35"/>
      <c r="DN48" s="35"/>
      <c r="DO48" s="35"/>
      <c r="DP48" s="35"/>
      <c r="DQ48" s="35"/>
      <c r="DR48" s="35"/>
      <c r="DS48" s="35"/>
      <c r="DT48" s="35"/>
      <c r="DU48" s="35"/>
      <c r="DV48" s="35"/>
      <c r="DW48" s="35"/>
      <c r="DX48" s="35"/>
      <c r="DY48" s="35"/>
      <c r="DZ48" s="35"/>
      <c r="EA48" s="35"/>
      <c r="EB48" s="35"/>
      <c r="EC48" s="35"/>
      <c r="ED48" s="35"/>
      <c r="EE48" s="35"/>
      <c r="EF48" s="35"/>
      <c r="EG48" s="35"/>
      <c r="EH48" s="35"/>
      <c r="EI48" s="35"/>
      <c r="EJ48" s="35"/>
      <c r="EK48" s="35"/>
      <c r="EL48" s="35"/>
      <c r="EM48" s="35"/>
      <c r="EN48" s="35"/>
      <c r="EO48" s="35"/>
      <c r="EP48" s="35"/>
      <c r="EQ48" s="35"/>
      <c r="ER48" s="35"/>
      <c r="ES48" s="35"/>
      <c r="ET48" s="35"/>
      <c r="EU48" s="35"/>
      <c r="EV48" s="35"/>
      <c r="EW48" s="35"/>
      <c r="EX48" s="35"/>
      <c r="EY48" s="35"/>
      <c r="EZ48" s="35"/>
      <c r="FA48" s="35"/>
      <c r="FB48" s="35"/>
      <c r="FC48" s="35"/>
      <c r="FD48" s="35"/>
      <c r="FE48" s="35"/>
      <c r="FF48" s="35"/>
      <c r="FG48" s="35"/>
      <c r="FH48" s="35"/>
      <c r="FI48" s="35"/>
      <c r="FJ48" s="35"/>
      <c r="FK48" s="35"/>
      <c r="FL48" s="35"/>
      <c r="FM48" s="35"/>
      <c r="FN48" s="35"/>
      <c r="FO48" s="35"/>
      <c r="FP48" s="35"/>
      <c r="FQ48" s="35"/>
      <c r="FR48" s="35"/>
      <c r="FS48" s="35"/>
      <c r="FT48" s="35"/>
      <c r="FU48" s="35"/>
      <c r="FV48" s="35"/>
      <c r="FW48" s="35"/>
      <c r="FX48" s="35"/>
      <c r="FY48" s="35"/>
      <c r="FZ48" s="35"/>
      <c r="GA48" s="35"/>
      <c r="GB48" s="35"/>
      <c r="GC48" s="35"/>
      <c r="GD48" s="35"/>
      <c r="GE48" s="35"/>
      <c r="GF48" s="35"/>
      <c r="GG48" s="35"/>
      <c r="GH48" s="35"/>
      <c r="GI48" s="35"/>
      <c r="GJ48" s="35"/>
      <c r="GK48" s="35"/>
      <c r="GL48" s="35"/>
      <c r="GM48" s="35"/>
      <c r="GN48" s="35"/>
      <c r="GO48" s="35"/>
      <c r="GP48" s="35"/>
      <c r="GQ48" s="35"/>
      <c r="GR48" s="35"/>
      <c r="GS48" s="35"/>
      <c r="GT48" s="35">
        <v>1.5</v>
      </c>
      <c r="GU48" s="35">
        <v>160.9</v>
      </c>
      <c r="GV48" s="35">
        <v>58.4</v>
      </c>
      <c r="GW48" s="35">
        <v>34.5</v>
      </c>
      <c r="GX48" s="35">
        <v>21.4</v>
      </c>
      <c r="GY48" s="35">
        <v>13.3</v>
      </c>
      <c r="GZ48" s="35">
        <v>18.7</v>
      </c>
      <c r="HA48" s="35">
        <v>32.200000000000003</v>
      </c>
      <c r="HB48" s="35">
        <v>26.9</v>
      </c>
      <c r="HC48">
        <v>20</v>
      </c>
      <c r="HD48">
        <v>8.1</v>
      </c>
      <c r="HE48">
        <v>4.9000000000000004</v>
      </c>
    </row>
    <row r="49" spans="1:213" x14ac:dyDescent="0.35">
      <c r="A49" s="35" t="s">
        <v>2171</v>
      </c>
      <c r="B49" s="35"/>
      <c r="C49" s="35"/>
      <c r="D49" s="35"/>
      <c r="E49" s="35"/>
      <c r="F49" s="35"/>
      <c r="G49" s="35"/>
      <c r="H49" s="35"/>
      <c r="I49" s="35"/>
      <c r="J49" s="35"/>
      <c r="K49" s="35"/>
      <c r="L49" s="35"/>
      <c r="M49" s="35"/>
      <c r="N49" s="35"/>
      <c r="O49" s="35"/>
      <c r="P49" s="35"/>
      <c r="Q49" s="35"/>
      <c r="R49" s="35"/>
      <c r="S49" s="35"/>
      <c r="T49" s="35"/>
      <c r="U49" s="35"/>
      <c r="V49" s="35"/>
      <c r="W49" s="35"/>
      <c r="X49" s="35"/>
      <c r="Y49" s="35"/>
      <c r="Z49" s="35"/>
      <c r="AA49" s="35"/>
      <c r="AB49" s="35"/>
      <c r="AC49" s="35"/>
      <c r="AD49" s="35"/>
      <c r="AE49" s="35"/>
      <c r="AF49" s="35"/>
      <c r="AG49" s="35"/>
      <c r="AH49" s="35"/>
      <c r="AI49" s="35"/>
      <c r="AJ49" s="35"/>
      <c r="AK49" s="35"/>
      <c r="AL49" s="35"/>
      <c r="AM49" s="35"/>
      <c r="AN49" s="35"/>
      <c r="AO49" s="35"/>
      <c r="AP49" s="35"/>
      <c r="AQ49" s="35"/>
      <c r="AR49" s="35"/>
      <c r="AS49" s="35"/>
      <c r="AT49" s="35"/>
      <c r="AU49" s="35"/>
      <c r="AV49" s="35"/>
      <c r="AW49" s="35"/>
      <c r="AX49" s="35"/>
      <c r="AY49" s="35"/>
      <c r="AZ49" s="35"/>
      <c r="BA49" s="35"/>
      <c r="BB49" s="35"/>
      <c r="BC49" s="35"/>
      <c r="BD49" s="35"/>
      <c r="BE49" s="35"/>
      <c r="BF49" s="35"/>
      <c r="BG49" s="35"/>
      <c r="BH49" s="35"/>
      <c r="BI49" s="35"/>
      <c r="BJ49" s="35"/>
      <c r="BK49" s="35"/>
      <c r="BL49" s="35"/>
      <c r="BM49" s="35"/>
      <c r="BN49" s="35"/>
      <c r="BO49" s="35"/>
      <c r="BP49" s="35"/>
      <c r="BQ49" s="35"/>
      <c r="BR49" s="35"/>
      <c r="BS49" s="35"/>
      <c r="BT49" s="35"/>
      <c r="BU49" s="35"/>
      <c r="BV49" s="35"/>
      <c r="BW49" s="35"/>
      <c r="BX49" s="35"/>
      <c r="BY49" s="35"/>
      <c r="BZ49" s="35"/>
      <c r="CA49" s="35"/>
      <c r="CB49" s="35"/>
      <c r="CC49" s="35"/>
      <c r="CD49" s="35"/>
      <c r="CE49" s="35"/>
      <c r="CF49" s="35"/>
      <c r="CG49" s="35"/>
      <c r="CH49" s="35"/>
      <c r="CI49" s="35"/>
      <c r="CJ49" s="35"/>
      <c r="CK49" s="35"/>
      <c r="CL49" s="35"/>
      <c r="CM49" s="35"/>
      <c r="CN49" s="35"/>
      <c r="CO49" s="35"/>
      <c r="CP49" s="35"/>
      <c r="CQ49" s="35"/>
      <c r="CR49" s="35"/>
      <c r="CS49" s="35"/>
      <c r="CT49" s="35"/>
      <c r="CU49" s="35"/>
      <c r="CV49" s="35"/>
      <c r="CW49" s="35"/>
      <c r="CX49" s="35"/>
      <c r="CY49" s="35"/>
      <c r="CZ49" s="35"/>
      <c r="DA49" s="35"/>
      <c r="DB49" s="35"/>
      <c r="DC49" s="35"/>
      <c r="DD49" s="35"/>
      <c r="DE49" s="35"/>
      <c r="DF49" s="35"/>
      <c r="DG49" s="35"/>
      <c r="DH49" s="35"/>
      <c r="DI49" s="35"/>
      <c r="DJ49" s="35"/>
      <c r="DK49" s="35"/>
      <c r="DL49" s="35"/>
      <c r="DM49" s="35"/>
      <c r="DN49" s="35"/>
      <c r="DO49" s="35"/>
      <c r="DP49" s="35"/>
      <c r="DQ49" s="35"/>
      <c r="DR49" s="35"/>
      <c r="DS49" s="35"/>
      <c r="DT49" s="35"/>
      <c r="DU49" s="35"/>
      <c r="DV49" s="35"/>
      <c r="DW49" s="35"/>
      <c r="DX49" s="35"/>
      <c r="DY49" s="35"/>
      <c r="DZ49" s="35"/>
      <c r="EA49" s="35"/>
      <c r="EB49" s="35"/>
      <c r="EC49" s="35"/>
      <c r="ED49" s="35"/>
      <c r="EE49" s="35"/>
      <c r="EF49" s="35"/>
      <c r="EG49" s="35"/>
      <c r="EH49" s="35"/>
      <c r="EI49" s="35"/>
      <c r="EJ49" s="35"/>
      <c r="EK49" s="35"/>
      <c r="EL49" s="35"/>
      <c r="EM49" s="35"/>
      <c r="EN49" s="35"/>
      <c r="EO49" s="35"/>
      <c r="EP49" s="35"/>
      <c r="EQ49" s="35"/>
      <c r="ER49" s="35"/>
      <c r="ES49" s="35"/>
      <c r="ET49" s="35"/>
      <c r="EU49" s="35"/>
      <c r="EV49" s="35"/>
      <c r="EW49" s="35"/>
      <c r="EX49" s="35"/>
      <c r="EY49" s="35"/>
      <c r="EZ49" s="35"/>
      <c r="FA49" s="35"/>
      <c r="FB49" s="35"/>
      <c r="FC49" s="35"/>
      <c r="FD49" s="35"/>
      <c r="FE49" s="35"/>
      <c r="FF49" s="35"/>
      <c r="FG49" s="35"/>
      <c r="FH49" s="35"/>
      <c r="FI49" s="35"/>
      <c r="FJ49" s="35"/>
      <c r="FK49" s="35"/>
      <c r="FL49" s="35"/>
      <c r="FM49" s="35"/>
      <c r="FN49" s="35"/>
      <c r="FO49" s="35"/>
      <c r="FP49" s="35"/>
      <c r="FQ49" s="35"/>
      <c r="FR49" s="35"/>
      <c r="FS49" s="35"/>
      <c r="FT49" s="35"/>
      <c r="FU49" s="35"/>
      <c r="FV49" s="35"/>
      <c r="FW49" s="35"/>
      <c r="FX49" s="35"/>
      <c r="FY49" s="35"/>
      <c r="FZ49" s="35"/>
      <c r="GA49" s="35"/>
      <c r="GB49" s="35"/>
      <c r="GC49" s="35"/>
      <c r="GD49" s="35"/>
      <c r="GE49" s="35"/>
      <c r="GF49" s="35"/>
      <c r="GG49" s="35"/>
      <c r="GH49" s="35"/>
      <c r="GI49" s="35"/>
      <c r="GJ49" s="35"/>
      <c r="GK49" s="35"/>
      <c r="GL49" s="35"/>
      <c r="GM49" s="35"/>
      <c r="GN49" s="35"/>
      <c r="GO49" s="35"/>
      <c r="GP49" s="35"/>
      <c r="GQ49" s="35"/>
      <c r="GR49" s="35"/>
      <c r="GS49" s="35"/>
      <c r="GT49" s="35"/>
      <c r="GU49" s="35">
        <v>576.9</v>
      </c>
      <c r="GV49" s="35">
        <v>819.5</v>
      </c>
      <c r="GW49" s="35">
        <v>246.3</v>
      </c>
      <c r="GX49" s="35">
        <v>197</v>
      </c>
      <c r="GY49" s="35">
        <v>441.2</v>
      </c>
      <c r="GZ49" s="35">
        <v>276.7</v>
      </c>
      <c r="HA49" s="35">
        <v>28.2</v>
      </c>
      <c r="HB49" s="35">
        <v>0</v>
      </c>
      <c r="HC49">
        <v>0</v>
      </c>
      <c r="HD49">
        <v>0</v>
      </c>
      <c r="HE49">
        <v>0</v>
      </c>
    </row>
    <row r="50" spans="1:213" x14ac:dyDescent="0.35">
      <c r="A50" s="35" t="s">
        <v>2172</v>
      </c>
      <c r="B50" s="35"/>
      <c r="C50" s="35"/>
      <c r="D50" s="35"/>
      <c r="E50" s="35"/>
      <c r="F50" s="35"/>
      <c r="G50" s="35"/>
      <c r="H50" s="35"/>
      <c r="I50" s="35"/>
      <c r="J50" s="35"/>
      <c r="K50" s="35"/>
      <c r="L50" s="35"/>
      <c r="M50" s="35"/>
      <c r="N50" s="35"/>
      <c r="O50" s="35"/>
      <c r="P50" s="35"/>
      <c r="Q50" s="35"/>
      <c r="R50" s="35"/>
      <c r="S50" s="35"/>
      <c r="T50" s="35"/>
      <c r="U50" s="35"/>
      <c r="V50" s="35"/>
      <c r="W50" s="35"/>
      <c r="X50" s="35"/>
      <c r="Y50" s="35"/>
      <c r="Z50" s="35"/>
      <c r="AA50" s="35"/>
      <c r="AB50" s="35"/>
      <c r="AC50" s="35"/>
      <c r="AD50" s="35"/>
      <c r="AE50" s="35"/>
      <c r="AF50" s="35"/>
      <c r="AG50" s="35"/>
      <c r="AH50" s="35"/>
      <c r="AI50" s="35"/>
      <c r="AJ50" s="35"/>
      <c r="AK50" s="35"/>
      <c r="AL50" s="35"/>
      <c r="AM50" s="35"/>
      <c r="AN50" s="35"/>
      <c r="AO50" s="35"/>
      <c r="AP50" s="35"/>
      <c r="AQ50" s="35"/>
      <c r="AR50" s="35"/>
      <c r="AS50" s="35"/>
      <c r="AT50" s="35"/>
      <c r="AU50" s="35"/>
      <c r="AV50" s="35"/>
      <c r="AW50" s="35"/>
      <c r="AX50" s="35"/>
      <c r="AY50" s="35"/>
      <c r="AZ50" s="35"/>
      <c r="BA50" s="35"/>
      <c r="BB50" s="35"/>
      <c r="BC50" s="35"/>
      <c r="BD50" s="35"/>
      <c r="BE50" s="35"/>
      <c r="BF50" s="35"/>
      <c r="BG50" s="35"/>
      <c r="BH50" s="35"/>
      <c r="BI50" s="35"/>
      <c r="BJ50" s="35"/>
      <c r="BK50" s="35"/>
      <c r="BL50" s="35"/>
      <c r="BM50" s="35"/>
      <c r="BN50" s="35"/>
      <c r="BO50" s="35"/>
      <c r="BP50" s="35"/>
      <c r="BQ50" s="35"/>
      <c r="BR50" s="35"/>
      <c r="BS50" s="35"/>
      <c r="BT50" s="35"/>
      <c r="BU50" s="35"/>
      <c r="BV50" s="35"/>
      <c r="BW50" s="35"/>
      <c r="BX50" s="35"/>
      <c r="BY50" s="35"/>
      <c r="BZ50" s="35"/>
      <c r="CA50" s="35"/>
      <c r="CB50" s="35"/>
      <c r="CC50" s="35"/>
      <c r="CD50" s="35"/>
      <c r="CE50" s="35"/>
      <c r="CF50" s="35"/>
      <c r="CG50" s="35"/>
      <c r="CH50" s="35"/>
      <c r="CI50" s="35"/>
      <c r="CJ50" s="35"/>
      <c r="CK50" s="35"/>
      <c r="CL50" s="35"/>
      <c r="CM50" s="35"/>
      <c r="CN50" s="35"/>
      <c r="CO50" s="35"/>
      <c r="CP50" s="35"/>
      <c r="CQ50" s="35"/>
      <c r="CR50" s="35"/>
      <c r="CS50" s="35"/>
      <c r="CT50" s="35"/>
      <c r="CU50" s="35"/>
      <c r="CV50" s="35"/>
      <c r="CW50" s="35"/>
      <c r="CX50" s="35"/>
      <c r="CY50" s="35"/>
      <c r="CZ50" s="35"/>
      <c r="DA50" s="35"/>
      <c r="DB50" s="35"/>
      <c r="DC50" s="35"/>
      <c r="DD50" s="35"/>
      <c r="DE50" s="35"/>
      <c r="DF50" s="35"/>
      <c r="DG50" s="35"/>
      <c r="DH50" s="35"/>
      <c r="DI50" s="35"/>
      <c r="DJ50" s="35"/>
      <c r="DK50" s="35"/>
      <c r="DL50" s="35"/>
      <c r="DM50" s="35"/>
      <c r="DN50" s="35"/>
      <c r="DO50" s="35"/>
      <c r="DP50" s="35"/>
      <c r="DQ50" s="35"/>
      <c r="DR50" s="35"/>
      <c r="DS50" s="35"/>
      <c r="DT50" s="35"/>
      <c r="DU50" s="35"/>
      <c r="DV50" s="35"/>
      <c r="DW50" s="35"/>
      <c r="DX50" s="35"/>
      <c r="DY50" s="35"/>
      <c r="DZ50" s="35"/>
      <c r="EA50" s="35"/>
      <c r="EB50" s="35"/>
      <c r="EC50" s="35"/>
      <c r="ED50" s="35"/>
      <c r="EE50" s="35"/>
      <c r="EF50" s="35"/>
      <c r="EG50" s="35"/>
      <c r="EH50" s="35"/>
      <c r="EI50" s="35"/>
      <c r="EJ50" s="35"/>
      <c r="EK50" s="35"/>
      <c r="EL50" s="35"/>
      <c r="EM50" s="35"/>
      <c r="EN50" s="35"/>
      <c r="EO50" s="35"/>
      <c r="EP50" s="35"/>
      <c r="EQ50" s="35"/>
      <c r="ER50" s="35"/>
      <c r="ES50" s="35"/>
      <c r="ET50" s="35"/>
      <c r="EU50" s="35"/>
      <c r="EV50" s="35"/>
      <c r="EW50" s="35"/>
      <c r="EX50" s="35"/>
      <c r="EY50" s="35"/>
      <c r="EZ50" s="35"/>
      <c r="FA50" s="35"/>
      <c r="FB50" s="35"/>
      <c r="FC50" s="35"/>
      <c r="FD50" s="35"/>
      <c r="FE50" s="35"/>
      <c r="FF50" s="35"/>
      <c r="FG50" s="35"/>
      <c r="FH50" s="35"/>
      <c r="FI50" s="35"/>
      <c r="FJ50" s="35"/>
      <c r="FK50" s="35"/>
      <c r="FL50" s="35"/>
      <c r="FM50" s="35"/>
      <c r="FN50" s="35"/>
      <c r="FO50" s="35"/>
      <c r="FP50" s="35"/>
      <c r="FQ50" s="35"/>
      <c r="FR50" s="35"/>
      <c r="FS50" s="35"/>
      <c r="FT50" s="35"/>
      <c r="FU50" s="35"/>
      <c r="FV50" s="35"/>
      <c r="FW50" s="35"/>
      <c r="FX50" s="35"/>
      <c r="FY50" s="35"/>
      <c r="FZ50" s="35"/>
      <c r="GA50" s="35"/>
      <c r="GB50" s="35"/>
      <c r="GC50" s="35"/>
      <c r="GD50" s="35"/>
      <c r="GE50" s="35"/>
      <c r="GF50" s="35"/>
      <c r="GG50" s="35"/>
      <c r="GH50" s="35"/>
      <c r="GI50" s="35"/>
      <c r="GJ50" s="35"/>
      <c r="GK50" s="35"/>
      <c r="GL50" s="35"/>
      <c r="GM50" s="35"/>
      <c r="GN50" s="35"/>
      <c r="GO50" s="35"/>
      <c r="GP50" s="35"/>
      <c r="GQ50" s="35"/>
      <c r="GR50" s="35"/>
      <c r="GS50" s="35"/>
      <c r="GT50" s="35"/>
      <c r="GU50" s="35">
        <v>63.8</v>
      </c>
      <c r="GV50" s="35">
        <v>15</v>
      </c>
      <c r="GW50" s="35">
        <v>0.1</v>
      </c>
      <c r="GX50" s="35">
        <v>38</v>
      </c>
      <c r="GY50" s="35">
        <v>47.3</v>
      </c>
      <c r="GZ50" s="35">
        <v>0.7</v>
      </c>
      <c r="HA50" s="35">
        <v>0</v>
      </c>
      <c r="HB50" s="35">
        <v>0.3</v>
      </c>
      <c r="HC50">
        <v>0.2</v>
      </c>
      <c r="HD50">
        <v>0.3</v>
      </c>
      <c r="HE50">
        <v>0.4</v>
      </c>
    </row>
    <row r="51" spans="1:213" x14ac:dyDescent="0.35">
      <c r="A51" s="35" t="s">
        <v>2173</v>
      </c>
      <c r="B51" s="35"/>
      <c r="C51" s="35"/>
      <c r="D51" s="35"/>
      <c r="E51" s="35"/>
      <c r="F51" s="35"/>
      <c r="G51" s="35"/>
      <c r="H51" s="35"/>
      <c r="I51" s="35"/>
      <c r="J51" s="35"/>
      <c r="K51" s="35"/>
      <c r="L51" s="35"/>
      <c r="M51" s="35"/>
      <c r="N51" s="35"/>
      <c r="O51" s="35"/>
      <c r="P51" s="35"/>
      <c r="Q51" s="35"/>
      <c r="R51" s="35"/>
      <c r="S51" s="35"/>
      <c r="T51" s="35"/>
      <c r="U51" s="35"/>
      <c r="V51" s="35"/>
      <c r="W51" s="35"/>
      <c r="X51" s="35"/>
      <c r="Y51" s="35"/>
      <c r="Z51" s="35"/>
      <c r="AA51" s="35"/>
      <c r="AB51" s="35"/>
      <c r="AC51" s="35"/>
      <c r="AD51" s="35"/>
      <c r="AE51" s="35"/>
      <c r="AF51" s="35"/>
      <c r="AG51" s="35"/>
      <c r="AH51" s="35"/>
      <c r="AI51" s="35"/>
      <c r="AJ51" s="35"/>
      <c r="AK51" s="35"/>
      <c r="AL51" s="35"/>
      <c r="AM51" s="35"/>
      <c r="AN51" s="35"/>
      <c r="AO51" s="35"/>
      <c r="AP51" s="35"/>
      <c r="AQ51" s="35"/>
      <c r="AR51" s="35"/>
      <c r="AS51" s="35"/>
      <c r="AT51" s="35"/>
      <c r="AU51" s="35"/>
      <c r="AV51" s="35"/>
      <c r="AW51" s="35"/>
      <c r="AX51" s="35"/>
      <c r="AY51" s="35"/>
      <c r="AZ51" s="35"/>
      <c r="BA51" s="35"/>
      <c r="BB51" s="35"/>
      <c r="BC51" s="35"/>
      <c r="BD51" s="35"/>
      <c r="BE51" s="35"/>
      <c r="BF51" s="35"/>
      <c r="BG51" s="35"/>
      <c r="BH51" s="35"/>
      <c r="BI51" s="35"/>
      <c r="BJ51" s="35"/>
      <c r="BK51" s="35"/>
      <c r="BL51" s="35"/>
      <c r="BM51" s="35"/>
      <c r="BN51" s="35"/>
      <c r="BO51" s="35"/>
      <c r="BP51" s="35"/>
      <c r="BQ51" s="35"/>
      <c r="BR51" s="35"/>
      <c r="BS51" s="35"/>
      <c r="BT51" s="35"/>
      <c r="BU51" s="35"/>
      <c r="BV51" s="35"/>
      <c r="BW51" s="35"/>
      <c r="BX51" s="35"/>
      <c r="BY51" s="35"/>
      <c r="BZ51" s="35"/>
      <c r="CA51" s="35"/>
      <c r="CB51" s="35"/>
      <c r="CC51" s="35"/>
      <c r="CD51" s="35"/>
      <c r="CE51" s="35"/>
      <c r="CF51" s="35"/>
      <c r="CG51" s="35"/>
      <c r="CH51" s="35"/>
      <c r="CI51" s="35"/>
      <c r="CJ51" s="35"/>
      <c r="CK51" s="35"/>
      <c r="CL51" s="35"/>
      <c r="CM51" s="35"/>
      <c r="CN51" s="35"/>
      <c r="CO51" s="35"/>
      <c r="CP51" s="35"/>
      <c r="CQ51" s="35"/>
      <c r="CR51" s="35"/>
      <c r="CS51" s="35"/>
      <c r="CT51" s="35"/>
      <c r="CU51" s="35"/>
      <c r="CV51" s="35"/>
      <c r="CW51" s="35"/>
      <c r="CX51" s="35"/>
      <c r="CY51" s="35"/>
      <c r="CZ51" s="35"/>
      <c r="DA51" s="35"/>
      <c r="DB51" s="35"/>
      <c r="DC51" s="35"/>
      <c r="DD51" s="35"/>
      <c r="DE51" s="35"/>
      <c r="DF51" s="35"/>
      <c r="DG51" s="35"/>
      <c r="DH51" s="35"/>
      <c r="DI51" s="35"/>
      <c r="DJ51" s="35"/>
      <c r="DK51" s="35"/>
      <c r="DL51" s="35"/>
      <c r="DM51" s="35"/>
      <c r="DN51" s="35"/>
      <c r="DO51" s="35"/>
      <c r="DP51" s="35"/>
      <c r="DQ51" s="35"/>
      <c r="DR51" s="35"/>
      <c r="DS51" s="35"/>
      <c r="DT51" s="35"/>
      <c r="DU51" s="35"/>
      <c r="DV51" s="35"/>
      <c r="DW51" s="35"/>
      <c r="DX51" s="35"/>
      <c r="DY51" s="35"/>
      <c r="DZ51" s="35"/>
      <c r="EA51" s="35"/>
      <c r="EB51" s="35"/>
      <c r="EC51" s="35"/>
      <c r="ED51" s="35"/>
      <c r="EE51" s="35"/>
      <c r="EF51" s="35"/>
      <c r="EG51" s="35"/>
      <c r="EH51" s="35"/>
      <c r="EI51" s="35"/>
      <c r="EJ51" s="35"/>
      <c r="EK51" s="35"/>
      <c r="EL51" s="35"/>
      <c r="EM51" s="35"/>
      <c r="EN51" s="35"/>
      <c r="EO51" s="35"/>
      <c r="EP51" s="35"/>
      <c r="EQ51" s="35"/>
      <c r="ER51" s="35"/>
      <c r="ES51" s="35"/>
      <c r="ET51" s="35"/>
      <c r="EU51" s="35"/>
      <c r="EV51" s="35"/>
      <c r="EW51" s="35"/>
      <c r="EX51" s="35"/>
      <c r="EY51" s="35"/>
      <c r="EZ51" s="35"/>
      <c r="FA51" s="35"/>
      <c r="FB51" s="35"/>
      <c r="FC51" s="35"/>
      <c r="FD51" s="35"/>
      <c r="FE51" s="35"/>
      <c r="FF51" s="35"/>
      <c r="FG51" s="35"/>
      <c r="FH51" s="35"/>
      <c r="FI51" s="35"/>
      <c r="FJ51" s="35"/>
      <c r="FK51" s="35"/>
      <c r="FL51" s="35"/>
      <c r="FM51" s="35"/>
      <c r="FN51" s="35"/>
      <c r="FO51" s="35"/>
      <c r="FP51" s="35"/>
      <c r="FQ51" s="35"/>
      <c r="FR51" s="35"/>
      <c r="FS51" s="35"/>
      <c r="FT51" s="35"/>
      <c r="FU51" s="35"/>
      <c r="FV51" s="35"/>
      <c r="FW51" s="35"/>
      <c r="FX51" s="35"/>
      <c r="FY51" s="35"/>
      <c r="FZ51" s="35"/>
      <c r="GA51" s="35"/>
      <c r="GB51" s="35"/>
      <c r="GC51" s="35"/>
      <c r="GD51" s="35"/>
      <c r="GE51" s="35"/>
      <c r="GF51" s="35"/>
      <c r="GG51" s="35"/>
      <c r="GH51" s="35"/>
      <c r="GI51" s="35"/>
      <c r="GJ51" s="35"/>
      <c r="GK51" s="35"/>
      <c r="GL51" s="35"/>
      <c r="GM51" s="35"/>
      <c r="GN51" s="35"/>
      <c r="GO51" s="35"/>
      <c r="GP51" s="35"/>
      <c r="GQ51" s="35"/>
      <c r="GR51" s="35"/>
      <c r="GS51" s="35"/>
      <c r="GT51" s="35"/>
      <c r="GU51" s="35">
        <v>73.3</v>
      </c>
      <c r="GV51" s="35">
        <v>73.3</v>
      </c>
      <c r="GW51" s="35">
        <v>73.3</v>
      </c>
      <c r="GX51" s="35">
        <v>39.799999999999997</v>
      </c>
      <c r="GY51" s="35">
        <v>43</v>
      </c>
      <c r="GZ51" s="35">
        <v>45.7</v>
      </c>
      <c r="HA51" s="35">
        <v>51.5</v>
      </c>
      <c r="HB51" s="35">
        <v>0</v>
      </c>
      <c r="HC51">
        <v>0</v>
      </c>
      <c r="HD51">
        <v>0</v>
      </c>
      <c r="HE51">
        <v>0</v>
      </c>
    </row>
    <row r="52" spans="1:213" x14ac:dyDescent="0.35">
      <c r="A52" s="35" t="s">
        <v>2174</v>
      </c>
      <c r="B52" s="35"/>
      <c r="C52" s="35"/>
      <c r="D52" s="35"/>
      <c r="E52" s="35"/>
      <c r="F52" s="35"/>
      <c r="G52" s="35"/>
      <c r="H52" s="35"/>
      <c r="I52" s="35"/>
      <c r="J52" s="35"/>
      <c r="K52" s="35"/>
      <c r="L52" s="35"/>
      <c r="M52" s="35"/>
      <c r="N52" s="35"/>
      <c r="O52" s="35"/>
      <c r="P52" s="35"/>
      <c r="Q52" s="35"/>
      <c r="R52" s="35"/>
      <c r="S52" s="35"/>
      <c r="T52" s="35"/>
      <c r="U52" s="35"/>
      <c r="V52" s="35"/>
      <c r="W52" s="35"/>
      <c r="X52" s="35"/>
      <c r="Y52" s="35"/>
      <c r="Z52" s="35"/>
      <c r="AA52" s="35"/>
      <c r="AB52" s="35"/>
      <c r="AC52" s="35"/>
      <c r="AD52" s="35"/>
      <c r="AE52" s="35"/>
      <c r="AF52" s="35"/>
      <c r="AG52" s="35"/>
      <c r="AH52" s="35"/>
      <c r="AI52" s="35"/>
      <c r="AJ52" s="35"/>
      <c r="AK52" s="35"/>
      <c r="AL52" s="35"/>
      <c r="AM52" s="35"/>
      <c r="AN52" s="35"/>
      <c r="AO52" s="35"/>
      <c r="AP52" s="35"/>
      <c r="AQ52" s="35"/>
      <c r="AR52" s="35"/>
      <c r="AS52" s="35"/>
      <c r="AT52" s="35"/>
      <c r="AU52" s="35"/>
      <c r="AV52" s="35"/>
      <c r="AW52" s="35"/>
      <c r="AX52" s="35"/>
      <c r="AY52" s="35"/>
      <c r="AZ52" s="35"/>
      <c r="BA52" s="35"/>
      <c r="BB52" s="35"/>
      <c r="BC52" s="35"/>
      <c r="BD52" s="35"/>
      <c r="BE52" s="35"/>
      <c r="BF52" s="35"/>
      <c r="BG52" s="35"/>
      <c r="BH52" s="35"/>
      <c r="BI52" s="35"/>
      <c r="BJ52" s="35"/>
      <c r="BK52" s="35"/>
      <c r="BL52" s="35"/>
      <c r="BM52" s="35"/>
      <c r="BN52" s="35"/>
      <c r="BO52" s="35"/>
      <c r="BP52" s="35"/>
      <c r="BQ52" s="35"/>
      <c r="BR52" s="35"/>
      <c r="BS52" s="35"/>
      <c r="BT52" s="35"/>
      <c r="BU52" s="35"/>
      <c r="BV52" s="35"/>
      <c r="BW52" s="35"/>
      <c r="BX52" s="35"/>
      <c r="BY52" s="35"/>
      <c r="BZ52" s="35"/>
      <c r="CA52" s="35"/>
      <c r="CB52" s="35"/>
      <c r="CC52" s="35"/>
      <c r="CD52" s="35"/>
      <c r="CE52" s="35"/>
      <c r="CF52" s="35"/>
      <c r="CG52" s="35"/>
      <c r="CH52" s="35"/>
      <c r="CI52" s="35"/>
      <c r="CJ52" s="35"/>
      <c r="CK52" s="35"/>
      <c r="CL52" s="35"/>
      <c r="CM52" s="35"/>
      <c r="CN52" s="35"/>
      <c r="CO52" s="35"/>
      <c r="CP52" s="35"/>
      <c r="CQ52" s="35"/>
      <c r="CR52" s="35"/>
      <c r="CS52" s="35"/>
      <c r="CT52" s="35"/>
      <c r="CU52" s="35"/>
      <c r="CV52" s="35"/>
      <c r="CW52" s="35"/>
      <c r="CX52" s="35"/>
      <c r="CY52" s="35"/>
      <c r="CZ52" s="35"/>
      <c r="DA52" s="35"/>
      <c r="DB52" s="35"/>
      <c r="DC52" s="35"/>
      <c r="DD52" s="35"/>
      <c r="DE52" s="35"/>
      <c r="DF52" s="35"/>
      <c r="DG52" s="35"/>
      <c r="DH52" s="35"/>
      <c r="DI52" s="35"/>
      <c r="DJ52" s="35"/>
      <c r="DK52" s="35"/>
      <c r="DL52" s="35"/>
      <c r="DM52" s="35"/>
      <c r="DN52" s="35"/>
      <c r="DO52" s="35"/>
      <c r="DP52" s="35"/>
      <c r="DQ52" s="35"/>
      <c r="DR52" s="35"/>
      <c r="DS52" s="35"/>
      <c r="DT52" s="35"/>
      <c r="DU52" s="35"/>
      <c r="DV52" s="35"/>
      <c r="DW52" s="35"/>
      <c r="DX52" s="35"/>
      <c r="DY52" s="35"/>
      <c r="DZ52" s="35"/>
      <c r="EA52" s="35"/>
      <c r="EB52" s="35"/>
      <c r="EC52" s="35"/>
      <c r="ED52" s="35"/>
      <c r="EE52" s="35"/>
      <c r="EF52" s="35"/>
      <c r="EG52" s="35"/>
      <c r="EH52" s="35"/>
      <c r="EI52" s="35"/>
      <c r="EJ52" s="35"/>
      <c r="EK52" s="35"/>
      <c r="EL52" s="35"/>
      <c r="EM52" s="35"/>
      <c r="EN52" s="35"/>
      <c r="EO52" s="35"/>
      <c r="EP52" s="35"/>
      <c r="EQ52" s="35"/>
      <c r="ER52" s="35"/>
      <c r="ES52" s="35"/>
      <c r="ET52" s="35"/>
      <c r="EU52" s="35"/>
      <c r="EV52" s="35"/>
      <c r="EW52" s="35"/>
      <c r="EX52" s="35"/>
      <c r="EY52" s="35"/>
      <c r="EZ52" s="35"/>
      <c r="FA52" s="35"/>
      <c r="FB52" s="35"/>
      <c r="FC52" s="35"/>
      <c r="FD52" s="35"/>
      <c r="FE52" s="35"/>
      <c r="FF52" s="35"/>
      <c r="FG52" s="35"/>
      <c r="FH52" s="35"/>
      <c r="FI52" s="35"/>
      <c r="FJ52" s="35"/>
      <c r="FK52" s="35"/>
      <c r="FL52" s="35"/>
      <c r="FM52" s="35"/>
      <c r="FN52" s="35"/>
      <c r="FO52" s="35"/>
      <c r="FP52" s="35"/>
      <c r="FQ52" s="35"/>
      <c r="FR52" s="35"/>
      <c r="FS52" s="35"/>
      <c r="FT52" s="35"/>
      <c r="FU52" s="35"/>
      <c r="FV52" s="35"/>
      <c r="FW52" s="35"/>
      <c r="FX52" s="35"/>
      <c r="FY52" s="35"/>
      <c r="FZ52" s="35"/>
      <c r="GA52" s="35"/>
      <c r="GB52" s="35"/>
      <c r="GC52" s="35"/>
      <c r="GD52" s="35"/>
      <c r="GE52" s="35"/>
      <c r="GF52" s="35"/>
      <c r="GG52" s="35"/>
      <c r="GH52" s="35"/>
      <c r="GI52" s="35"/>
      <c r="GJ52" s="35"/>
      <c r="GK52" s="35"/>
      <c r="GL52" s="35"/>
      <c r="GM52" s="35"/>
      <c r="GN52" s="35"/>
      <c r="GO52" s="35"/>
      <c r="GP52" s="35"/>
      <c r="GQ52" s="35"/>
      <c r="GR52" s="35"/>
      <c r="GS52" s="35"/>
      <c r="GT52" s="35"/>
      <c r="GU52" s="35">
        <v>22</v>
      </c>
      <c r="GV52" s="35">
        <v>25.3</v>
      </c>
      <c r="GW52" s="35">
        <v>11.8</v>
      </c>
      <c r="GX52" s="35">
        <v>11.9</v>
      </c>
      <c r="GY52" s="35">
        <v>11.3</v>
      </c>
      <c r="GZ52" s="35">
        <v>13.6</v>
      </c>
      <c r="HA52" s="35">
        <v>19</v>
      </c>
      <c r="HB52" s="35">
        <v>21.8</v>
      </c>
      <c r="HC52">
        <v>22.3</v>
      </c>
      <c r="HD52">
        <v>20.2</v>
      </c>
      <c r="HE52">
        <v>15.8</v>
      </c>
    </row>
    <row r="53" spans="1:213" x14ac:dyDescent="0.35">
      <c r="A53" s="35" t="s">
        <v>2175</v>
      </c>
      <c r="B53" s="35"/>
      <c r="C53" s="35"/>
      <c r="D53" s="35"/>
      <c r="E53" s="35"/>
      <c r="F53" s="35"/>
      <c r="G53" s="35"/>
      <c r="H53" s="35"/>
      <c r="I53" s="35"/>
      <c r="J53" s="35"/>
      <c r="K53" s="35"/>
      <c r="L53" s="35"/>
      <c r="M53" s="35"/>
      <c r="N53" s="35"/>
      <c r="O53" s="35"/>
      <c r="P53" s="35"/>
      <c r="Q53" s="35"/>
      <c r="R53" s="35"/>
      <c r="S53" s="35"/>
      <c r="T53" s="35"/>
      <c r="U53" s="35"/>
      <c r="V53" s="35"/>
      <c r="W53" s="35"/>
      <c r="X53" s="35"/>
      <c r="Y53" s="35"/>
      <c r="Z53" s="35"/>
      <c r="AA53" s="35"/>
      <c r="AB53" s="35"/>
      <c r="AC53" s="35"/>
      <c r="AD53" s="35"/>
      <c r="AE53" s="35"/>
      <c r="AF53" s="35"/>
      <c r="AG53" s="35"/>
      <c r="AH53" s="35"/>
      <c r="AI53" s="35"/>
      <c r="AJ53" s="35"/>
      <c r="AK53" s="35"/>
      <c r="AL53" s="35"/>
      <c r="AM53" s="35"/>
      <c r="AN53" s="35"/>
      <c r="AO53" s="35"/>
      <c r="AP53" s="35"/>
      <c r="AQ53" s="35"/>
      <c r="AR53" s="35"/>
      <c r="AS53" s="35"/>
      <c r="AT53" s="35"/>
      <c r="AU53" s="35"/>
      <c r="AV53" s="35"/>
      <c r="AW53" s="35"/>
      <c r="AX53" s="35"/>
      <c r="AY53" s="35"/>
      <c r="AZ53" s="35"/>
      <c r="BA53" s="35"/>
      <c r="BB53" s="35"/>
      <c r="BC53" s="35"/>
      <c r="BD53" s="35"/>
      <c r="BE53" s="35"/>
      <c r="BF53" s="35"/>
      <c r="BG53" s="35"/>
      <c r="BH53" s="35"/>
      <c r="BI53" s="35"/>
      <c r="BJ53" s="35"/>
      <c r="BK53" s="35"/>
      <c r="BL53" s="35"/>
      <c r="BM53" s="35"/>
      <c r="BN53" s="35"/>
      <c r="BO53" s="35"/>
      <c r="BP53" s="35"/>
      <c r="BQ53" s="35"/>
      <c r="BR53" s="35"/>
      <c r="BS53" s="35"/>
      <c r="BT53" s="35"/>
      <c r="BU53" s="35"/>
      <c r="BV53" s="35"/>
      <c r="BW53" s="35"/>
      <c r="BX53" s="35"/>
      <c r="BY53" s="35"/>
      <c r="BZ53" s="35"/>
      <c r="CA53" s="35"/>
      <c r="CB53" s="35"/>
      <c r="CC53" s="35"/>
      <c r="CD53" s="35"/>
      <c r="CE53" s="35"/>
      <c r="CF53" s="35"/>
      <c r="CG53" s="35"/>
      <c r="CH53" s="35"/>
      <c r="CI53" s="35"/>
      <c r="CJ53" s="35"/>
      <c r="CK53" s="35"/>
      <c r="CL53" s="35"/>
      <c r="CM53" s="35"/>
      <c r="CN53" s="35"/>
      <c r="CO53" s="35"/>
      <c r="CP53" s="35"/>
      <c r="CQ53" s="35"/>
      <c r="CR53" s="35"/>
      <c r="CS53" s="35"/>
      <c r="CT53" s="35"/>
      <c r="CU53" s="35"/>
      <c r="CV53" s="35"/>
      <c r="CW53" s="35"/>
      <c r="CX53" s="35"/>
      <c r="CY53" s="35"/>
      <c r="CZ53" s="35"/>
      <c r="DA53" s="35"/>
      <c r="DB53" s="35"/>
      <c r="DC53" s="35"/>
      <c r="DD53" s="35"/>
      <c r="DE53" s="35"/>
      <c r="DF53" s="35"/>
      <c r="DG53" s="35"/>
      <c r="DH53" s="35"/>
      <c r="DI53" s="35"/>
      <c r="DJ53" s="35"/>
      <c r="DK53" s="35"/>
      <c r="DL53" s="35"/>
      <c r="DM53" s="35"/>
      <c r="DN53" s="35"/>
      <c r="DO53" s="35"/>
      <c r="DP53" s="35"/>
      <c r="DQ53" s="35"/>
      <c r="DR53" s="35"/>
      <c r="DS53" s="35"/>
      <c r="DT53" s="35"/>
      <c r="DU53" s="35"/>
      <c r="DV53" s="35"/>
      <c r="DW53" s="35"/>
      <c r="DX53" s="35"/>
      <c r="DY53" s="35"/>
      <c r="DZ53" s="35"/>
      <c r="EA53" s="35"/>
      <c r="EB53" s="35"/>
      <c r="EC53" s="35"/>
      <c r="ED53" s="35"/>
      <c r="EE53" s="35"/>
      <c r="EF53" s="35"/>
      <c r="EG53" s="35"/>
      <c r="EH53" s="35"/>
      <c r="EI53" s="35"/>
      <c r="EJ53" s="35"/>
      <c r="EK53" s="35"/>
      <c r="EL53" s="35"/>
      <c r="EM53" s="35"/>
      <c r="EN53" s="35"/>
      <c r="EO53" s="35"/>
      <c r="EP53" s="35"/>
      <c r="EQ53" s="35"/>
      <c r="ER53" s="35"/>
      <c r="ES53" s="35"/>
      <c r="ET53" s="35"/>
      <c r="EU53" s="35"/>
      <c r="EV53" s="35"/>
      <c r="EW53" s="35"/>
      <c r="EX53" s="35"/>
      <c r="EY53" s="35"/>
      <c r="EZ53" s="35"/>
      <c r="FA53" s="35"/>
      <c r="FB53" s="35"/>
      <c r="FC53" s="35"/>
      <c r="FD53" s="35"/>
      <c r="FE53" s="35"/>
      <c r="FF53" s="35"/>
      <c r="FG53" s="35"/>
      <c r="FH53" s="35"/>
      <c r="FI53" s="35"/>
      <c r="FJ53" s="35"/>
      <c r="FK53" s="35"/>
      <c r="FL53" s="35"/>
      <c r="FM53" s="35"/>
      <c r="FN53" s="35"/>
      <c r="FO53" s="35"/>
      <c r="FP53" s="35"/>
      <c r="FQ53" s="35"/>
      <c r="FR53" s="35"/>
      <c r="FS53" s="35"/>
      <c r="FT53" s="35"/>
      <c r="FU53" s="35"/>
      <c r="FV53" s="35"/>
      <c r="FW53" s="35"/>
      <c r="FX53" s="35"/>
      <c r="FY53" s="35"/>
      <c r="FZ53" s="35"/>
      <c r="GA53" s="35"/>
      <c r="GB53" s="35"/>
      <c r="GC53" s="35"/>
      <c r="GD53" s="35"/>
      <c r="GE53" s="35"/>
      <c r="GF53" s="35"/>
      <c r="GG53" s="35"/>
      <c r="GH53" s="35"/>
      <c r="GI53" s="35"/>
      <c r="GJ53" s="35"/>
      <c r="GK53" s="35"/>
      <c r="GL53" s="35"/>
      <c r="GM53" s="35"/>
      <c r="GN53" s="35"/>
      <c r="GO53" s="35"/>
      <c r="GP53" s="35"/>
      <c r="GQ53" s="35"/>
      <c r="GR53" s="35"/>
      <c r="GS53" s="35"/>
      <c r="GT53" s="35"/>
      <c r="GU53" s="35">
        <v>16.899999999999999</v>
      </c>
      <c r="GV53" s="35">
        <v>18.399999999999999</v>
      </c>
      <c r="GW53" s="35">
        <v>46.2</v>
      </c>
      <c r="GX53" s="35">
        <v>0.9</v>
      </c>
      <c r="GY53" s="35">
        <v>14.1</v>
      </c>
      <c r="GZ53" s="35">
        <v>8.6</v>
      </c>
      <c r="HA53" s="35">
        <v>1.2</v>
      </c>
      <c r="HB53" s="35">
        <v>0.6</v>
      </c>
      <c r="HC53">
        <v>0</v>
      </c>
      <c r="HD53">
        <v>0</v>
      </c>
      <c r="HE53">
        <v>0</v>
      </c>
    </row>
    <row r="54" spans="1:213" x14ac:dyDescent="0.35">
      <c r="A54" s="35" t="s">
        <v>2176</v>
      </c>
      <c r="B54" s="35"/>
      <c r="C54" s="35"/>
      <c r="D54" s="35"/>
      <c r="E54" s="35"/>
      <c r="F54" s="35"/>
      <c r="G54" s="35"/>
      <c r="H54" s="35"/>
      <c r="I54" s="35"/>
      <c r="J54" s="35"/>
      <c r="K54" s="35"/>
      <c r="L54" s="35"/>
      <c r="M54" s="35"/>
      <c r="N54" s="35"/>
      <c r="O54" s="35"/>
      <c r="P54" s="35"/>
      <c r="Q54" s="35"/>
      <c r="R54" s="35"/>
      <c r="S54" s="35"/>
      <c r="T54" s="35"/>
      <c r="U54" s="35"/>
      <c r="V54" s="35"/>
      <c r="W54" s="35"/>
      <c r="X54" s="35"/>
      <c r="Y54" s="35"/>
      <c r="Z54" s="35"/>
      <c r="AA54" s="35"/>
      <c r="AB54" s="35"/>
      <c r="AC54" s="35"/>
      <c r="AD54" s="35"/>
      <c r="AE54" s="35"/>
      <c r="AF54" s="35"/>
      <c r="AG54" s="35"/>
      <c r="AH54" s="35"/>
      <c r="AI54" s="35"/>
      <c r="AJ54" s="35"/>
      <c r="AK54" s="35"/>
      <c r="AL54" s="35"/>
      <c r="AM54" s="35"/>
      <c r="AN54" s="35"/>
      <c r="AO54" s="35"/>
      <c r="AP54" s="35"/>
      <c r="AQ54" s="35"/>
      <c r="AR54" s="35"/>
      <c r="AS54" s="35"/>
      <c r="AT54" s="35"/>
      <c r="AU54" s="35"/>
      <c r="AV54" s="35"/>
      <c r="AW54" s="35"/>
      <c r="AX54" s="35"/>
      <c r="AY54" s="35"/>
      <c r="AZ54" s="35"/>
      <c r="BA54" s="35"/>
      <c r="BB54" s="35"/>
      <c r="BC54" s="35"/>
      <c r="BD54" s="35"/>
      <c r="BE54" s="35"/>
      <c r="BF54" s="35"/>
      <c r="BG54" s="35"/>
      <c r="BH54" s="35"/>
      <c r="BI54" s="35"/>
      <c r="BJ54" s="35"/>
      <c r="BK54" s="35"/>
      <c r="BL54" s="35"/>
      <c r="BM54" s="35"/>
      <c r="BN54" s="35"/>
      <c r="BO54" s="35"/>
      <c r="BP54" s="35"/>
      <c r="BQ54" s="35"/>
      <c r="BR54" s="35"/>
      <c r="BS54" s="35"/>
      <c r="BT54" s="35"/>
      <c r="BU54" s="35"/>
      <c r="BV54" s="35"/>
      <c r="BW54" s="35"/>
      <c r="BX54" s="35"/>
      <c r="BY54" s="35"/>
      <c r="BZ54" s="35"/>
      <c r="CA54" s="35"/>
      <c r="CB54" s="35"/>
      <c r="CC54" s="35"/>
      <c r="CD54" s="35"/>
      <c r="CE54" s="35"/>
      <c r="CF54" s="35"/>
      <c r="CG54" s="35"/>
      <c r="CH54" s="35"/>
      <c r="CI54" s="35"/>
      <c r="CJ54" s="35"/>
      <c r="CK54" s="35"/>
      <c r="CL54" s="35"/>
      <c r="CM54" s="35"/>
      <c r="CN54" s="35"/>
      <c r="CO54" s="35"/>
      <c r="CP54" s="35"/>
      <c r="CQ54" s="35"/>
      <c r="CR54" s="35"/>
      <c r="CS54" s="35"/>
      <c r="CT54" s="35"/>
      <c r="CU54" s="35"/>
      <c r="CV54" s="35"/>
      <c r="CW54" s="35"/>
      <c r="CX54" s="35"/>
      <c r="CY54" s="35"/>
      <c r="CZ54" s="35"/>
      <c r="DA54" s="35"/>
      <c r="DB54" s="35"/>
      <c r="DC54" s="35"/>
      <c r="DD54" s="35"/>
      <c r="DE54" s="35"/>
      <c r="DF54" s="35"/>
      <c r="DG54" s="35"/>
      <c r="DH54" s="35"/>
      <c r="DI54" s="35"/>
      <c r="DJ54" s="35"/>
      <c r="DK54" s="35"/>
      <c r="DL54" s="35"/>
      <c r="DM54" s="35"/>
      <c r="DN54" s="35"/>
      <c r="DO54" s="35"/>
      <c r="DP54" s="35"/>
      <c r="DQ54" s="35"/>
      <c r="DR54" s="35"/>
      <c r="DS54" s="35"/>
      <c r="DT54" s="35"/>
      <c r="DU54" s="35"/>
      <c r="DV54" s="35"/>
      <c r="DW54" s="35"/>
      <c r="DX54" s="35"/>
      <c r="DY54" s="35"/>
      <c r="DZ54" s="35"/>
      <c r="EA54" s="35"/>
      <c r="EB54" s="35"/>
      <c r="EC54" s="35"/>
      <c r="ED54" s="35"/>
      <c r="EE54" s="35"/>
      <c r="EF54" s="35"/>
      <c r="EG54" s="35"/>
      <c r="EH54" s="35"/>
      <c r="EI54" s="35"/>
      <c r="EJ54" s="35"/>
      <c r="EK54" s="35"/>
      <c r="EL54" s="35"/>
      <c r="EM54" s="35"/>
      <c r="EN54" s="35"/>
      <c r="EO54" s="35"/>
      <c r="EP54" s="35"/>
      <c r="EQ54" s="35"/>
      <c r="ER54" s="35"/>
      <c r="ES54" s="35"/>
      <c r="ET54" s="35"/>
      <c r="EU54" s="35"/>
      <c r="EV54" s="35"/>
      <c r="EW54" s="35"/>
      <c r="EX54" s="35"/>
      <c r="EY54" s="35"/>
      <c r="EZ54" s="35"/>
      <c r="FA54" s="35"/>
      <c r="FB54" s="35"/>
      <c r="FC54" s="35"/>
      <c r="FD54" s="35"/>
      <c r="FE54" s="35"/>
      <c r="FF54" s="35"/>
      <c r="FG54" s="35"/>
      <c r="FH54" s="35"/>
      <c r="FI54" s="35"/>
      <c r="FJ54" s="35"/>
      <c r="FK54" s="35"/>
      <c r="FL54" s="35"/>
      <c r="FM54" s="35"/>
      <c r="FN54" s="35"/>
      <c r="FO54" s="35"/>
      <c r="FP54" s="35"/>
      <c r="FQ54" s="35"/>
      <c r="FR54" s="35"/>
      <c r="FS54" s="35"/>
      <c r="FT54" s="35"/>
      <c r="FU54" s="35"/>
      <c r="FV54" s="35"/>
      <c r="FW54" s="35"/>
      <c r="FX54" s="35"/>
      <c r="FY54" s="35"/>
      <c r="FZ54" s="35"/>
      <c r="GA54" s="35"/>
      <c r="GB54" s="35"/>
      <c r="GC54" s="35"/>
      <c r="GD54" s="35"/>
      <c r="GE54" s="35"/>
      <c r="GF54" s="35"/>
      <c r="GG54" s="35"/>
      <c r="GH54" s="35"/>
      <c r="GI54" s="35"/>
      <c r="GJ54" s="35"/>
      <c r="GK54" s="35"/>
      <c r="GL54" s="35"/>
      <c r="GM54" s="35"/>
      <c r="GN54" s="35"/>
      <c r="GO54" s="35"/>
      <c r="GP54" s="35"/>
      <c r="GQ54" s="35"/>
      <c r="GR54" s="35"/>
      <c r="GS54" s="35"/>
      <c r="GT54" s="35"/>
      <c r="GU54" s="35">
        <v>96.6</v>
      </c>
      <c r="GV54" s="35">
        <v>35.1</v>
      </c>
      <c r="GW54" s="35">
        <v>20.7</v>
      </c>
      <c r="GX54" s="35">
        <v>15.4</v>
      </c>
      <c r="GY54" s="35">
        <v>9.6</v>
      </c>
      <c r="GZ54" s="35">
        <v>13.5</v>
      </c>
      <c r="HA54" s="35">
        <v>23.2</v>
      </c>
      <c r="HB54" s="35">
        <v>19.3</v>
      </c>
      <c r="HC54">
        <v>14.4</v>
      </c>
      <c r="HD54">
        <v>5.9</v>
      </c>
      <c r="HE54">
        <v>3.6</v>
      </c>
    </row>
    <row r="55" spans="1:213" x14ac:dyDescent="0.35">
      <c r="A55" s="35" t="s">
        <v>2177</v>
      </c>
      <c r="B55" s="35"/>
      <c r="C55" s="35"/>
      <c r="D55" s="35"/>
      <c r="E55" s="35"/>
      <c r="F55" s="35"/>
      <c r="G55" s="35"/>
      <c r="H55" s="35"/>
      <c r="I55" s="35"/>
      <c r="J55" s="35"/>
      <c r="K55" s="35"/>
      <c r="L55" s="35"/>
      <c r="M55" s="35"/>
      <c r="N55" s="35"/>
      <c r="O55" s="35"/>
      <c r="P55" s="35"/>
      <c r="Q55" s="35"/>
      <c r="R55" s="35"/>
      <c r="S55" s="35"/>
      <c r="T55" s="35"/>
      <c r="U55" s="35"/>
      <c r="V55" s="35"/>
      <c r="W55" s="35"/>
      <c r="X55" s="35"/>
      <c r="Y55" s="35"/>
      <c r="Z55" s="35"/>
      <c r="AA55" s="35"/>
      <c r="AB55" s="35"/>
      <c r="AC55" s="35"/>
      <c r="AD55" s="35"/>
      <c r="AE55" s="35"/>
      <c r="AF55" s="35"/>
      <c r="AG55" s="35"/>
      <c r="AH55" s="35"/>
      <c r="AI55" s="35"/>
      <c r="AJ55" s="35"/>
      <c r="AK55" s="35"/>
      <c r="AL55" s="35"/>
      <c r="AM55" s="35"/>
      <c r="AN55" s="35"/>
      <c r="AO55" s="35"/>
      <c r="AP55" s="35"/>
      <c r="AQ55" s="35"/>
      <c r="AR55" s="35"/>
      <c r="AS55" s="35"/>
      <c r="AT55" s="35"/>
      <c r="AU55" s="35"/>
      <c r="AV55" s="35"/>
      <c r="AW55" s="35"/>
      <c r="AX55" s="35"/>
      <c r="AY55" s="35"/>
      <c r="AZ55" s="35"/>
      <c r="BA55" s="35"/>
      <c r="BB55" s="35"/>
      <c r="BC55" s="35"/>
      <c r="BD55" s="35"/>
      <c r="BE55" s="35"/>
      <c r="BF55" s="35"/>
      <c r="BG55" s="35"/>
      <c r="BH55" s="35"/>
      <c r="BI55" s="35"/>
      <c r="BJ55" s="35"/>
      <c r="BK55" s="35"/>
      <c r="BL55" s="35"/>
      <c r="BM55" s="35"/>
      <c r="BN55" s="35"/>
      <c r="BO55" s="35"/>
      <c r="BP55" s="35"/>
      <c r="BQ55" s="35"/>
      <c r="BR55" s="35"/>
      <c r="BS55" s="35"/>
      <c r="BT55" s="35"/>
      <c r="BU55" s="35"/>
      <c r="BV55" s="35"/>
      <c r="BW55" s="35"/>
      <c r="BX55" s="35"/>
      <c r="BY55" s="35"/>
      <c r="BZ55" s="35"/>
      <c r="CA55" s="35"/>
      <c r="CB55" s="35"/>
      <c r="CC55" s="35"/>
      <c r="CD55" s="35"/>
      <c r="CE55" s="35"/>
      <c r="CF55" s="35"/>
      <c r="CG55" s="35"/>
      <c r="CH55" s="35"/>
      <c r="CI55" s="35"/>
      <c r="CJ55" s="35"/>
      <c r="CK55" s="35"/>
      <c r="CL55" s="35"/>
      <c r="CM55" s="35"/>
      <c r="CN55" s="35"/>
      <c r="CO55" s="35"/>
      <c r="CP55" s="35"/>
      <c r="CQ55" s="35"/>
      <c r="CR55" s="35"/>
      <c r="CS55" s="35"/>
      <c r="CT55" s="35"/>
      <c r="CU55" s="35"/>
      <c r="CV55" s="35"/>
      <c r="CW55" s="35"/>
      <c r="CX55" s="35"/>
      <c r="CY55" s="35"/>
      <c r="CZ55" s="35"/>
      <c r="DA55" s="35"/>
      <c r="DB55" s="35"/>
      <c r="DC55" s="35"/>
      <c r="DD55" s="35"/>
      <c r="DE55" s="35"/>
      <c r="DF55" s="35"/>
      <c r="DG55" s="35"/>
      <c r="DH55" s="35"/>
      <c r="DI55" s="35"/>
      <c r="DJ55" s="35"/>
      <c r="DK55" s="35"/>
      <c r="DL55" s="35"/>
      <c r="DM55" s="35"/>
      <c r="DN55" s="35"/>
      <c r="DO55" s="35"/>
      <c r="DP55" s="35"/>
      <c r="DQ55" s="35"/>
      <c r="DR55" s="35"/>
      <c r="DS55" s="35"/>
      <c r="DT55" s="35"/>
      <c r="DU55" s="35"/>
      <c r="DV55" s="35"/>
      <c r="DW55" s="35"/>
      <c r="DX55" s="35"/>
      <c r="DY55" s="35"/>
      <c r="DZ55" s="35"/>
      <c r="EA55" s="35"/>
      <c r="EB55" s="35"/>
      <c r="EC55" s="35"/>
      <c r="ED55" s="35"/>
      <c r="EE55" s="35"/>
      <c r="EF55" s="35"/>
      <c r="EG55" s="35"/>
      <c r="EH55" s="35"/>
      <c r="EI55" s="35"/>
      <c r="EJ55" s="35"/>
      <c r="EK55" s="35"/>
      <c r="EL55" s="35"/>
      <c r="EM55" s="35"/>
      <c r="EN55" s="35"/>
      <c r="EO55" s="35"/>
      <c r="EP55" s="35"/>
      <c r="EQ55" s="35"/>
      <c r="ER55" s="35"/>
      <c r="ES55" s="35"/>
      <c r="ET55" s="35"/>
      <c r="EU55" s="35"/>
      <c r="EV55" s="35"/>
      <c r="EW55" s="35"/>
      <c r="EX55" s="35"/>
      <c r="EY55" s="35"/>
      <c r="EZ55" s="35"/>
      <c r="FA55" s="35"/>
      <c r="FB55" s="35"/>
      <c r="FC55" s="35"/>
      <c r="FD55" s="35"/>
      <c r="FE55" s="35"/>
      <c r="FF55" s="35"/>
      <c r="FG55" s="35"/>
      <c r="FH55" s="35"/>
      <c r="FI55" s="35"/>
      <c r="FJ55" s="35"/>
      <c r="FK55" s="35"/>
      <c r="FL55" s="35"/>
      <c r="FM55" s="35"/>
      <c r="FN55" s="35"/>
      <c r="FO55" s="35"/>
      <c r="FP55" s="35"/>
      <c r="FQ55" s="35"/>
      <c r="FR55" s="35"/>
      <c r="FS55" s="35"/>
      <c r="FT55" s="35"/>
      <c r="FU55" s="35"/>
      <c r="FV55" s="35"/>
      <c r="FW55" s="35"/>
      <c r="FX55" s="35"/>
      <c r="FY55" s="35"/>
      <c r="FZ55" s="35"/>
      <c r="GA55" s="35"/>
      <c r="GB55" s="35"/>
      <c r="GC55" s="35"/>
      <c r="GD55" s="35"/>
      <c r="GE55" s="35"/>
      <c r="GF55" s="35"/>
      <c r="GG55" s="35"/>
      <c r="GH55" s="35"/>
      <c r="GI55" s="35"/>
      <c r="GJ55" s="35"/>
      <c r="GK55" s="35"/>
      <c r="GL55" s="35"/>
      <c r="GM55" s="35"/>
      <c r="GN55" s="35"/>
      <c r="GO55" s="35"/>
      <c r="GP55" s="35"/>
      <c r="GQ55" s="35"/>
      <c r="GR55" s="35"/>
      <c r="GS55" s="35"/>
      <c r="GT55" s="35"/>
      <c r="GU55" s="35">
        <v>140</v>
      </c>
      <c r="GV55" s="35">
        <v>140</v>
      </c>
      <c r="GW55" s="35">
        <v>140</v>
      </c>
      <c r="GX55" s="35">
        <v>4.8</v>
      </c>
      <c r="GY55" s="35">
        <v>4.4000000000000004</v>
      </c>
      <c r="GZ55" s="35">
        <v>5.3</v>
      </c>
      <c r="HA55" s="35">
        <v>4.7</v>
      </c>
      <c r="HB55" s="35">
        <v>0</v>
      </c>
      <c r="HC55">
        <v>0</v>
      </c>
      <c r="HD55">
        <v>0</v>
      </c>
      <c r="HE55">
        <v>0</v>
      </c>
    </row>
    <row r="56" spans="1:213" x14ac:dyDescent="0.35">
      <c r="A56" s="35" t="s">
        <v>2178</v>
      </c>
      <c r="B56" s="35"/>
      <c r="C56" s="35"/>
      <c r="D56" s="35"/>
      <c r="E56" s="35"/>
      <c r="F56" s="35"/>
      <c r="G56" s="35"/>
      <c r="H56" s="35"/>
      <c r="I56" s="35"/>
      <c r="J56" s="35"/>
      <c r="K56" s="35"/>
      <c r="L56" s="35"/>
      <c r="M56" s="35"/>
      <c r="N56" s="35"/>
      <c r="O56" s="35"/>
      <c r="P56" s="35"/>
      <c r="Q56" s="35"/>
      <c r="R56" s="35"/>
      <c r="S56" s="35"/>
      <c r="T56" s="35"/>
      <c r="U56" s="35"/>
      <c r="V56" s="35"/>
      <c r="W56" s="35"/>
      <c r="X56" s="35"/>
      <c r="Y56" s="35"/>
      <c r="Z56" s="35"/>
      <c r="AA56" s="35"/>
      <c r="AB56" s="35"/>
      <c r="AC56" s="35"/>
      <c r="AD56" s="35"/>
      <c r="AE56" s="35"/>
      <c r="AF56" s="35"/>
      <c r="AG56" s="35"/>
      <c r="AH56" s="35"/>
      <c r="AI56" s="35"/>
      <c r="AJ56" s="35"/>
      <c r="AK56" s="35"/>
      <c r="AL56" s="35"/>
      <c r="AM56" s="35"/>
      <c r="AN56" s="35"/>
      <c r="AO56" s="35"/>
      <c r="AP56" s="35"/>
      <c r="AQ56" s="35"/>
      <c r="AR56" s="35"/>
      <c r="AS56" s="35"/>
      <c r="AT56" s="35"/>
      <c r="AU56" s="35"/>
      <c r="AV56" s="35"/>
      <c r="AW56" s="35"/>
      <c r="AX56" s="35"/>
      <c r="AY56" s="35"/>
      <c r="AZ56" s="35"/>
      <c r="BA56" s="35"/>
      <c r="BB56" s="35"/>
      <c r="BC56" s="35"/>
      <c r="BD56" s="35"/>
      <c r="BE56" s="35"/>
      <c r="BF56" s="35"/>
      <c r="BG56" s="35"/>
      <c r="BH56" s="35"/>
      <c r="BI56" s="35"/>
      <c r="BJ56" s="35"/>
      <c r="BK56" s="35"/>
      <c r="BL56" s="35"/>
      <c r="BM56" s="35"/>
      <c r="BN56" s="35"/>
      <c r="BO56" s="35"/>
      <c r="BP56" s="35"/>
      <c r="BQ56" s="35"/>
      <c r="BR56" s="35"/>
      <c r="BS56" s="35"/>
      <c r="BT56" s="35"/>
      <c r="BU56" s="35"/>
      <c r="BV56" s="35"/>
      <c r="BW56" s="35"/>
      <c r="BX56" s="35"/>
      <c r="BY56" s="35"/>
      <c r="BZ56" s="35"/>
      <c r="CA56" s="35"/>
      <c r="CB56" s="35"/>
      <c r="CC56" s="35"/>
      <c r="CD56" s="35"/>
      <c r="CE56" s="35"/>
      <c r="CF56" s="35"/>
      <c r="CG56" s="35"/>
      <c r="CH56" s="35"/>
      <c r="CI56" s="35"/>
      <c r="CJ56" s="35"/>
      <c r="CK56" s="35"/>
      <c r="CL56" s="35"/>
      <c r="CM56" s="35"/>
      <c r="CN56" s="35"/>
      <c r="CO56" s="35"/>
      <c r="CP56" s="35"/>
      <c r="CQ56" s="35"/>
      <c r="CR56" s="35"/>
      <c r="CS56" s="35"/>
      <c r="CT56" s="35"/>
      <c r="CU56" s="35"/>
      <c r="CV56" s="35"/>
      <c r="CW56" s="35"/>
      <c r="CX56" s="35"/>
      <c r="CY56" s="35"/>
      <c r="CZ56" s="35"/>
      <c r="DA56" s="35"/>
      <c r="DB56" s="35"/>
      <c r="DC56" s="35"/>
      <c r="DD56" s="35"/>
      <c r="DE56" s="35"/>
      <c r="DF56" s="35"/>
      <c r="DG56" s="35"/>
      <c r="DH56" s="35"/>
      <c r="DI56" s="35"/>
      <c r="DJ56" s="35"/>
      <c r="DK56" s="35"/>
      <c r="DL56" s="35"/>
      <c r="DM56" s="35"/>
      <c r="DN56" s="35"/>
      <c r="DO56" s="35"/>
      <c r="DP56" s="35"/>
      <c r="DQ56" s="35"/>
      <c r="DR56" s="35"/>
      <c r="DS56" s="35"/>
      <c r="DT56" s="35"/>
      <c r="DU56" s="35"/>
      <c r="DV56" s="35"/>
      <c r="DW56" s="35"/>
      <c r="DX56" s="35"/>
      <c r="DY56" s="35"/>
      <c r="DZ56" s="35"/>
      <c r="EA56" s="35"/>
      <c r="EB56" s="35"/>
      <c r="EC56" s="35"/>
      <c r="ED56" s="35"/>
      <c r="EE56" s="35"/>
      <c r="EF56" s="35"/>
      <c r="EG56" s="35"/>
      <c r="EH56" s="35"/>
      <c r="EI56" s="35"/>
      <c r="EJ56" s="35"/>
      <c r="EK56" s="35"/>
      <c r="EL56" s="35"/>
      <c r="EM56" s="35"/>
      <c r="EN56" s="35"/>
      <c r="EO56" s="35"/>
      <c r="EP56" s="35"/>
      <c r="EQ56" s="35"/>
      <c r="ER56" s="35"/>
      <c r="ES56" s="35"/>
      <c r="ET56" s="35"/>
      <c r="EU56" s="35"/>
      <c r="EV56" s="35"/>
      <c r="EW56" s="35"/>
      <c r="EX56" s="35"/>
      <c r="EY56" s="35"/>
      <c r="EZ56" s="35"/>
      <c r="FA56" s="35"/>
      <c r="FB56" s="35"/>
      <c r="FC56" s="35"/>
      <c r="FD56" s="35"/>
      <c r="FE56" s="35"/>
      <c r="FF56" s="35"/>
      <c r="FG56" s="35"/>
      <c r="FH56" s="35"/>
      <c r="FI56" s="35"/>
      <c r="FJ56" s="35"/>
      <c r="FK56" s="35"/>
      <c r="FL56" s="35"/>
      <c r="FM56" s="35"/>
      <c r="FN56" s="35"/>
      <c r="FO56" s="35"/>
      <c r="FP56" s="35"/>
      <c r="FQ56" s="35"/>
      <c r="FR56" s="35"/>
      <c r="FS56" s="35"/>
      <c r="FT56" s="35"/>
      <c r="FU56" s="35"/>
      <c r="FV56" s="35"/>
      <c r="FW56" s="35"/>
      <c r="FX56" s="35"/>
      <c r="FY56" s="35"/>
      <c r="FZ56" s="35"/>
      <c r="GA56" s="35"/>
      <c r="GB56" s="35"/>
      <c r="GC56" s="35"/>
      <c r="GD56" s="35"/>
      <c r="GE56" s="35"/>
      <c r="GF56" s="35"/>
      <c r="GG56" s="35"/>
      <c r="GH56" s="35"/>
      <c r="GI56" s="35"/>
      <c r="GJ56" s="35"/>
      <c r="GK56" s="35"/>
      <c r="GL56" s="35"/>
      <c r="GM56" s="35"/>
      <c r="GN56" s="35"/>
      <c r="GO56" s="35"/>
      <c r="GP56" s="35"/>
      <c r="GQ56" s="35"/>
      <c r="GR56" s="35"/>
      <c r="GS56" s="35"/>
      <c r="GT56" s="35"/>
      <c r="GU56" s="35">
        <v>597.9</v>
      </c>
      <c r="GV56" s="35">
        <v>0</v>
      </c>
      <c r="GW56" s="35">
        <v>0</v>
      </c>
      <c r="GX56" s="35">
        <v>0</v>
      </c>
      <c r="GY56" s="35">
        <v>785.9</v>
      </c>
      <c r="GZ56" s="35">
        <v>187.9</v>
      </c>
      <c r="HA56" s="35">
        <v>9.1999999999999993</v>
      </c>
      <c r="HB56" s="35">
        <v>0.6</v>
      </c>
      <c r="HC56">
        <v>0</v>
      </c>
      <c r="HD56">
        <v>0</v>
      </c>
      <c r="HE56">
        <v>0</v>
      </c>
    </row>
    <row r="57" spans="1:213" x14ac:dyDescent="0.35">
      <c r="A57" s="35" t="s">
        <v>342</v>
      </c>
      <c r="B57" s="35"/>
      <c r="C57" s="35"/>
      <c r="D57" s="35"/>
      <c r="E57" s="35"/>
      <c r="F57" s="35"/>
      <c r="G57" s="35"/>
      <c r="H57" s="35"/>
      <c r="I57" s="35"/>
      <c r="J57" s="35"/>
      <c r="K57" s="35"/>
      <c r="L57" s="35"/>
      <c r="M57" s="35"/>
      <c r="N57" s="35"/>
      <c r="O57" s="35"/>
      <c r="P57" s="35"/>
      <c r="Q57" s="35"/>
      <c r="R57" s="35"/>
      <c r="S57" s="35"/>
      <c r="T57" s="35"/>
      <c r="U57" s="35"/>
      <c r="V57" s="35"/>
      <c r="W57" s="35"/>
      <c r="X57" s="35"/>
      <c r="Y57" s="35"/>
      <c r="Z57" s="35"/>
      <c r="AA57" s="35"/>
      <c r="AB57" s="35"/>
      <c r="AC57" s="35"/>
      <c r="AD57" s="35"/>
      <c r="AE57" s="35"/>
      <c r="AF57" s="35"/>
      <c r="AG57" s="35"/>
      <c r="AH57" s="35"/>
      <c r="AI57" s="35"/>
      <c r="AJ57" s="35"/>
      <c r="AK57" s="35"/>
      <c r="AL57" s="35"/>
      <c r="AM57" s="35"/>
      <c r="AN57" s="35"/>
      <c r="AO57" s="35"/>
      <c r="AP57" s="35"/>
      <c r="AQ57" s="35"/>
      <c r="AR57" s="35"/>
      <c r="AS57" s="35"/>
      <c r="AT57" s="35"/>
      <c r="AU57" s="35"/>
      <c r="AV57" s="35"/>
      <c r="AW57" s="35"/>
      <c r="AX57" s="35"/>
      <c r="AY57" s="35"/>
      <c r="AZ57" s="35"/>
      <c r="BA57" s="35"/>
      <c r="BB57" s="35"/>
      <c r="BC57" s="35"/>
      <c r="BD57" s="35"/>
      <c r="BE57" s="35"/>
      <c r="BF57" s="35"/>
      <c r="BG57" s="35"/>
      <c r="BH57" s="35"/>
      <c r="BI57" s="35"/>
      <c r="BJ57" s="35"/>
      <c r="BK57" s="35"/>
      <c r="BL57" s="35"/>
      <c r="BM57" s="35"/>
      <c r="BN57" s="35"/>
      <c r="BO57" s="35"/>
      <c r="BP57" s="35"/>
      <c r="BQ57" s="35"/>
      <c r="BR57" s="35"/>
      <c r="BS57" s="35"/>
      <c r="BT57" s="35"/>
      <c r="BU57" s="35"/>
      <c r="BV57" s="35"/>
      <c r="BW57" s="35"/>
      <c r="BX57" s="35"/>
      <c r="BY57" s="35"/>
      <c r="BZ57" s="35"/>
      <c r="CA57" s="35"/>
      <c r="CB57" s="35"/>
      <c r="CC57" s="35"/>
      <c r="CD57" s="35"/>
      <c r="CE57" s="35"/>
      <c r="CF57" s="35"/>
      <c r="CG57" s="35"/>
      <c r="CH57" s="35"/>
      <c r="CI57" s="35"/>
      <c r="CJ57" s="35"/>
      <c r="CK57" s="35"/>
      <c r="CL57" s="35"/>
      <c r="CM57" s="35"/>
      <c r="CN57" s="35"/>
      <c r="CO57" s="35"/>
      <c r="CP57" s="35"/>
      <c r="CQ57" s="35"/>
      <c r="CR57" s="35"/>
      <c r="CS57" s="35"/>
      <c r="CT57" s="35"/>
      <c r="CU57" s="35"/>
      <c r="CV57" s="35"/>
      <c r="CW57" s="35"/>
      <c r="CX57" s="35"/>
      <c r="CY57" s="35"/>
      <c r="CZ57" s="35"/>
      <c r="DA57" s="35"/>
      <c r="DB57" s="35"/>
      <c r="DC57" s="35"/>
      <c r="DD57" s="35"/>
      <c r="DE57" s="35"/>
      <c r="DF57" s="35"/>
      <c r="DG57" s="35"/>
      <c r="DH57" s="35"/>
      <c r="DI57" s="35"/>
      <c r="DJ57" s="35"/>
      <c r="DK57" s="35"/>
      <c r="DL57" s="35"/>
      <c r="DM57" s="35"/>
      <c r="DN57" s="35"/>
      <c r="DO57" s="35"/>
      <c r="DP57" s="35"/>
      <c r="DQ57" s="35"/>
      <c r="DR57" s="35"/>
      <c r="DS57" s="35"/>
      <c r="DT57" s="35"/>
      <c r="DU57" s="35"/>
      <c r="DV57" s="35"/>
      <c r="DW57" s="35"/>
      <c r="DX57" s="35"/>
      <c r="DY57" s="35"/>
      <c r="DZ57" s="35"/>
      <c r="EA57" s="35"/>
      <c r="EB57" s="35"/>
      <c r="EC57" s="35"/>
      <c r="ED57" s="35"/>
      <c r="EE57" s="35"/>
      <c r="EF57" s="35"/>
      <c r="EG57" s="35"/>
      <c r="EH57" s="35"/>
      <c r="EI57" s="35"/>
      <c r="EJ57" s="35"/>
      <c r="EK57" s="35"/>
      <c r="EL57" s="35"/>
      <c r="EM57" s="35"/>
      <c r="EN57" s="35"/>
      <c r="EO57" s="35"/>
      <c r="EP57" s="35"/>
      <c r="EQ57" s="35"/>
      <c r="ER57" s="35"/>
      <c r="ES57" s="35"/>
      <c r="ET57" s="35"/>
      <c r="EU57" s="35"/>
      <c r="EV57" s="35"/>
      <c r="EW57" s="35"/>
      <c r="EX57" s="35"/>
      <c r="EY57" s="35"/>
      <c r="EZ57" s="35"/>
      <c r="FA57" s="35"/>
      <c r="FB57" s="35"/>
      <c r="FC57" s="35"/>
      <c r="FD57" s="35"/>
      <c r="FE57" s="35"/>
      <c r="FF57" s="35"/>
      <c r="FG57" s="35"/>
      <c r="FH57" s="35"/>
      <c r="FI57" s="35"/>
      <c r="FJ57" s="35"/>
      <c r="FK57" s="35"/>
      <c r="FL57" s="35"/>
      <c r="FM57" s="35"/>
      <c r="FN57" s="35"/>
      <c r="FO57" s="35"/>
      <c r="FP57" s="35"/>
      <c r="FQ57" s="35"/>
      <c r="FR57" s="35"/>
      <c r="FS57" s="35"/>
      <c r="FT57" s="35"/>
      <c r="FU57" s="35"/>
      <c r="FV57" s="35"/>
      <c r="FW57" s="35"/>
      <c r="FX57" s="35"/>
      <c r="FY57" s="35"/>
      <c r="FZ57" s="35"/>
      <c r="GA57" s="35"/>
      <c r="GB57" s="35"/>
      <c r="GC57" s="35"/>
      <c r="GD57" s="35"/>
      <c r="GE57" s="35"/>
      <c r="GF57" s="35"/>
      <c r="GG57" s="35"/>
      <c r="GH57" s="35"/>
      <c r="GI57" s="35"/>
      <c r="GJ57" s="35"/>
      <c r="GK57" s="35"/>
      <c r="GL57" s="35"/>
      <c r="GM57" s="35"/>
      <c r="GN57" s="35"/>
      <c r="GO57" s="35"/>
      <c r="GP57" s="35"/>
      <c r="GQ57" s="35"/>
      <c r="GR57" s="35"/>
      <c r="GS57" s="35"/>
      <c r="GT57" s="35"/>
      <c r="GU57" s="35">
        <v>28.4</v>
      </c>
      <c r="GV57" s="35">
        <v>15.8</v>
      </c>
      <c r="GW57" s="35">
        <v>15.2</v>
      </c>
      <c r="GX57" s="35">
        <v>28.9</v>
      </c>
      <c r="GY57" s="35">
        <v>67.599999999999994</v>
      </c>
      <c r="GZ57" s="35">
        <v>80.7</v>
      </c>
      <c r="HA57" s="35">
        <v>87.2</v>
      </c>
      <c r="HB57" s="35">
        <v>72.400000000000006</v>
      </c>
      <c r="HC57">
        <v>85.9</v>
      </c>
      <c r="HD57">
        <v>68.3</v>
      </c>
      <c r="HE57">
        <v>64</v>
      </c>
    </row>
    <row r="58" spans="1:213" x14ac:dyDescent="0.35">
      <c r="A58" s="35" t="s">
        <v>2179</v>
      </c>
      <c r="B58" s="35"/>
      <c r="C58" s="35"/>
      <c r="D58" s="35"/>
      <c r="E58" s="35"/>
      <c r="F58" s="35"/>
      <c r="G58" s="35"/>
      <c r="H58" s="35"/>
      <c r="I58" s="35"/>
      <c r="J58" s="35"/>
      <c r="K58" s="35"/>
      <c r="L58" s="35"/>
      <c r="M58" s="35"/>
      <c r="N58" s="35"/>
      <c r="O58" s="35"/>
      <c r="P58" s="35"/>
      <c r="Q58" s="35"/>
      <c r="R58" s="35"/>
      <c r="S58" s="35"/>
      <c r="T58" s="35"/>
      <c r="U58" s="35"/>
      <c r="V58" s="35"/>
      <c r="W58" s="35"/>
      <c r="X58" s="35"/>
      <c r="Y58" s="35"/>
      <c r="Z58" s="35"/>
      <c r="AA58" s="35"/>
      <c r="AB58" s="35"/>
      <c r="AC58" s="35"/>
      <c r="AD58" s="35"/>
      <c r="AE58" s="35"/>
      <c r="AF58" s="35"/>
      <c r="AG58" s="35"/>
      <c r="AH58" s="35"/>
      <c r="AI58" s="35"/>
      <c r="AJ58" s="35"/>
      <c r="AK58" s="35"/>
      <c r="AL58" s="35"/>
      <c r="AM58" s="35"/>
      <c r="AN58" s="35"/>
      <c r="AO58" s="35"/>
      <c r="AP58" s="35"/>
      <c r="AQ58" s="35"/>
      <c r="AR58" s="35"/>
      <c r="AS58" s="35"/>
      <c r="AT58" s="35"/>
      <c r="AU58" s="35"/>
      <c r="AV58" s="35"/>
      <c r="AW58" s="35"/>
      <c r="AX58" s="35"/>
      <c r="AY58" s="35"/>
      <c r="AZ58" s="35"/>
      <c r="BA58" s="35"/>
      <c r="BB58" s="35"/>
      <c r="BC58" s="35"/>
      <c r="BD58" s="35"/>
      <c r="BE58" s="35"/>
      <c r="BF58" s="35"/>
      <c r="BG58" s="35"/>
      <c r="BH58" s="35"/>
      <c r="BI58" s="35"/>
      <c r="BJ58" s="35"/>
      <c r="BK58" s="35"/>
      <c r="BL58" s="35"/>
      <c r="BM58" s="35"/>
      <c r="BN58" s="35"/>
      <c r="BO58" s="35"/>
      <c r="BP58" s="35"/>
      <c r="BQ58" s="35"/>
      <c r="BR58" s="35"/>
      <c r="BS58" s="35"/>
      <c r="BT58" s="35"/>
      <c r="BU58" s="35"/>
      <c r="BV58" s="35"/>
      <c r="BW58" s="35"/>
      <c r="BX58" s="35"/>
      <c r="BY58" s="35"/>
      <c r="BZ58" s="35"/>
      <c r="CA58" s="35"/>
      <c r="CB58" s="35"/>
      <c r="CC58" s="35"/>
      <c r="CD58" s="35"/>
      <c r="CE58" s="35"/>
      <c r="CF58" s="35"/>
      <c r="CG58" s="35"/>
      <c r="CH58" s="35"/>
      <c r="CI58" s="35"/>
      <c r="CJ58" s="35"/>
      <c r="CK58" s="35"/>
      <c r="CL58" s="35"/>
      <c r="CM58" s="35"/>
      <c r="CN58" s="35"/>
      <c r="CO58" s="35"/>
      <c r="CP58" s="35"/>
      <c r="CQ58" s="35"/>
      <c r="CR58" s="35"/>
      <c r="CS58" s="35"/>
      <c r="CT58" s="35"/>
      <c r="CU58" s="35"/>
      <c r="CV58" s="35"/>
      <c r="CW58" s="35"/>
      <c r="CX58" s="35"/>
      <c r="CY58" s="35"/>
      <c r="CZ58" s="35"/>
      <c r="DA58" s="35"/>
      <c r="DB58" s="35"/>
      <c r="DC58" s="35"/>
      <c r="DD58" s="35"/>
      <c r="DE58" s="35"/>
      <c r="DF58" s="35"/>
      <c r="DG58" s="35"/>
      <c r="DH58" s="35"/>
      <c r="DI58" s="35"/>
      <c r="DJ58" s="35"/>
      <c r="DK58" s="35"/>
      <c r="DL58" s="35"/>
      <c r="DM58" s="35"/>
      <c r="DN58" s="35"/>
      <c r="DO58" s="35"/>
      <c r="DP58" s="35"/>
      <c r="DQ58" s="35"/>
      <c r="DR58" s="35"/>
      <c r="DS58" s="35"/>
      <c r="DT58" s="35"/>
      <c r="DU58" s="35"/>
      <c r="DV58" s="35"/>
      <c r="DW58" s="35"/>
      <c r="DX58" s="35"/>
      <c r="DY58" s="35"/>
      <c r="DZ58" s="35"/>
      <c r="EA58" s="35"/>
      <c r="EB58" s="35"/>
      <c r="EC58" s="35"/>
      <c r="ED58" s="35"/>
      <c r="EE58" s="35"/>
      <c r="EF58" s="35"/>
      <c r="EG58" s="35"/>
      <c r="EH58" s="35"/>
      <c r="EI58" s="35"/>
      <c r="EJ58" s="35"/>
      <c r="EK58" s="35"/>
      <c r="EL58" s="35"/>
      <c r="EM58" s="35"/>
      <c r="EN58" s="35"/>
      <c r="EO58" s="35"/>
      <c r="EP58" s="35"/>
      <c r="EQ58" s="35"/>
      <c r="ER58" s="35"/>
      <c r="ES58" s="35"/>
      <c r="ET58" s="35"/>
      <c r="EU58" s="35"/>
      <c r="EV58" s="35"/>
      <c r="EW58" s="35"/>
      <c r="EX58" s="35"/>
      <c r="EY58" s="35"/>
      <c r="EZ58" s="35"/>
      <c r="FA58" s="35"/>
      <c r="FB58" s="35"/>
      <c r="FC58" s="35"/>
      <c r="FD58" s="35"/>
      <c r="FE58" s="35"/>
      <c r="FF58" s="35"/>
      <c r="FG58" s="35"/>
      <c r="FH58" s="35"/>
      <c r="FI58" s="35"/>
      <c r="FJ58" s="35"/>
      <c r="FK58" s="35"/>
      <c r="FL58" s="35"/>
      <c r="FM58" s="35"/>
      <c r="FN58" s="35"/>
      <c r="FO58" s="35"/>
      <c r="FP58" s="35"/>
      <c r="FQ58" s="35"/>
      <c r="FR58" s="35"/>
      <c r="FS58" s="35"/>
      <c r="FT58" s="35"/>
      <c r="FU58" s="35"/>
      <c r="FV58" s="35"/>
      <c r="FW58" s="35"/>
      <c r="FX58" s="35"/>
      <c r="FY58" s="35"/>
      <c r="FZ58" s="35"/>
      <c r="GA58" s="35"/>
      <c r="GB58" s="35"/>
      <c r="GC58" s="35"/>
      <c r="GD58" s="35"/>
      <c r="GE58" s="35"/>
      <c r="GF58" s="35"/>
      <c r="GG58" s="35"/>
      <c r="GH58" s="35"/>
      <c r="GI58" s="35"/>
      <c r="GJ58" s="35"/>
      <c r="GK58" s="35"/>
      <c r="GL58" s="35"/>
      <c r="GM58" s="35"/>
      <c r="GN58" s="35"/>
      <c r="GO58" s="35"/>
      <c r="GP58" s="35"/>
      <c r="GQ58" s="35"/>
      <c r="GR58" s="35"/>
      <c r="GS58" s="35"/>
      <c r="GT58" s="35"/>
      <c r="GU58" s="35">
        <v>64.400000000000006</v>
      </c>
      <c r="GV58" s="35">
        <v>23.4</v>
      </c>
      <c r="GW58" s="35">
        <v>13.8</v>
      </c>
      <c r="GX58" s="35">
        <v>12</v>
      </c>
      <c r="GY58" s="35">
        <v>7.5</v>
      </c>
      <c r="GZ58" s="35">
        <v>10.5</v>
      </c>
      <c r="HA58" s="35">
        <v>18</v>
      </c>
      <c r="HB58" s="35">
        <v>15</v>
      </c>
      <c r="HC58">
        <v>11.2</v>
      </c>
      <c r="HD58">
        <v>7.5</v>
      </c>
      <c r="HE58">
        <v>6.2</v>
      </c>
    </row>
    <row r="59" spans="1:213" x14ac:dyDescent="0.35">
      <c r="A59" s="35" t="s">
        <v>2180</v>
      </c>
      <c r="B59" s="35"/>
      <c r="C59" s="35"/>
      <c r="D59" s="35"/>
      <c r="E59" s="35"/>
      <c r="F59" s="35"/>
      <c r="G59" s="35"/>
      <c r="H59" s="35"/>
      <c r="I59" s="35"/>
      <c r="J59" s="35"/>
      <c r="K59" s="35"/>
      <c r="L59" s="35"/>
      <c r="M59" s="35"/>
      <c r="N59" s="35"/>
      <c r="O59" s="35"/>
      <c r="P59" s="35"/>
      <c r="Q59" s="35"/>
      <c r="R59" s="35"/>
      <c r="S59" s="35"/>
      <c r="T59" s="35"/>
      <c r="U59" s="35"/>
      <c r="V59" s="35"/>
      <c r="W59" s="35"/>
      <c r="X59" s="35"/>
      <c r="Y59" s="35"/>
      <c r="Z59" s="35"/>
      <c r="AA59" s="35"/>
      <c r="AB59" s="35"/>
      <c r="AC59" s="35"/>
      <c r="AD59" s="35"/>
      <c r="AE59" s="35"/>
      <c r="AF59" s="35"/>
      <c r="AG59" s="35"/>
      <c r="AH59" s="35"/>
      <c r="AI59" s="35"/>
      <c r="AJ59" s="35"/>
      <c r="AK59" s="35"/>
      <c r="AL59" s="35"/>
      <c r="AM59" s="35"/>
      <c r="AN59" s="35"/>
      <c r="AO59" s="35"/>
      <c r="AP59" s="35"/>
      <c r="AQ59" s="35"/>
      <c r="AR59" s="35"/>
      <c r="AS59" s="35"/>
      <c r="AT59" s="35"/>
      <c r="AU59" s="35"/>
      <c r="AV59" s="35"/>
      <c r="AW59" s="35"/>
      <c r="AX59" s="35"/>
      <c r="AY59" s="35"/>
      <c r="AZ59" s="35"/>
      <c r="BA59" s="35"/>
      <c r="BB59" s="35"/>
      <c r="BC59" s="35"/>
      <c r="BD59" s="35"/>
      <c r="BE59" s="35"/>
      <c r="BF59" s="35"/>
      <c r="BG59" s="35"/>
      <c r="BH59" s="35"/>
      <c r="BI59" s="35"/>
      <c r="BJ59" s="35"/>
      <c r="BK59" s="35"/>
      <c r="BL59" s="35"/>
      <c r="BM59" s="35"/>
      <c r="BN59" s="35"/>
      <c r="BO59" s="35"/>
      <c r="BP59" s="35"/>
      <c r="BQ59" s="35"/>
      <c r="BR59" s="35"/>
      <c r="BS59" s="35"/>
      <c r="BT59" s="35"/>
      <c r="BU59" s="35"/>
      <c r="BV59" s="35"/>
      <c r="BW59" s="35"/>
      <c r="BX59" s="35"/>
      <c r="BY59" s="35"/>
      <c r="BZ59" s="35"/>
      <c r="CA59" s="35"/>
      <c r="CB59" s="35"/>
      <c r="CC59" s="35"/>
      <c r="CD59" s="35"/>
      <c r="CE59" s="35"/>
      <c r="CF59" s="35"/>
      <c r="CG59" s="35"/>
      <c r="CH59" s="35"/>
      <c r="CI59" s="35"/>
      <c r="CJ59" s="35"/>
      <c r="CK59" s="35"/>
      <c r="CL59" s="35"/>
      <c r="CM59" s="35"/>
      <c r="CN59" s="35"/>
      <c r="CO59" s="35"/>
      <c r="CP59" s="35"/>
      <c r="CQ59" s="35"/>
      <c r="CR59" s="35"/>
      <c r="CS59" s="35"/>
      <c r="CT59" s="35"/>
      <c r="CU59" s="35"/>
      <c r="CV59" s="35"/>
      <c r="CW59" s="35"/>
      <c r="CX59" s="35"/>
      <c r="CY59" s="35"/>
      <c r="CZ59" s="35"/>
      <c r="DA59" s="35"/>
      <c r="DB59" s="35"/>
      <c r="DC59" s="35"/>
      <c r="DD59" s="35"/>
      <c r="DE59" s="35"/>
      <c r="DF59" s="35"/>
      <c r="DG59" s="35"/>
      <c r="DH59" s="35"/>
      <c r="DI59" s="35"/>
      <c r="DJ59" s="35"/>
      <c r="DK59" s="35"/>
      <c r="DL59" s="35"/>
      <c r="DM59" s="35"/>
      <c r="DN59" s="35"/>
      <c r="DO59" s="35"/>
      <c r="DP59" s="35"/>
      <c r="DQ59" s="35"/>
      <c r="DR59" s="35"/>
      <c r="DS59" s="35"/>
      <c r="DT59" s="35"/>
      <c r="DU59" s="35"/>
      <c r="DV59" s="35"/>
      <c r="DW59" s="35"/>
      <c r="DX59" s="35"/>
      <c r="DY59" s="35"/>
      <c r="DZ59" s="35"/>
      <c r="EA59" s="35"/>
      <c r="EB59" s="35"/>
      <c r="EC59" s="35"/>
      <c r="ED59" s="35"/>
      <c r="EE59" s="35"/>
      <c r="EF59" s="35"/>
      <c r="EG59" s="35"/>
      <c r="EH59" s="35"/>
      <c r="EI59" s="35"/>
      <c r="EJ59" s="35"/>
      <c r="EK59" s="35"/>
      <c r="EL59" s="35"/>
      <c r="EM59" s="35"/>
      <c r="EN59" s="35"/>
      <c r="EO59" s="35"/>
      <c r="EP59" s="35"/>
      <c r="EQ59" s="35"/>
      <c r="ER59" s="35"/>
      <c r="ES59" s="35"/>
      <c r="ET59" s="35"/>
      <c r="EU59" s="35"/>
      <c r="EV59" s="35"/>
      <c r="EW59" s="35"/>
      <c r="EX59" s="35"/>
      <c r="EY59" s="35"/>
      <c r="EZ59" s="35"/>
      <c r="FA59" s="35"/>
      <c r="FB59" s="35"/>
      <c r="FC59" s="35"/>
      <c r="FD59" s="35"/>
      <c r="FE59" s="35"/>
      <c r="FF59" s="35"/>
      <c r="FG59" s="35"/>
      <c r="FH59" s="35"/>
      <c r="FI59" s="35"/>
      <c r="FJ59" s="35"/>
      <c r="FK59" s="35"/>
      <c r="FL59" s="35"/>
      <c r="FM59" s="35"/>
      <c r="FN59" s="35"/>
      <c r="FO59" s="35"/>
      <c r="FP59" s="35"/>
      <c r="FQ59" s="35"/>
      <c r="FR59" s="35"/>
      <c r="FS59" s="35"/>
      <c r="FT59" s="35"/>
      <c r="FU59" s="35"/>
      <c r="FV59" s="35"/>
      <c r="FW59" s="35"/>
      <c r="FX59" s="35"/>
      <c r="FY59" s="35"/>
      <c r="FZ59" s="35"/>
      <c r="GA59" s="35"/>
      <c r="GB59" s="35"/>
      <c r="GC59" s="35"/>
      <c r="GD59" s="35"/>
      <c r="GE59" s="35"/>
      <c r="GF59" s="35"/>
      <c r="GG59" s="35"/>
      <c r="GH59" s="35"/>
      <c r="GI59" s="35"/>
      <c r="GJ59" s="35"/>
      <c r="GK59" s="35"/>
      <c r="GL59" s="35"/>
      <c r="GM59" s="35"/>
      <c r="GN59" s="35"/>
      <c r="GO59" s="35"/>
      <c r="GP59" s="35"/>
      <c r="GQ59" s="35"/>
      <c r="GR59" s="35"/>
      <c r="GS59" s="35"/>
      <c r="GT59" s="35"/>
      <c r="GU59" s="35">
        <v>6.3</v>
      </c>
      <c r="GV59" s="35">
        <v>26.7</v>
      </c>
      <c r="GW59" s="35">
        <v>82.1</v>
      </c>
      <c r="GX59" s="35">
        <v>94.7</v>
      </c>
      <c r="GY59" s="35">
        <v>92.1</v>
      </c>
      <c r="GZ59" s="35">
        <v>51.6</v>
      </c>
      <c r="HA59" s="35">
        <v>2.8</v>
      </c>
      <c r="HB59" s="35">
        <v>0.8</v>
      </c>
      <c r="HC59">
        <v>0.5</v>
      </c>
      <c r="HD59">
        <v>0.3</v>
      </c>
      <c r="HE59">
        <v>0.2</v>
      </c>
    </row>
    <row r="60" spans="1:213" x14ac:dyDescent="0.35">
      <c r="A60" s="35" t="s">
        <v>2181</v>
      </c>
      <c r="B60" s="35"/>
      <c r="C60" s="35"/>
      <c r="D60" s="35"/>
      <c r="E60" s="35"/>
      <c r="F60" s="35"/>
      <c r="G60" s="35"/>
      <c r="H60" s="35"/>
      <c r="I60" s="35"/>
      <c r="J60" s="35"/>
      <c r="K60" s="35"/>
      <c r="L60" s="35"/>
      <c r="M60" s="35"/>
      <c r="N60" s="35"/>
      <c r="O60" s="35"/>
      <c r="P60" s="35"/>
      <c r="Q60" s="35"/>
      <c r="R60" s="35"/>
      <c r="S60" s="35"/>
      <c r="T60" s="35"/>
      <c r="U60" s="35"/>
      <c r="V60" s="35"/>
      <c r="W60" s="35"/>
      <c r="X60" s="35"/>
      <c r="Y60" s="35"/>
      <c r="Z60" s="35"/>
      <c r="AA60" s="35"/>
      <c r="AB60" s="35"/>
      <c r="AC60" s="35"/>
      <c r="AD60" s="35"/>
      <c r="AE60" s="35"/>
      <c r="AF60" s="35"/>
      <c r="AG60" s="35"/>
      <c r="AH60" s="35"/>
      <c r="AI60" s="35"/>
      <c r="AJ60" s="35"/>
      <c r="AK60" s="35"/>
      <c r="AL60" s="35"/>
      <c r="AM60" s="35"/>
      <c r="AN60" s="35"/>
      <c r="AO60" s="35"/>
      <c r="AP60" s="35"/>
      <c r="AQ60" s="35"/>
      <c r="AR60" s="35"/>
      <c r="AS60" s="35"/>
      <c r="AT60" s="35"/>
      <c r="AU60" s="35"/>
      <c r="AV60" s="35"/>
      <c r="AW60" s="35"/>
      <c r="AX60" s="35"/>
      <c r="AY60" s="35"/>
      <c r="AZ60" s="35"/>
      <c r="BA60" s="35"/>
      <c r="BB60" s="35"/>
      <c r="BC60" s="35"/>
      <c r="BD60" s="35"/>
      <c r="BE60" s="35"/>
      <c r="BF60" s="35"/>
      <c r="BG60" s="35"/>
      <c r="BH60" s="35"/>
      <c r="BI60" s="35"/>
      <c r="BJ60" s="35"/>
      <c r="BK60" s="35"/>
      <c r="BL60" s="35"/>
      <c r="BM60" s="35"/>
      <c r="BN60" s="35"/>
      <c r="BO60" s="35"/>
      <c r="BP60" s="35"/>
      <c r="BQ60" s="35"/>
      <c r="BR60" s="35"/>
      <c r="BS60" s="35"/>
      <c r="BT60" s="35"/>
      <c r="BU60" s="35"/>
      <c r="BV60" s="35"/>
      <c r="BW60" s="35"/>
      <c r="BX60" s="35"/>
      <c r="BY60" s="35"/>
      <c r="BZ60" s="35"/>
      <c r="CA60" s="35"/>
      <c r="CB60" s="35"/>
      <c r="CC60" s="35"/>
      <c r="CD60" s="35"/>
      <c r="CE60" s="35"/>
      <c r="CF60" s="35"/>
      <c r="CG60" s="35"/>
      <c r="CH60" s="35"/>
      <c r="CI60" s="35"/>
      <c r="CJ60" s="35"/>
      <c r="CK60" s="35"/>
      <c r="CL60" s="35"/>
      <c r="CM60" s="35"/>
      <c r="CN60" s="35"/>
      <c r="CO60" s="35"/>
      <c r="CP60" s="35"/>
      <c r="CQ60" s="35"/>
      <c r="CR60" s="35"/>
      <c r="CS60" s="35"/>
      <c r="CT60" s="35"/>
      <c r="CU60" s="35"/>
      <c r="CV60" s="35"/>
      <c r="CW60" s="35"/>
      <c r="CX60" s="35"/>
      <c r="CY60" s="35"/>
      <c r="CZ60" s="35"/>
      <c r="DA60" s="35"/>
      <c r="DB60" s="35"/>
      <c r="DC60" s="35"/>
      <c r="DD60" s="35"/>
      <c r="DE60" s="35"/>
      <c r="DF60" s="35"/>
      <c r="DG60" s="35"/>
      <c r="DH60" s="35"/>
      <c r="DI60" s="35"/>
      <c r="DJ60" s="35"/>
      <c r="DK60" s="35"/>
      <c r="DL60" s="35"/>
      <c r="DM60" s="35"/>
      <c r="DN60" s="35"/>
      <c r="DO60" s="35"/>
      <c r="DP60" s="35"/>
      <c r="DQ60" s="35"/>
      <c r="DR60" s="35"/>
      <c r="DS60" s="35"/>
      <c r="DT60" s="35"/>
      <c r="DU60" s="35"/>
      <c r="DV60" s="35"/>
      <c r="DW60" s="35"/>
      <c r="DX60" s="35"/>
      <c r="DY60" s="35"/>
      <c r="DZ60" s="35"/>
      <c r="EA60" s="35"/>
      <c r="EB60" s="35"/>
      <c r="EC60" s="35"/>
      <c r="ED60" s="35"/>
      <c r="EE60" s="35"/>
      <c r="EF60" s="35"/>
      <c r="EG60" s="35"/>
      <c r="EH60" s="35"/>
      <c r="EI60" s="35"/>
      <c r="EJ60" s="35"/>
      <c r="EK60" s="35"/>
      <c r="EL60" s="35"/>
      <c r="EM60" s="35"/>
      <c r="EN60" s="35"/>
      <c r="EO60" s="35"/>
      <c r="EP60" s="35"/>
      <c r="EQ60" s="35"/>
      <c r="ER60" s="35"/>
      <c r="ES60" s="35"/>
      <c r="ET60" s="35"/>
      <c r="EU60" s="35"/>
      <c r="EV60" s="35"/>
      <c r="EW60" s="35"/>
      <c r="EX60" s="35"/>
      <c r="EY60" s="35"/>
      <c r="EZ60" s="35"/>
      <c r="FA60" s="35"/>
      <c r="FB60" s="35"/>
      <c r="FC60" s="35"/>
      <c r="FD60" s="35"/>
      <c r="FE60" s="35"/>
      <c r="FF60" s="35"/>
      <c r="FG60" s="35"/>
      <c r="FH60" s="35"/>
      <c r="FI60" s="35"/>
      <c r="FJ60" s="35"/>
      <c r="FK60" s="35"/>
      <c r="FL60" s="35"/>
      <c r="FM60" s="35"/>
      <c r="FN60" s="35"/>
      <c r="FO60" s="35"/>
      <c r="FP60" s="35"/>
      <c r="FQ60" s="35"/>
      <c r="FR60" s="35"/>
      <c r="FS60" s="35"/>
      <c r="FT60" s="35"/>
      <c r="FU60" s="35"/>
      <c r="FV60" s="35"/>
      <c r="FW60" s="35"/>
      <c r="FX60" s="35"/>
      <c r="FY60" s="35"/>
      <c r="FZ60" s="35"/>
      <c r="GA60" s="35"/>
      <c r="GB60" s="35"/>
      <c r="GC60" s="35"/>
      <c r="GD60" s="35"/>
      <c r="GE60" s="35"/>
      <c r="GF60" s="35"/>
      <c r="GG60" s="35"/>
      <c r="GH60" s="35"/>
      <c r="GI60" s="35"/>
      <c r="GJ60" s="35"/>
      <c r="GK60" s="35"/>
      <c r="GL60" s="35"/>
      <c r="GM60" s="35"/>
      <c r="GN60" s="35"/>
      <c r="GO60" s="35"/>
      <c r="GP60" s="35"/>
      <c r="GQ60" s="35"/>
      <c r="GR60" s="35"/>
      <c r="GS60" s="35"/>
      <c r="GT60" s="35"/>
      <c r="GU60" s="35">
        <v>74.400000000000006</v>
      </c>
      <c r="GV60" s="35">
        <v>138.30000000000001</v>
      </c>
      <c r="GW60" s="35">
        <v>106.8</v>
      </c>
      <c r="GX60" s="35">
        <v>89.2</v>
      </c>
      <c r="GY60" s="35">
        <v>72.3</v>
      </c>
      <c r="GZ60" s="35">
        <v>43.5</v>
      </c>
      <c r="HA60" s="35">
        <v>2.1</v>
      </c>
      <c r="HB60" s="35">
        <v>0.8</v>
      </c>
      <c r="HC60">
        <v>0.4</v>
      </c>
      <c r="HD60">
        <v>0.2</v>
      </c>
      <c r="HE60">
        <v>0.1</v>
      </c>
    </row>
    <row r="61" spans="1:213" x14ac:dyDescent="0.35">
      <c r="A61" s="35" t="s">
        <v>2182</v>
      </c>
      <c r="B61" s="35"/>
      <c r="C61" s="35"/>
      <c r="D61" s="35"/>
      <c r="E61" s="35"/>
      <c r="F61" s="35"/>
      <c r="G61" s="35"/>
      <c r="H61" s="35"/>
      <c r="I61" s="35"/>
      <c r="J61" s="35"/>
      <c r="K61" s="35"/>
      <c r="L61" s="35"/>
      <c r="M61" s="35"/>
      <c r="N61" s="35"/>
      <c r="O61" s="35"/>
      <c r="P61" s="35"/>
      <c r="Q61" s="35"/>
      <c r="R61" s="35"/>
      <c r="S61" s="35"/>
      <c r="T61" s="35"/>
      <c r="U61" s="35"/>
      <c r="V61" s="35"/>
      <c r="W61" s="35"/>
      <c r="X61" s="35"/>
      <c r="Y61" s="35"/>
      <c r="Z61" s="35"/>
      <c r="AA61" s="35"/>
      <c r="AB61" s="35"/>
      <c r="AC61" s="35"/>
      <c r="AD61" s="35"/>
      <c r="AE61" s="35"/>
      <c r="AF61" s="35"/>
      <c r="AG61" s="35"/>
      <c r="AH61" s="35"/>
      <c r="AI61" s="35"/>
      <c r="AJ61" s="35"/>
      <c r="AK61" s="35"/>
      <c r="AL61" s="35"/>
      <c r="AM61" s="35"/>
      <c r="AN61" s="35"/>
      <c r="AO61" s="35"/>
      <c r="AP61" s="35"/>
      <c r="AQ61" s="35"/>
      <c r="AR61" s="35"/>
      <c r="AS61" s="35"/>
      <c r="AT61" s="35"/>
      <c r="AU61" s="35"/>
      <c r="AV61" s="35"/>
      <c r="AW61" s="35"/>
      <c r="AX61" s="35"/>
      <c r="AY61" s="35"/>
      <c r="AZ61" s="35"/>
      <c r="BA61" s="35"/>
      <c r="BB61" s="35"/>
      <c r="BC61" s="35"/>
      <c r="BD61" s="35"/>
      <c r="BE61" s="35"/>
      <c r="BF61" s="35"/>
      <c r="BG61" s="35"/>
      <c r="BH61" s="35"/>
      <c r="BI61" s="35"/>
      <c r="BJ61" s="35"/>
      <c r="BK61" s="35"/>
      <c r="BL61" s="35"/>
      <c r="BM61" s="35"/>
      <c r="BN61" s="35"/>
      <c r="BO61" s="35"/>
      <c r="BP61" s="35"/>
      <c r="BQ61" s="35"/>
      <c r="BR61" s="35"/>
      <c r="BS61" s="35"/>
      <c r="BT61" s="35"/>
      <c r="BU61" s="35"/>
      <c r="BV61" s="35"/>
      <c r="BW61" s="35"/>
      <c r="BX61" s="35"/>
      <c r="BY61" s="35"/>
      <c r="BZ61" s="35"/>
      <c r="CA61" s="35"/>
      <c r="CB61" s="35"/>
      <c r="CC61" s="35"/>
      <c r="CD61" s="35"/>
      <c r="CE61" s="35"/>
      <c r="CF61" s="35"/>
      <c r="CG61" s="35"/>
      <c r="CH61" s="35"/>
      <c r="CI61" s="35"/>
      <c r="CJ61" s="35"/>
      <c r="CK61" s="35"/>
      <c r="CL61" s="35"/>
      <c r="CM61" s="35"/>
      <c r="CN61" s="35"/>
      <c r="CO61" s="35"/>
      <c r="CP61" s="35"/>
      <c r="CQ61" s="35"/>
      <c r="CR61" s="35"/>
      <c r="CS61" s="35"/>
      <c r="CT61" s="35"/>
      <c r="CU61" s="35"/>
      <c r="CV61" s="35"/>
      <c r="CW61" s="35"/>
      <c r="CX61" s="35"/>
      <c r="CY61" s="35"/>
      <c r="CZ61" s="35"/>
      <c r="DA61" s="35"/>
      <c r="DB61" s="35"/>
      <c r="DC61" s="35"/>
      <c r="DD61" s="35"/>
      <c r="DE61" s="35"/>
      <c r="DF61" s="35"/>
      <c r="DG61" s="35"/>
      <c r="DH61" s="35"/>
      <c r="DI61" s="35"/>
      <c r="DJ61" s="35"/>
      <c r="DK61" s="35"/>
      <c r="DL61" s="35"/>
      <c r="DM61" s="35"/>
      <c r="DN61" s="35"/>
      <c r="DO61" s="35"/>
      <c r="DP61" s="35"/>
      <c r="DQ61" s="35"/>
      <c r="DR61" s="35"/>
      <c r="DS61" s="35"/>
      <c r="DT61" s="35"/>
      <c r="DU61" s="35"/>
      <c r="DV61" s="35"/>
      <c r="DW61" s="35"/>
      <c r="DX61" s="35"/>
      <c r="DY61" s="35"/>
      <c r="DZ61" s="35"/>
      <c r="EA61" s="35"/>
      <c r="EB61" s="35"/>
      <c r="EC61" s="35"/>
      <c r="ED61" s="35"/>
      <c r="EE61" s="35"/>
      <c r="EF61" s="35"/>
      <c r="EG61" s="35"/>
      <c r="EH61" s="35"/>
      <c r="EI61" s="35"/>
      <c r="EJ61" s="35"/>
      <c r="EK61" s="35"/>
      <c r="EL61" s="35"/>
      <c r="EM61" s="35"/>
      <c r="EN61" s="35"/>
      <c r="EO61" s="35"/>
      <c r="EP61" s="35"/>
      <c r="EQ61" s="35"/>
      <c r="ER61" s="35"/>
      <c r="ES61" s="35"/>
      <c r="ET61" s="35"/>
      <c r="EU61" s="35"/>
      <c r="EV61" s="35"/>
      <c r="EW61" s="35"/>
      <c r="EX61" s="35"/>
      <c r="EY61" s="35"/>
      <c r="EZ61" s="35"/>
      <c r="FA61" s="35"/>
      <c r="FB61" s="35"/>
      <c r="FC61" s="35"/>
      <c r="FD61" s="35"/>
      <c r="FE61" s="35"/>
      <c r="FF61" s="35"/>
      <c r="FG61" s="35"/>
      <c r="FH61" s="35"/>
      <c r="FI61" s="35"/>
      <c r="FJ61" s="35"/>
      <c r="FK61" s="35"/>
      <c r="FL61" s="35"/>
      <c r="FM61" s="35"/>
      <c r="FN61" s="35"/>
      <c r="FO61" s="35"/>
      <c r="FP61" s="35"/>
      <c r="FQ61" s="35"/>
      <c r="FR61" s="35"/>
      <c r="FS61" s="35"/>
      <c r="FT61" s="35"/>
      <c r="FU61" s="35"/>
      <c r="FV61" s="35"/>
      <c r="FW61" s="35"/>
      <c r="FX61" s="35"/>
      <c r="FY61" s="35"/>
      <c r="FZ61" s="35"/>
      <c r="GA61" s="35"/>
      <c r="GB61" s="35"/>
      <c r="GC61" s="35"/>
      <c r="GD61" s="35"/>
      <c r="GE61" s="35"/>
      <c r="GF61" s="35"/>
      <c r="GG61" s="35"/>
      <c r="GH61" s="35"/>
      <c r="GI61" s="35"/>
      <c r="GJ61" s="35"/>
      <c r="GK61" s="35"/>
      <c r="GL61" s="35"/>
      <c r="GM61" s="35"/>
      <c r="GN61" s="35"/>
      <c r="GO61" s="35"/>
      <c r="GP61" s="35"/>
      <c r="GQ61" s="35"/>
      <c r="GR61" s="35"/>
      <c r="GS61" s="35"/>
      <c r="GT61" s="35"/>
      <c r="GU61" s="35">
        <v>698.9</v>
      </c>
      <c r="GV61" s="35">
        <v>413.9</v>
      </c>
      <c r="GW61" s="35">
        <v>14.7</v>
      </c>
      <c r="GX61" s="35">
        <v>288.2</v>
      </c>
      <c r="GY61" s="35">
        <v>233.3</v>
      </c>
      <c r="GZ61" s="35">
        <v>110.5</v>
      </c>
      <c r="HA61" s="35">
        <v>0</v>
      </c>
      <c r="HB61" s="35">
        <v>0</v>
      </c>
      <c r="HC61">
        <v>0</v>
      </c>
      <c r="HD61">
        <v>0</v>
      </c>
      <c r="HE61">
        <v>0</v>
      </c>
    </row>
    <row r="62" spans="1:213" x14ac:dyDescent="0.35">
      <c r="A62" s="35" t="s">
        <v>2183</v>
      </c>
      <c r="B62" s="35"/>
      <c r="C62" s="35"/>
      <c r="D62" s="35"/>
      <c r="E62" s="35"/>
      <c r="F62" s="35"/>
      <c r="G62" s="35"/>
      <c r="H62" s="35"/>
      <c r="I62" s="35"/>
      <c r="J62" s="35"/>
      <c r="K62" s="35"/>
      <c r="L62" s="35"/>
      <c r="M62" s="35"/>
      <c r="N62" s="35"/>
      <c r="O62" s="35"/>
      <c r="P62" s="35"/>
      <c r="Q62" s="35"/>
      <c r="R62" s="35"/>
      <c r="S62" s="35"/>
      <c r="T62" s="35"/>
      <c r="U62" s="35"/>
      <c r="V62" s="35"/>
      <c r="W62" s="35"/>
      <c r="X62" s="35"/>
      <c r="Y62" s="35"/>
      <c r="Z62" s="35"/>
      <c r="AA62" s="35"/>
      <c r="AB62" s="35"/>
      <c r="AC62" s="35"/>
      <c r="AD62" s="35"/>
      <c r="AE62" s="35"/>
      <c r="AF62" s="35"/>
      <c r="AG62" s="35"/>
      <c r="AH62" s="35"/>
      <c r="AI62" s="35"/>
      <c r="AJ62" s="35"/>
      <c r="AK62" s="35"/>
      <c r="AL62" s="35"/>
      <c r="AM62" s="35"/>
      <c r="AN62" s="35"/>
      <c r="AO62" s="35"/>
      <c r="AP62" s="35"/>
      <c r="AQ62" s="35"/>
      <c r="AR62" s="35"/>
      <c r="AS62" s="35"/>
      <c r="AT62" s="35"/>
      <c r="AU62" s="35"/>
      <c r="AV62" s="35"/>
      <c r="AW62" s="35"/>
      <c r="AX62" s="35"/>
      <c r="AY62" s="35"/>
      <c r="AZ62" s="35"/>
      <c r="BA62" s="35"/>
      <c r="BB62" s="35"/>
      <c r="BC62" s="35"/>
      <c r="BD62" s="35"/>
      <c r="BE62" s="35"/>
      <c r="BF62" s="35"/>
      <c r="BG62" s="35"/>
      <c r="BH62" s="35"/>
      <c r="BI62" s="35"/>
      <c r="BJ62" s="35"/>
      <c r="BK62" s="35"/>
      <c r="BL62" s="35"/>
      <c r="BM62" s="35"/>
      <c r="BN62" s="35"/>
      <c r="BO62" s="35"/>
      <c r="BP62" s="35"/>
      <c r="BQ62" s="35"/>
      <c r="BR62" s="35"/>
      <c r="BS62" s="35"/>
      <c r="BT62" s="35"/>
      <c r="BU62" s="35"/>
      <c r="BV62" s="35"/>
      <c r="BW62" s="35"/>
      <c r="BX62" s="35"/>
      <c r="BY62" s="35"/>
      <c r="BZ62" s="35"/>
      <c r="CA62" s="35"/>
      <c r="CB62" s="35"/>
      <c r="CC62" s="35"/>
      <c r="CD62" s="35"/>
      <c r="CE62" s="35"/>
      <c r="CF62" s="35"/>
      <c r="CG62" s="35"/>
      <c r="CH62" s="35"/>
      <c r="CI62" s="35"/>
      <c r="CJ62" s="35"/>
      <c r="CK62" s="35"/>
      <c r="CL62" s="35"/>
      <c r="CM62" s="35"/>
      <c r="CN62" s="35"/>
      <c r="CO62" s="35"/>
      <c r="CP62" s="35"/>
      <c r="CQ62" s="35"/>
      <c r="CR62" s="35"/>
      <c r="CS62" s="35"/>
      <c r="CT62" s="35"/>
      <c r="CU62" s="35"/>
      <c r="CV62" s="35"/>
      <c r="CW62" s="35"/>
      <c r="CX62" s="35"/>
      <c r="CY62" s="35"/>
      <c r="CZ62" s="35"/>
      <c r="DA62" s="35"/>
      <c r="DB62" s="35"/>
      <c r="DC62" s="35"/>
      <c r="DD62" s="35"/>
      <c r="DE62" s="35"/>
      <c r="DF62" s="35"/>
      <c r="DG62" s="35"/>
      <c r="DH62" s="35"/>
      <c r="DI62" s="35"/>
      <c r="DJ62" s="35"/>
      <c r="DK62" s="35"/>
      <c r="DL62" s="35"/>
      <c r="DM62" s="35"/>
      <c r="DN62" s="35"/>
      <c r="DO62" s="35"/>
      <c r="DP62" s="35"/>
      <c r="DQ62" s="35"/>
      <c r="DR62" s="35"/>
      <c r="DS62" s="35"/>
      <c r="DT62" s="35"/>
      <c r="DU62" s="35"/>
      <c r="DV62" s="35"/>
      <c r="DW62" s="35"/>
      <c r="DX62" s="35"/>
      <c r="DY62" s="35"/>
      <c r="DZ62" s="35"/>
      <c r="EA62" s="35"/>
      <c r="EB62" s="35"/>
      <c r="EC62" s="35"/>
      <c r="ED62" s="35"/>
      <c r="EE62" s="35"/>
      <c r="EF62" s="35"/>
      <c r="EG62" s="35"/>
      <c r="EH62" s="35"/>
      <c r="EI62" s="35"/>
      <c r="EJ62" s="35"/>
      <c r="EK62" s="35"/>
      <c r="EL62" s="35"/>
      <c r="EM62" s="35"/>
      <c r="EN62" s="35"/>
      <c r="EO62" s="35"/>
      <c r="EP62" s="35"/>
      <c r="EQ62" s="35"/>
      <c r="ER62" s="35"/>
      <c r="ES62" s="35"/>
      <c r="ET62" s="35"/>
      <c r="EU62" s="35"/>
      <c r="EV62" s="35"/>
      <c r="EW62" s="35"/>
      <c r="EX62" s="35"/>
      <c r="EY62" s="35"/>
      <c r="EZ62" s="35"/>
      <c r="FA62" s="35"/>
      <c r="FB62" s="35"/>
      <c r="FC62" s="35"/>
      <c r="FD62" s="35"/>
      <c r="FE62" s="35"/>
      <c r="FF62" s="35"/>
      <c r="FG62" s="35"/>
      <c r="FH62" s="35"/>
      <c r="FI62" s="35"/>
      <c r="FJ62" s="35"/>
      <c r="FK62" s="35"/>
      <c r="FL62" s="35"/>
      <c r="FM62" s="35"/>
      <c r="FN62" s="35"/>
      <c r="FO62" s="35"/>
      <c r="FP62" s="35"/>
      <c r="FQ62" s="35"/>
      <c r="FR62" s="35"/>
      <c r="FS62" s="35"/>
      <c r="FT62" s="35"/>
      <c r="FU62" s="35"/>
      <c r="FV62" s="35"/>
      <c r="FW62" s="35"/>
      <c r="FX62" s="35"/>
      <c r="FY62" s="35"/>
      <c r="FZ62" s="35"/>
      <c r="GA62" s="35"/>
      <c r="GB62" s="35"/>
      <c r="GC62" s="35"/>
      <c r="GD62" s="35"/>
      <c r="GE62" s="35"/>
      <c r="GF62" s="35"/>
      <c r="GG62" s="35"/>
      <c r="GH62" s="35"/>
      <c r="GI62" s="35"/>
      <c r="GJ62" s="35"/>
      <c r="GK62" s="35"/>
      <c r="GL62" s="35"/>
      <c r="GM62" s="35"/>
      <c r="GN62" s="35"/>
      <c r="GO62" s="35"/>
      <c r="GP62" s="35"/>
      <c r="GQ62" s="35"/>
      <c r="GR62" s="35"/>
      <c r="GS62" s="35"/>
      <c r="GT62" s="35"/>
      <c r="GU62" s="35">
        <v>779.6</v>
      </c>
      <c r="GV62" s="35">
        <v>582.4</v>
      </c>
      <c r="GW62" s="35">
        <v>216.6</v>
      </c>
      <c r="GX62" s="35">
        <v>497.6</v>
      </c>
      <c r="GY62" s="35">
        <v>401.5</v>
      </c>
      <c r="GZ62" s="35">
        <v>207.5</v>
      </c>
      <c r="HA62" s="35">
        <v>5.5</v>
      </c>
      <c r="HB62" s="35">
        <v>1.8</v>
      </c>
      <c r="HC62">
        <v>1</v>
      </c>
      <c r="HD62">
        <v>0.5</v>
      </c>
      <c r="HE62">
        <v>0.3</v>
      </c>
    </row>
    <row r="63" spans="1:213" x14ac:dyDescent="0.35">
      <c r="A63" s="35" t="s">
        <v>2184</v>
      </c>
      <c r="B63" s="35"/>
      <c r="C63" s="35"/>
      <c r="D63" s="35"/>
      <c r="E63" s="35"/>
      <c r="F63" s="35"/>
      <c r="G63" s="35"/>
      <c r="H63" s="35"/>
      <c r="I63" s="35"/>
      <c r="J63" s="35"/>
      <c r="K63" s="35"/>
      <c r="L63" s="35"/>
      <c r="M63" s="35"/>
      <c r="N63" s="35"/>
      <c r="O63" s="35"/>
      <c r="P63" s="35"/>
      <c r="Q63" s="35"/>
      <c r="R63" s="35"/>
      <c r="S63" s="35"/>
      <c r="T63" s="35"/>
      <c r="U63" s="35"/>
      <c r="V63" s="35"/>
      <c r="W63" s="35"/>
      <c r="X63" s="35"/>
      <c r="Y63" s="35"/>
      <c r="Z63" s="35"/>
      <c r="AA63" s="35"/>
      <c r="AB63" s="35"/>
      <c r="AC63" s="35"/>
      <c r="AD63" s="35"/>
      <c r="AE63" s="35"/>
      <c r="AF63" s="35"/>
      <c r="AG63" s="35"/>
      <c r="AH63" s="35"/>
      <c r="AI63" s="35"/>
      <c r="AJ63" s="35"/>
      <c r="AK63" s="35"/>
      <c r="AL63" s="35"/>
      <c r="AM63" s="35"/>
      <c r="AN63" s="35"/>
      <c r="AO63" s="35"/>
      <c r="AP63" s="35"/>
      <c r="AQ63" s="35"/>
      <c r="AR63" s="35"/>
      <c r="AS63" s="35"/>
      <c r="AT63" s="35"/>
      <c r="AU63" s="35"/>
      <c r="AV63" s="35"/>
      <c r="AW63" s="35"/>
      <c r="AX63" s="35"/>
      <c r="AY63" s="35"/>
      <c r="AZ63" s="35"/>
      <c r="BA63" s="35"/>
      <c r="BB63" s="35"/>
      <c r="BC63" s="35"/>
      <c r="BD63" s="35"/>
      <c r="BE63" s="35"/>
      <c r="BF63" s="35"/>
      <c r="BG63" s="35"/>
      <c r="BH63" s="35"/>
      <c r="BI63" s="35"/>
      <c r="BJ63" s="35"/>
      <c r="BK63" s="35"/>
      <c r="BL63" s="35"/>
      <c r="BM63" s="35"/>
      <c r="BN63" s="35"/>
      <c r="BO63" s="35"/>
      <c r="BP63" s="35"/>
      <c r="BQ63" s="35"/>
      <c r="BR63" s="35"/>
      <c r="BS63" s="35"/>
      <c r="BT63" s="35"/>
      <c r="BU63" s="35"/>
      <c r="BV63" s="35"/>
      <c r="BW63" s="35"/>
      <c r="BX63" s="35"/>
      <c r="BY63" s="35"/>
      <c r="BZ63" s="35"/>
      <c r="CA63" s="35"/>
      <c r="CB63" s="35"/>
      <c r="CC63" s="35"/>
      <c r="CD63" s="35"/>
      <c r="CE63" s="35"/>
      <c r="CF63" s="35"/>
      <c r="CG63" s="35"/>
      <c r="CH63" s="35"/>
      <c r="CI63" s="35"/>
      <c r="CJ63" s="35"/>
      <c r="CK63" s="35"/>
      <c r="CL63" s="35"/>
      <c r="CM63" s="35"/>
      <c r="CN63" s="35"/>
      <c r="CO63" s="35"/>
      <c r="CP63" s="35"/>
      <c r="CQ63" s="35"/>
      <c r="CR63" s="35"/>
      <c r="CS63" s="35"/>
      <c r="CT63" s="35"/>
      <c r="CU63" s="35"/>
      <c r="CV63" s="35"/>
      <c r="CW63" s="35"/>
      <c r="CX63" s="35"/>
      <c r="CY63" s="35"/>
      <c r="CZ63" s="35"/>
      <c r="DA63" s="35"/>
      <c r="DB63" s="35"/>
      <c r="DC63" s="35"/>
      <c r="DD63" s="35"/>
      <c r="DE63" s="35"/>
      <c r="DF63" s="35"/>
      <c r="DG63" s="35"/>
      <c r="DH63" s="35"/>
      <c r="DI63" s="35"/>
      <c r="DJ63" s="35"/>
      <c r="DK63" s="35"/>
      <c r="DL63" s="35"/>
      <c r="DM63" s="35"/>
      <c r="DN63" s="35"/>
      <c r="DO63" s="35"/>
      <c r="DP63" s="35"/>
      <c r="DQ63" s="35"/>
      <c r="DR63" s="35"/>
      <c r="DS63" s="35"/>
      <c r="DT63" s="35"/>
      <c r="DU63" s="35"/>
      <c r="DV63" s="35"/>
      <c r="DW63" s="35"/>
      <c r="DX63" s="35"/>
      <c r="DY63" s="35"/>
      <c r="DZ63" s="35"/>
      <c r="EA63" s="35"/>
      <c r="EB63" s="35"/>
      <c r="EC63" s="35"/>
      <c r="ED63" s="35"/>
      <c r="EE63" s="35"/>
      <c r="EF63" s="35"/>
      <c r="EG63" s="35"/>
      <c r="EH63" s="35"/>
      <c r="EI63" s="35"/>
      <c r="EJ63" s="35"/>
      <c r="EK63" s="35"/>
      <c r="EL63" s="35"/>
      <c r="EM63" s="35"/>
      <c r="EN63" s="35"/>
      <c r="EO63" s="35"/>
      <c r="EP63" s="35"/>
      <c r="EQ63" s="35"/>
      <c r="ER63" s="35"/>
      <c r="ES63" s="35"/>
      <c r="ET63" s="35"/>
      <c r="EU63" s="35"/>
      <c r="EV63" s="35"/>
      <c r="EW63" s="35"/>
      <c r="EX63" s="35"/>
      <c r="EY63" s="35"/>
      <c r="EZ63" s="35"/>
      <c r="FA63" s="35"/>
      <c r="FB63" s="35"/>
      <c r="FC63" s="35"/>
      <c r="FD63" s="35"/>
      <c r="FE63" s="35"/>
      <c r="FF63" s="35"/>
      <c r="FG63" s="35"/>
      <c r="FH63" s="35"/>
      <c r="FI63" s="35"/>
      <c r="FJ63" s="35"/>
      <c r="FK63" s="35"/>
      <c r="FL63" s="35"/>
      <c r="FM63" s="35"/>
      <c r="FN63" s="35"/>
      <c r="FO63" s="35"/>
      <c r="FP63" s="35"/>
      <c r="FQ63" s="35"/>
      <c r="FR63" s="35"/>
      <c r="FS63" s="35"/>
      <c r="FT63" s="35"/>
      <c r="FU63" s="35"/>
      <c r="FV63" s="35"/>
      <c r="FW63" s="35"/>
      <c r="FX63" s="35"/>
      <c r="FY63" s="35"/>
      <c r="FZ63" s="35"/>
      <c r="GA63" s="35"/>
      <c r="GB63" s="35"/>
      <c r="GC63" s="35"/>
      <c r="GD63" s="35"/>
      <c r="GE63" s="35"/>
      <c r="GF63" s="35"/>
      <c r="GG63" s="35"/>
      <c r="GH63" s="35"/>
      <c r="GI63" s="35"/>
      <c r="GJ63" s="35"/>
      <c r="GK63" s="35"/>
      <c r="GL63" s="35"/>
      <c r="GM63" s="35"/>
      <c r="GN63" s="35"/>
      <c r="GO63" s="35"/>
      <c r="GP63" s="35"/>
      <c r="GQ63" s="35"/>
      <c r="GR63" s="35"/>
      <c r="GS63" s="35"/>
      <c r="GT63" s="35"/>
      <c r="GU63" s="35">
        <v>0.1</v>
      </c>
      <c r="GV63" s="35">
        <v>3.7</v>
      </c>
      <c r="GW63" s="35">
        <v>12.9</v>
      </c>
      <c r="GX63" s="35">
        <v>25.5</v>
      </c>
      <c r="GY63" s="35">
        <v>3.8</v>
      </c>
      <c r="GZ63" s="35">
        <v>1.8</v>
      </c>
      <c r="HA63" s="35">
        <v>0.6</v>
      </c>
      <c r="HB63" s="35">
        <v>0.2</v>
      </c>
      <c r="HC63">
        <v>0.1</v>
      </c>
      <c r="HD63">
        <v>0</v>
      </c>
      <c r="HE63">
        <v>0</v>
      </c>
    </row>
    <row r="64" spans="1:213" x14ac:dyDescent="0.35">
      <c r="A64" s="35" t="s">
        <v>2185</v>
      </c>
      <c r="B64" s="35"/>
      <c r="C64" s="35"/>
      <c r="D64" s="35"/>
      <c r="E64" s="35"/>
      <c r="F64" s="35"/>
      <c r="G64" s="35"/>
      <c r="H64" s="35"/>
      <c r="I64" s="35"/>
      <c r="J64" s="35"/>
      <c r="K64" s="35"/>
      <c r="L64" s="35"/>
      <c r="M64" s="35"/>
      <c r="N64" s="35"/>
      <c r="O64" s="35"/>
      <c r="P64" s="35"/>
      <c r="Q64" s="35"/>
      <c r="R64" s="35"/>
      <c r="S64" s="35"/>
      <c r="T64" s="35"/>
      <c r="U64" s="35"/>
      <c r="V64" s="35"/>
      <c r="W64" s="35"/>
      <c r="X64" s="35"/>
      <c r="Y64" s="35"/>
      <c r="Z64" s="35"/>
      <c r="AA64" s="35"/>
      <c r="AB64" s="35"/>
      <c r="AC64" s="35"/>
      <c r="AD64" s="35"/>
      <c r="AE64" s="35"/>
      <c r="AF64" s="35"/>
      <c r="AG64" s="35"/>
      <c r="AH64" s="35"/>
      <c r="AI64" s="35"/>
      <c r="AJ64" s="35"/>
      <c r="AK64" s="35"/>
      <c r="AL64" s="35"/>
      <c r="AM64" s="35"/>
      <c r="AN64" s="35"/>
      <c r="AO64" s="35"/>
      <c r="AP64" s="35"/>
      <c r="AQ64" s="35"/>
      <c r="AR64" s="35"/>
      <c r="AS64" s="35"/>
      <c r="AT64" s="35"/>
      <c r="AU64" s="35"/>
      <c r="AV64" s="35"/>
      <c r="AW64" s="35"/>
      <c r="AX64" s="35"/>
      <c r="AY64" s="35"/>
      <c r="AZ64" s="35"/>
      <c r="BA64" s="35"/>
      <c r="BB64" s="35"/>
      <c r="BC64" s="35"/>
      <c r="BD64" s="35"/>
      <c r="BE64" s="35"/>
      <c r="BF64" s="35"/>
      <c r="BG64" s="35"/>
      <c r="BH64" s="35"/>
      <c r="BI64" s="35"/>
      <c r="BJ64" s="35"/>
      <c r="BK64" s="35"/>
      <c r="BL64" s="35"/>
      <c r="BM64" s="35"/>
      <c r="BN64" s="35"/>
      <c r="BO64" s="35"/>
      <c r="BP64" s="35"/>
      <c r="BQ64" s="35"/>
      <c r="BR64" s="35"/>
      <c r="BS64" s="35"/>
      <c r="BT64" s="35"/>
      <c r="BU64" s="35"/>
      <c r="BV64" s="35"/>
      <c r="BW64" s="35"/>
      <c r="BX64" s="35"/>
      <c r="BY64" s="35"/>
      <c r="BZ64" s="35"/>
      <c r="CA64" s="35"/>
      <c r="CB64" s="35"/>
      <c r="CC64" s="35"/>
      <c r="CD64" s="35"/>
      <c r="CE64" s="35"/>
      <c r="CF64" s="35"/>
      <c r="CG64" s="35"/>
      <c r="CH64" s="35"/>
      <c r="CI64" s="35"/>
      <c r="CJ64" s="35"/>
      <c r="CK64" s="35"/>
      <c r="CL64" s="35"/>
      <c r="CM64" s="35"/>
      <c r="CN64" s="35"/>
      <c r="CO64" s="35"/>
      <c r="CP64" s="35"/>
      <c r="CQ64" s="35"/>
      <c r="CR64" s="35"/>
      <c r="CS64" s="35"/>
      <c r="CT64" s="35"/>
      <c r="CU64" s="35"/>
      <c r="CV64" s="35"/>
      <c r="CW64" s="35"/>
      <c r="CX64" s="35"/>
      <c r="CY64" s="35"/>
      <c r="CZ64" s="35"/>
      <c r="DA64" s="35"/>
      <c r="DB64" s="35"/>
      <c r="DC64" s="35"/>
      <c r="DD64" s="35"/>
      <c r="DE64" s="35"/>
      <c r="DF64" s="35"/>
      <c r="DG64" s="35"/>
      <c r="DH64" s="35"/>
      <c r="DI64" s="35"/>
      <c r="DJ64" s="35"/>
      <c r="DK64" s="35"/>
      <c r="DL64" s="35"/>
      <c r="DM64" s="35"/>
      <c r="DN64" s="35"/>
      <c r="DO64" s="35"/>
      <c r="DP64" s="35"/>
      <c r="DQ64" s="35"/>
      <c r="DR64" s="35"/>
      <c r="DS64" s="35"/>
      <c r="DT64" s="35"/>
      <c r="DU64" s="35"/>
      <c r="DV64" s="35"/>
      <c r="DW64" s="35"/>
      <c r="DX64" s="35"/>
      <c r="DY64" s="35"/>
      <c r="DZ64" s="35"/>
      <c r="EA64" s="35"/>
      <c r="EB64" s="35"/>
      <c r="EC64" s="35"/>
      <c r="ED64" s="35"/>
      <c r="EE64" s="35"/>
      <c r="EF64" s="35"/>
      <c r="EG64" s="35"/>
      <c r="EH64" s="35"/>
      <c r="EI64" s="35"/>
      <c r="EJ64" s="35"/>
      <c r="EK64" s="35"/>
      <c r="EL64" s="35"/>
      <c r="EM64" s="35"/>
      <c r="EN64" s="35"/>
      <c r="EO64" s="35"/>
      <c r="EP64" s="35"/>
      <c r="EQ64" s="35"/>
      <c r="ER64" s="35"/>
      <c r="ES64" s="35"/>
      <c r="ET64" s="35"/>
      <c r="EU64" s="35"/>
      <c r="EV64" s="35"/>
      <c r="EW64" s="35"/>
      <c r="EX64" s="35"/>
      <c r="EY64" s="35"/>
      <c r="EZ64" s="35"/>
      <c r="FA64" s="35"/>
      <c r="FB64" s="35"/>
      <c r="FC64" s="35"/>
      <c r="FD64" s="35"/>
      <c r="FE64" s="35"/>
      <c r="FF64" s="35"/>
      <c r="FG64" s="35"/>
      <c r="FH64" s="35"/>
      <c r="FI64" s="35"/>
      <c r="FJ64" s="35"/>
      <c r="FK64" s="35"/>
      <c r="FL64" s="35"/>
      <c r="FM64" s="35"/>
      <c r="FN64" s="35"/>
      <c r="FO64" s="35"/>
      <c r="FP64" s="35"/>
      <c r="FQ64" s="35"/>
      <c r="FR64" s="35"/>
      <c r="FS64" s="35"/>
      <c r="FT64" s="35"/>
      <c r="FU64" s="35"/>
      <c r="FV64" s="35"/>
      <c r="FW64" s="35"/>
      <c r="FX64" s="35"/>
      <c r="FY64" s="35"/>
      <c r="FZ64" s="35"/>
      <c r="GA64" s="35"/>
      <c r="GB64" s="35"/>
      <c r="GC64" s="35"/>
      <c r="GD64" s="35"/>
      <c r="GE64" s="35"/>
      <c r="GF64" s="35"/>
      <c r="GG64" s="35"/>
      <c r="GH64" s="35"/>
      <c r="GI64" s="35"/>
      <c r="GJ64" s="35"/>
      <c r="GK64" s="35"/>
      <c r="GL64" s="35"/>
      <c r="GM64" s="35"/>
      <c r="GN64" s="35"/>
      <c r="GO64" s="35"/>
      <c r="GP64" s="35"/>
      <c r="GQ64" s="35"/>
      <c r="GR64" s="35"/>
      <c r="GS64" s="35"/>
      <c r="GT64" s="35"/>
      <c r="GU64" s="35"/>
      <c r="GV64" s="35">
        <v>106.2</v>
      </c>
      <c r="GW64" s="35">
        <v>35.9</v>
      </c>
      <c r="GX64" s="35">
        <v>1.6</v>
      </c>
      <c r="GY64" s="35">
        <v>0.6</v>
      </c>
      <c r="GZ64" s="35">
        <v>0.1</v>
      </c>
      <c r="HA64" s="35">
        <v>0</v>
      </c>
      <c r="HB64" s="35">
        <v>0</v>
      </c>
      <c r="HC64">
        <v>0</v>
      </c>
      <c r="HD64">
        <v>0</v>
      </c>
      <c r="HE64">
        <v>0</v>
      </c>
    </row>
    <row r="65" spans="1:214" x14ac:dyDescent="0.35">
      <c r="A65" s="35" t="s">
        <v>2186</v>
      </c>
      <c r="B65" s="35">
        <v>5.7</v>
      </c>
      <c r="C65" s="35">
        <v>5.4</v>
      </c>
      <c r="D65" s="35">
        <v>4.9000000000000004</v>
      </c>
      <c r="E65" s="35">
        <v>5.0999999999999996</v>
      </c>
      <c r="F65" s="35">
        <v>5.6</v>
      </c>
      <c r="G65" s="35">
        <v>6.4</v>
      </c>
      <c r="H65" s="35">
        <v>5.9</v>
      </c>
      <c r="I65" s="35">
        <v>5.8</v>
      </c>
      <c r="J65" s="35">
        <v>5.9</v>
      </c>
      <c r="K65" s="35">
        <v>5.5</v>
      </c>
      <c r="L65" s="35">
        <v>7</v>
      </c>
      <c r="M65" s="35">
        <v>5.9</v>
      </c>
      <c r="N65" s="35">
        <v>5.9</v>
      </c>
      <c r="O65" s="35">
        <v>6.4</v>
      </c>
      <c r="P65" s="35">
        <v>5.5</v>
      </c>
      <c r="Q65" s="35">
        <v>6.1</v>
      </c>
      <c r="R65" s="35">
        <v>8</v>
      </c>
      <c r="S65" s="35">
        <v>8.8000000000000007</v>
      </c>
      <c r="T65" s="35">
        <v>6.7</v>
      </c>
      <c r="U65" s="35">
        <v>8.1</v>
      </c>
      <c r="V65" s="35">
        <v>9</v>
      </c>
      <c r="W65" s="35">
        <v>8.1</v>
      </c>
      <c r="X65" s="35">
        <v>11.1</v>
      </c>
      <c r="Y65" s="35">
        <v>10.7</v>
      </c>
      <c r="Z65" s="35">
        <v>10.3</v>
      </c>
      <c r="AA65" s="35">
        <v>10</v>
      </c>
      <c r="AB65" s="35">
        <v>10.8</v>
      </c>
      <c r="AC65" s="35">
        <v>11.3</v>
      </c>
      <c r="AD65" s="35">
        <v>10.9</v>
      </c>
      <c r="AE65" s="35">
        <v>10.9</v>
      </c>
      <c r="AF65" s="35">
        <v>12.1</v>
      </c>
      <c r="AG65" s="35">
        <v>10.9</v>
      </c>
      <c r="AH65" s="35">
        <v>11.2</v>
      </c>
      <c r="AI65" s="35">
        <v>11.8</v>
      </c>
      <c r="AJ65" s="35">
        <v>12.2</v>
      </c>
      <c r="AK65" s="35">
        <v>12.8</v>
      </c>
      <c r="AL65" s="35">
        <v>13.9</v>
      </c>
      <c r="AM65" s="35">
        <v>13.4</v>
      </c>
      <c r="AN65" s="35">
        <v>14.7</v>
      </c>
      <c r="AO65" s="35">
        <v>16.100000000000001</v>
      </c>
      <c r="AP65" s="35">
        <v>16.7</v>
      </c>
      <c r="AQ65" s="35">
        <v>16.899999999999999</v>
      </c>
      <c r="AR65" s="35">
        <v>16.3</v>
      </c>
      <c r="AS65" s="35">
        <v>17.100000000000001</v>
      </c>
      <c r="AT65" s="35">
        <v>16.399999999999999</v>
      </c>
      <c r="AU65" s="35">
        <v>16</v>
      </c>
      <c r="AV65" s="35">
        <v>15.1</v>
      </c>
      <c r="AW65" s="35">
        <v>15.4</v>
      </c>
      <c r="AX65" s="35">
        <v>14.2</v>
      </c>
      <c r="AY65" s="35">
        <v>14.9</v>
      </c>
      <c r="AZ65" s="35">
        <v>14.8</v>
      </c>
      <c r="BA65" s="35">
        <v>14.7</v>
      </c>
      <c r="BB65" s="35">
        <v>16.100000000000001</v>
      </c>
      <c r="BC65" s="35">
        <v>14.3</v>
      </c>
      <c r="BD65" s="35">
        <v>16</v>
      </c>
      <c r="BE65" s="35">
        <v>15.9</v>
      </c>
      <c r="BF65" s="35">
        <v>16.7</v>
      </c>
      <c r="BG65" s="35">
        <v>17.3</v>
      </c>
      <c r="BH65" s="35">
        <v>18.2</v>
      </c>
      <c r="BI65" s="35">
        <v>18.899999999999999</v>
      </c>
      <c r="BJ65" s="35">
        <v>17.2</v>
      </c>
      <c r="BK65" s="35">
        <v>19.600000000000001</v>
      </c>
      <c r="BL65" s="35">
        <v>20.2</v>
      </c>
      <c r="BM65" s="35">
        <v>21.3</v>
      </c>
      <c r="BN65" s="35">
        <v>19.8</v>
      </c>
      <c r="BO65" s="35">
        <v>20.7</v>
      </c>
      <c r="BP65" s="35">
        <v>21.4</v>
      </c>
      <c r="BQ65" s="35">
        <v>18.399999999999999</v>
      </c>
      <c r="BR65" s="35">
        <v>18.899999999999999</v>
      </c>
      <c r="BS65" s="35">
        <v>19.7</v>
      </c>
      <c r="BT65" s="35">
        <v>19</v>
      </c>
      <c r="BU65" s="35">
        <v>18.8</v>
      </c>
      <c r="BV65" s="35">
        <v>19.100000000000001</v>
      </c>
      <c r="BW65" s="35">
        <v>20</v>
      </c>
      <c r="BX65" s="35">
        <v>20.5</v>
      </c>
      <c r="BY65" s="35">
        <v>19.399999999999999</v>
      </c>
      <c r="BZ65" s="35">
        <v>20.3</v>
      </c>
      <c r="CA65" s="35">
        <v>20.100000000000001</v>
      </c>
      <c r="CB65" s="35">
        <v>19</v>
      </c>
      <c r="CC65" s="35">
        <v>21.5</v>
      </c>
      <c r="CD65" s="35">
        <v>22.3</v>
      </c>
      <c r="CE65" s="35">
        <v>20.3</v>
      </c>
      <c r="CF65" s="35">
        <v>20.7</v>
      </c>
      <c r="CG65" s="35">
        <v>49.5</v>
      </c>
      <c r="CH65" s="35">
        <v>26</v>
      </c>
      <c r="CI65" s="35">
        <v>22.2</v>
      </c>
      <c r="CJ65" s="35">
        <v>37.1</v>
      </c>
      <c r="CK65" s="35">
        <v>20.8</v>
      </c>
      <c r="CL65" s="35">
        <v>21.6</v>
      </c>
      <c r="CM65" s="35">
        <v>23.2</v>
      </c>
      <c r="CN65" s="35">
        <v>22.5</v>
      </c>
      <c r="CO65" s="35">
        <v>23.2</v>
      </c>
      <c r="CP65" s="35">
        <v>24.4</v>
      </c>
      <c r="CQ65" s="35">
        <v>22.6</v>
      </c>
      <c r="CR65" s="35">
        <v>25.3</v>
      </c>
      <c r="CS65" s="35">
        <v>24.9</v>
      </c>
      <c r="CT65" s="35">
        <v>23.8</v>
      </c>
      <c r="CU65" s="35">
        <v>27.5</v>
      </c>
      <c r="CV65" s="35">
        <v>26.2</v>
      </c>
      <c r="CW65" s="35">
        <v>26.7</v>
      </c>
      <c r="CX65" s="35">
        <v>27.9</v>
      </c>
      <c r="CY65" s="35">
        <v>28.2</v>
      </c>
      <c r="CZ65" s="35">
        <v>28.4</v>
      </c>
      <c r="DA65" s="35">
        <v>27</v>
      </c>
      <c r="DB65" s="35">
        <v>29.3</v>
      </c>
      <c r="DC65" s="35">
        <v>28.1</v>
      </c>
      <c r="DD65" s="35">
        <v>27.3</v>
      </c>
      <c r="DE65" s="35">
        <v>28.9</v>
      </c>
      <c r="DF65" s="35">
        <v>28.6</v>
      </c>
      <c r="DG65" s="35">
        <v>29.5</v>
      </c>
      <c r="DH65" s="35">
        <v>29.7</v>
      </c>
      <c r="DI65" s="35">
        <v>29</v>
      </c>
      <c r="DJ65" s="35">
        <v>27.3</v>
      </c>
      <c r="DK65" s="35">
        <v>27.5</v>
      </c>
      <c r="DL65" s="35">
        <v>29.4</v>
      </c>
      <c r="DM65" s="35">
        <v>31.5</v>
      </c>
      <c r="DN65" s="35">
        <v>29.2</v>
      </c>
      <c r="DO65" s="35">
        <v>33.9</v>
      </c>
      <c r="DP65" s="35">
        <v>35.9</v>
      </c>
      <c r="DQ65" s="35">
        <v>56.3</v>
      </c>
      <c r="DR65" s="35">
        <v>38</v>
      </c>
      <c r="DS65" s="35">
        <v>37.9</v>
      </c>
      <c r="DT65" s="35">
        <v>39.4</v>
      </c>
      <c r="DU65" s="35">
        <v>49.6</v>
      </c>
      <c r="DV65" s="35">
        <v>40.9</v>
      </c>
      <c r="DW65" s="35">
        <v>43.8</v>
      </c>
      <c r="DX65" s="35">
        <v>44.3</v>
      </c>
      <c r="DY65" s="35">
        <v>45.3</v>
      </c>
      <c r="DZ65" s="35">
        <v>59.6</v>
      </c>
      <c r="EA65" s="35">
        <v>47.2</v>
      </c>
      <c r="EB65" s="35">
        <v>43.2</v>
      </c>
      <c r="EC65" s="35">
        <v>63.5</v>
      </c>
      <c r="ED65" s="35">
        <v>65.7</v>
      </c>
      <c r="EE65" s="35">
        <v>75.5</v>
      </c>
      <c r="EF65" s="35">
        <v>71.5</v>
      </c>
      <c r="EG65" s="35">
        <v>66.400000000000006</v>
      </c>
      <c r="EH65" s="35">
        <v>75.3</v>
      </c>
      <c r="EI65" s="35">
        <v>65.2</v>
      </c>
      <c r="EJ65" s="35">
        <v>74.7</v>
      </c>
      <c r="EK65" s="35">
        <v>70.2</v>
      </c>
      <c r="EL65" s="35">
        <v>90.6</v>
      </c>
      <c r="EM65" s="35">
        <v>75</v>
      </c>
      <c r="EN65" s="35">
        <v>141.5</v>
      </c>
      <c r="EO65" s="35">
        <v>82.9</v>
      </c>
      <c r="EP65" s="35">
        <v>80.5</v>
      </c>
      <c r="EQ65" s="35">
        <v>77.5</v>
      </c>
      <c r="ER65" s="35">
        <v>74.8</v>
      </c>
      <c r="ES65" s="35">
        <v>73.900000000000006</v>
      </c>
      <c r="ET65" s="35">
        <v>90.3</v>
      </c>
      <c r="EU65" s="35">
        <v>86.5</v>
      </c>
      <c r="EV65" s="35">
        <v>86.3</v>
      </c>
      <c r="EW65" s="35">
        <v>80.400000000000006</v>
      </c>
      <c r="EX65" s="35">
        <v>87</v>
      </c>
      <c r="EY65" s="35">
        <v>81.400000000000006</v>
      </c>
      <c r="EZ65" s="35">
        <v>91.2</v>
      </c>
      <c r="FA65" s="35">
        <v>348.6</v>
      </c>
      <c r="FB65" s="35">
        <v>301.2</v>
      </c>
      <c r="FC65" s="35">
        <v>226</v>
      </c>
      <c r="FD65" s="35">
        <v>144.9</v>
      </c>
      <c r="FE65" s="35">
        <v>178.4</v>
      </c>
      <c r="FF65" s="35">
        <v>164.3</v>
      </c>
      <c r="FG65" s="35">
        <v>195.8</v>
      </c>
      <c r="FH65" s="35">
        <v>122.5</v>
      </c>
      <c r="FI65" s="35">
        <v>110</v>
      </c>
      <c r="FJ65" s="35">
        <v>110.2</v>
      </c>
      <c r="FK65" s="35">
        <v>142.19999999999999</v>
      </c>
      <c r="FL65" s="35">
        <v>122.8</v>
      </c>
      <c r="FM65" s="35">
        <v>149.69999999999999</v>
      </c>
      <c r="FN65" s="35">
        <v>110.8</v>
      </c>
      <c r="FO65" s="35">
        <v>93</v>
      </c>
      <c r="FP65" s="35">
        <v>90.7</v>
      </c>
      <c r="FQ65" s="35">
        <v>125.3</v>
      </c>
      <c r="FR65" s="35">
        <v>91.2</v>
      </c>
      <c r="FS65" s="35">
        <v>84.4</v>
      </c>
      <c r="FT65" s="35">
        <v>85.3</v>
      </c>
      <c r="FU65" s="35">
        <v>79.7</v>
      </c>
      <c r="FV65" s="35">
        <v>86.8</v>
      </c>
      <c r="FW65" s="35">
        <v>84.1</v>
      </c>
      <c r="FX65" s="35">
        <v>83</v>
      </c>
      <c r="FY65" s="35">
        <v>80.8</v>
      </c>
      <c r="FZ65" s="35">
        <v>83.2</v>
      </c>
      <c r="GA65" s="35">
        <v>77.099999999999994</v>
      </c>
      <c r="GB65" s="35">
        <v>83.9</v>
      </c>
      <c r="GC65" s="35">
        <v>76.400000000000006</v>
      </c>
      <c r="GD65" s="35">
        <v>80.900000000000006</v>
      </c>
      <c r="GE65" s="35">
        <v>77.2</v>
      </c>
      <c r="GF65" s="35">
        <v>79.599999999999994</v>
      </c>
      <c r="GG65" s="35">
        <v>84.5</v>
      </c>
      <c r="GH65" s="35">
        <v>84.3</v>
      </c>
      <c r="GI65" s="35">
        <v>85.5</v>
      </c>
      <c r="GJ65" s="35">
        <v>116.5</v>
      </c>
      <c r="GK65" s="35">
        <v>81</v>
      </c>
      <c r="GL65" s="35">
        <v>79</v>
      </c>
      <c r="GM65" s="35">
        <v>86.3</v>
      </c>
      <c r="GN65" s="35">
        <v>85.1</v>
      </c>
      <c r="GO65" s="35">
        <v>82.9</v>
      </c>
      <c r="GP65" s="35">
        <v>85.9</v>
      </c>
      <c r="GQ65" s="35">
        <v>78.8</v>
      </c>
      <c r="GR65" s="35">
        <v>82.2</v>
      </c>
      <c r="GS65" s="35">
        <v>133.9</v>
      </c>
      <c r="GT65" s="35">
        <v>95.4</v>
      </c>
      <c r="GU65" s="35">
        <v>92.8</v>
      </c>
      <c r="GV65" s="35">
        <v>92.2</v>
      </c>
      <c r="GW65" s="35">
        <v>89.3</v>
      </c>
      <c r="GX65" s="35">
        <v>319.3</v>
      </c>
      <c r="GY65" s="35">
        <v>87.2</v>
      </c>
      <c r="GZ65" s="35">
        <v>98.4</v>
      </c>
      <c r="HA65" s="35">
        <v>89.1</v>
      </c>
      <c r="HB65" s="35">
        <v>89.1</v>
      </c>
      <c r="HC65">
        <v>460.7</v>
      </c>
      <c r="HD65">
        <v>206.4</v>
      </c>
      <c r="HE65">
        <v>109.9</v>
      </c>
      <c r="HF65">
        <v>110.6</v>
      </c>
    </row>
    <row r="66" spans="1:214" x14ac:dyDescent="0.35">
      <c r="A66" s="35" t="s">
        <v>2187</v>
      </c>
      <c r="B66" s="35">
        <v>0.58399999999999996</v>
      </c>
      <c r="C66" s="35">
        <v>0.98</v>
      </c>
      <c r="D66" s="35">
        <v>1.256</v>
      </c>
      <c r="E66" s="35">
        <v>1.5920000000000001</v>
      </c>
      <c r="F66" s="35">
        <v>1.62</v>
      </c>
      <c r="G66" s="35">
        <v>1.6</v>
      </c>
      <c r="H66" s="35">
        <v>1.7</v>
      </c>
      <c r="I66" s="35">
        <v>1.8720000000000001</v>
      </c>
      <c r="J66" s="35">
        <v>1.8320000000000001</v>
      </c>
      <c r="K66" s="35">
        <v>1.8240000000000001</v>
      </c>
      <c r="L66" s="35">
        <v>2.1080000000000001</v>
      </c>
      <c r="M66" s="35">
        <v>2.1560000000000001</v>
      </c>
      <c r="N66" s="35">
        <v>2.1560000000000001</v>
      </c>
      <c r="O66" s="35">
        <v>2.1440000000000001</v>
      </c>
      <c r="P66" s="35">
        <v>2.2480000000000002</v>
      </c>
      <c r="Q66" s="35">
        <v>2.2879999999999998</v>
      </c>
      <c r="R66" s="35">
        <v>3.0640000000000001</v>
      </c>
      <c r="S66" s="35">
        <v>3.16</v>
      </c>
      <c r="T66" s="35">
        <v>3.62</v>
      </c>
      <c r="U66" s="35">
        <v>3.8879999999999999</v>
      </c>
      <c r="V66" s="35">
        <v>4.3639999999999999</v>
      </c>
      <c r="W66" s="35">
        <v>4.5119999999999996</v>
      </c>
      <c r="X66" s="35">
        <v>4.8319999999999999</v>
      </c>
      <c r="Y66" s="35">
        <v>4.68</v>
      </c>
      <c r="Z66" s="35">
        <v>4.7679999999999998</v>
      </c>
      <c r="AA66" s="35">
        <v>4.6760000000000002</v>
      </c>
      <c r="AB66" s="35">
        <v>4.4160000000000004</v>
      </c>
      <c r="AC66" s="35">
        <v>4.532</v>
      </c>
      <c r="AD66" s="35">
        <v>4.4960000000000004</v>
      </c>
      <c r="AE66" s="35">
        <v>4.3159999999999998</v>
      </c>
      <c r="AF66" s="35">
        <v>4.38</v>
      </c>
      <c r="AG66" s="35">
        <v>4.3840000000000003</v>
      </c>
      <c r="AH66" s="35">
        <v>4.5839999999999996</v>
      </c>
      <c r="AI66" s="35">
        <v>4.4880000000000004</v>
      </c>
      <c r="AJ66" s="35">
        <v>4.6719999999999997</v>
      </c>
      <c r="AK66" s="35">
        <v>4.5960000000000001</v>
      </c>
      <c r="AL66" s="35">
        <v>5.4240000000000004</v>
      </c>
      <c r="AM66" s="35">
        <v>5.78</v>
      </c>
      <c r="AN66" s="35">
        <v>6.88</v>
      </c>
      <c r="AO66" s="35">
        <v>7.2439999999999998</v>
      </c>
      <c r="AP66" s="35">
        <v>7.7640000000000002</v>
      </c>
      <c r="AQ66" s="35">
        <v>8.14</v>
      </c>
      <c r="AR66" s="35">
        <v>8.44</v>
      </c>
      <c r="AS66" s="35">
        <v>8.5120000000000005</v>
      </c>
      <c r="AT66" s="35">
        <v>10.144</v>
      </c>
      <c r="AU66" s="35">
        <v>10.272</v>
      </c>
      <c r="AV66" s="35">
        <v>10.16</v>
      </c>
      <c r="AW66" s="35">
        <v>9.6839999999999993</v>
      </c>
      <c r="AX66" s="35">
        <v>9.2959999999999994</v>
      </c>
      <c r="AY66" s="35">
        <v>9.4320000000000004</v>
      </c>
      <c r="AZ66" s="35">
        <v>9.6760000000000002</v>
      </c>
      <c r="BA66" s="35">
        <v>11.18</v>
      </c>
      <c r="BB66" s="35">
        <v>11.288</v>
      </c>
      <c r="BC66" s="35">
        <v>11.124000000000001</v>
      </c>
      <c r="BD66" s="35">
        <v>10.964</v>
      </c>
      <c r="BE66" s="35">
        <v>10.888</v>
      </c>
      <c r="BF66" s="35">
        <v>10.8</v>
      </c>
      <c r="BG66" s="35">
        <v>10.624000000000001</v>
      </c>
      <c r="BH66" s="35">
        <v>10.432</v>
      </c>
      <c r="BI66" s="35">
        <v>10.82</v>
      </c>
      <c r="BJ66" s="35">
        <v>10.784000000000001</v>
      </c>
      <c r="BK66" s="35">
        <v>10.72</v>
      </c>
      <c r="BL66" s="35">
        <v>10.612</v>
      </c>
      <c r="BM66" s="35">
        <v>10.644</v>
      </c>
      <c r="BN66" s="35">
        <v>10.488</v>
      </c>
      <c r="BO66" s="35">
        <v>10.564</v>
      </c>
      <c r="BP66" s="35">
        <v>10.576000000000001</v>
      </c>
      <c r="BQ66" s="35">
        <v>10.584</v>
      </c>
      <c r="BR66" s="35">
        <v>10.54</v>
      </c>
      <c r="BS66" s="35">
        <v>10.488</v>
      </c>
      <c r="BT66" s="35">
        <v>10.311999999999999</v>
      </c>
      <c r="BU66" s="35">
        <v>11.087999999999999</v>
      </c>
      <c r="BV66" s="35">
        <v>11.176</v>
      </c>
      <c r="BW66" s="35">
        <v>11.132</v>
      </c>
      <c r="BX66" s="35">
        <v>11.052</v>
      </c>
      <c r="BY66" s="35">
        <v>11.492000000000001</v>
      </c>
      <c r="BZ66" s="35">
        <v>11.656000000000001</v>
      </c>
      <c r="CA66" s="35">
        <v>11.712</v>
      </c>
      <c r="CB66" s="35">
        <v>11.784000000000001</v>
      </c>
      <c r="CC66" s="35">
        <v>14.148</v>
      </c>
      <c r="CD66" s="35">
        <v>13.984</v>
      </c>
      <c r="CE66" s="35">
        <v>14.215999999999999</v>
      </c>
      <c r="CF66" s="35">
        <v>14.404</v>
      </c>
      <c r="CG66" s="35">
        <v>16.36</v>
      </c>
      <c r="CH66" s="35">
        <v>16.995999999999999</v>
      </c>
      <c r="CI66" s="35">
        <v>17.635999999999999</v>
      </c>
      <c r="CJ66" s="35">
        <v>18.091999999999999</v>
      </c>
      <c r="CK66" s="35">
        <v>20.332000000000001</v>
      </c>
      <c r="CL66" s="35">
        <v>20.596</v>
      </c>
      <c r="CM66" s="35">
        <v>20.931999999999999</v>
      </c>
      <c r="CN66" s="35">
        <v>21.792000000000002</v>
      </c>
      <c r="CO66" s="35">
        <v>21.86</v>
      </c>
      <c r="CP66" s="35">
        <v>21.82</v>
      </c>
      <c r="CQ66" s="35">
        <v>22.14</v>
      </c>
      <c r="CR66" s="35">
        <v>22.204000000000001</v>
      </c>
      <c r="CS66" s="35">
        <v>22.68</v>
      </c>
      <c r="CT66" s="35">
        <v>23.06</v>
      </c>
      <c r="CU66" s="35">
        <v>22.58</v>
      </c>
      <c r="CV66" s="35">
        <v>22.504000000000001</v>
      </c>
      <c r="CW66" s="35">
        <v>23.224</v>
      </c>
      <c r="CX66" s="35">
        <v>22.716000000000001</v>
      </c>
      <c r="CY66" s="35">
        <v>22.384</v>
      </c>
      <c r="CZ66" s="35">
        <v>22.052</v>
      </c>
      <c r="DA66" s="35">
        <v>22.635999999999999</v>
      </c>
      <c r="DB66" s="35">
        <v>22.564</v>
      </c>
      <c r="DC66" s="35">
        <v>22.236000000000001</v>
      </c>
      <c r="DD66" s="35">
        <v>21.852</v>
      </c>
      <c r="DE66" s="35">
        <v>21.16</v>
      </c>
      <c r="DF66" s="35">
        <v>20.04</v>
      </c>
      <c r="DG66" s="35">
        <v>19.076000000000001</v>
      </c>
      <c r="DH66" s="35">
        <v>18.143999999999998</v>
      </c>
      <c r="DI66" s="35">
        <v>17.667999999999999</v>
      </c>
      <c r="DJ66" s="35">
        <v>17.123999999999999</v>
      </c>
      <c r="DK66" s="35">
        <v>16.579999999999998</v>
      </c>
      <c r="DL66" s="35">
        <v>15.976000000000001</v>
      </c>
      <c r="DM66" s="35">
        <v>16.18</v>
      </c>
      <c r="DN66" s="35">
        <v>15.788</v>
      </c>
      <c r="DO66" s="35">
        <v>15.464</v>
      </c>
      <c r="DP66" s="35">
        <v>15.284000000000001</v>
      </c>
      <c r="DQ66" s="35">
        <v>15.356</v>
      </c>
      <c r="DR66" s="35">
        <v>13.616</v>
      </c>
      <c r="DS66" s="35">
        <v>14.896000000000001</v>
      </c>
      <c r="DT66" s="35">
        <v>14.84</v>
      </c>
      <c r="DU66" s="35">
        <v>14.907999999999999</v>
      </c>
      <c r="DV66" s="35">
        <v>15.1</v>
      </c>
      <c r="DW66" s="35">
        <v>15.536</v>
      </c>
      <c r="DX66" s="35">
        <v>15.996</v>
      </c>
      <c r="DY66" s="35">
        <v>17.236000000000001</v>
      </c>
      <c r="DZ66" s="35">
        <v>17.898</v>
      </c>
      <c r="EA66" s="35">
        <v>18.222000000000001</v>
      </c>
      <c r="EB66" s="35">
        <v>18.484999999999999</v>
      </c>
      <c r="EC66" s="35">
        <v>19.841999999999999</v>
      </c>
      <c r="ED66" s="35">
        <v>20.652000000000001</v>
      </c>
      <c r="EE66" s="35">
        <v>21.759</v>
      </c>
      <c r="EF66" s="35">
        <v>22.788</v>
      </c>
      <c r="EG66" s="35">
        <v>23.298999999999999</v>
      </c>
      <c r="EH66" s="35">
        <v>24.085999999999999</v>
      </c>
      <c r="EI66" s="35">
        <v>24.969000000000001</v>
      </c>
      <c r="EJ66" s="35">
        <v>25.888000000000002</v>
      </c>
      <c r="EK66" s="35">
        <v>28.838999999999999</v>
      </c>
      <c r="EL66" s="35">
        <v>27.844000000000001</v>
      </c>
      <c r="EM66" s="35">
        <v>28.236999999999998</v>
      </c>
      <c r="EN66" s="35">
        <v>29.613</v>
      </c>
      <c r="EO66" s="35">
        <v>32.274000000000001</v>
      </c>
      <c r="EP66" s="35">
        <v>29.234999999999999</v>
      </c>
      <c r="EQ66" s="35">
        <v>29.263999999999999</v>
      </c>
      <c r="ER66" s="35">
        <v>29.344000000000001</v>
      </c>
      <c r="ES66" s="35">
        <v>29.716999999999999</v>
      </c>
      <c r="ET66" s="35">
        <v>30</v>
      </c>
      <c r="EU66" s="35">
        <v>30.391999999999999</v>
      </c>
      <c r="EV66" s="35">
        <v>30.74</v>
      </c>
      <c r="EW66" s="35">
        <v>32.552999999999997</v>
      </c>
      <c r="EX66" s="35">
        <v>33.466000000000001</v>
      </c>
      <c r="EY66" s="35">
        <v>34.606999999999999</v>
      </c>
      <c r="EZ66" s="35">
        <v>37.1</v>
      </c>
      <c r="FA66" s="35">
        <v>42.963999999999999</v>
      </c>
      <c r="FB66" s="35">
        <v>44.63</v>
      </c>
      <c r="FC66" s="35">
        <v>55.540999999999997</v>
      </c>
      <c r="FD66" s="35">
        <v>58.195</v>
      </c>
      <c r="FE66" s="35">
        <v>60.683</v>
      </c>
      <c r="FF66" s="35">
        <v>63.749000000000002</v>
      </c>
      <c r="FG66" s="35">
        <v>65.742999999999995</v>
      </c>
      <c r="FH66" s="35">
        <v>67.739999999999995</v>
      </c>
      <c r="FI66" s="35">
        <v>68.828000000000003</v>
      </c>
      <c r="FJ66" s="35">
        <v>71.063000000000002</v>
      </c>
      <c r="FK66" s="35">
        <v>72.828999999999994</v>
      </c>
      <c r="FL66" s="35">
        <v>73.527000000000001</v>
      </c>
      <c r="FM66" s="35">
        <v>73.492000000000004</v>
      </c>
      <c r="FN66" s="35">
        <v>74.054000000000002</v>
      </c>
      <c r="FO66" s="35">
        <v>74.347999999999999</v>
      </c>
      <c r="FP66" s="35">
        <v>75.343000000000004</v>
      </c>
      <c r="FQ66" s="35">
        <v>75.66</v>
      </c>
      <c r="FR66" s="35">
        <v>75.959999999999994</v>
      </c>
      <c r="FS66" s="35">
        <v>76.039000000000001</v>
      </c>
      <c r="FT66" s="35">
        <v>75.213999999999999</v>
      </c>
      <c r="FU66" s="35">
        <v>71.414000000000001</v>
      </c>
      <c r="FV66" s="35">
        <v>69.317999999999998</v>
      </c>
      <c r="FW66" s="35">
        <v>69.353999999999999</v>
      </c>
      <c r="FX66" s="35">
        <v>68.644999999999996</v>
      </c>
      <c r="FY66" s="35">
        <v>70.316999999999993</v>
      </c>
      <c r="FZ66" s="35">
        <v>69.766999999999996</v>
      </c>
      <c r="GA66" s="35">
        <v>69.164000000000001</v>
      </c>
      <c r="GB66" s="35">
        <v>68.382000000000005</v>
      </c>
      <c r="GC66" s="35">
        <v>67.638000000000005</v>
      </c>
      <c r="GD66" s="35">
        <v>67.293999999999997</v>
      </c>
      <c r="GE66" s="35">
        <v>65.412999999999997</v>
      </c>
      <c r="GF66" s="35">
        <v>64.802999999999997</v>
      </c>
      <c r="GG66" s="35">
        <v>64.498999999999995</v>
      </c>
      <c r="GH66" s="35">
        <v>63.667000000000002</v>
      </c>
      <c r="GI66" s="35">
        <v>62.198</v>
      </c>
      <c r="GJ66" s="35">
        <v>63.704999999999998</v>
      </c>
      <c r="GK66" s="35">
        <v>67.448999999999998</v>
      </c>
      <c r="GL66" s="35">
        <v>59.862000000000002</v>
      </c>
      <c r="GM66" s="35">
        <v>58.298999999999999</v>
      </c>
      <c r="GN66" s="35">
        <v>57.253999999999998</v>
      </c>
      <c r="GO66" s="35">
        <v>57.347000000000001</v>
      </c>
      <c r="GP66" s="35">
        <v>56.009</v>
      </c>
      <c r="GQ66" s="35">
        <v>54.273000000000003</v>
      </c>
      <c r="GR66" s="35">
        <v>54.103999999999999</v>
      </c>
      <c r="GS66" s="35">
        <v>54.46</v>
      </c>
      <c r="GT66" s="35">
        <v>59.734999999999999</v>
      </c>
      <c r="GU66" s="35">
        <v>100.11799999999999</v>
      </c>
      <c r="GV66" s="35">
        <v>104.89</v>
      </c>
      <c r="GW66" s="35">
        <v>114.726</v>
      </c>
      <c r="GX66" s="35">
        <v>140.75399999999999</v>
      </c>
      <c r="GY66" s="35">
        <v>155.40299999999999</v>
      </c>
      <c r="GZ66" s="35">
        <v>150.172</v>
      </c>
      <c r="HA66" s="35">
        <v>155.43700000000001</v>
      </c>
      <c r="HB66" s="35">
        <v>135.35499999999999</v>
      </c>
      <c r="HC66">
        <v>118.414</v>
      </c>
      <c r="HD66">
        <v>111.59099999999999</v>
      </c>
      <c r="HE66">
        <v>126.53400000000001</v>
      </c>
      <c r="HF66">
        <v>121.66800000000001</v>
      </c>
    </row>
    <row r="67" spans="1:214" x14ac:dyDescent="0.35">
      <c r="A67" s="35" t="s">
        <v>2188</v>
      </c>
      <c r="B67" s="35">
        <v>38.1</v>
      </c>
      <c r="C67" s="35">
        <v>38.633333333333297</v>
      </c>
      <c r="D67" s="35">
        <v>39.033333333333303</v>
      </c>
      <c r="E67" s="35">
        <v>39.6</v>
      </c>
      <c r="F67" s="35">
        <v>39.933333333333302</v>
      </c>
      <c r="G67" s="35">
        <v>40.299999999999997</v>
      </c>
      <c r="H67" s="35">
        <v>40.700000000000003</v>
      </c>
      <c r="I67" s="35">
        <v>41</v>
      </c>
      <c r="J67" s="35">
        <v>41.3333333333333</v>
      </c>
      <c r="K67" s="35">
        <v>41.6</v>
      </c>
      <c r="L67" s="35">
        <v>41.933333333333302</v>
      </c>
      <c r="M67" s="35">
        <v>42.366666666666703</v>
      </c>
      <c r="N67" s="35">
        <v>43.033333333333303</v>
      </c>
      <c r="O67" s="35">
        <v>43.933333333333302</v>
      </c>
      <c r="P67" s="35">
        <v>44.8</v>
      </c>
      <c r="Q67" s="35">
        <v>45.933333333333302</v>
      </c>
      <c r="R67" s="35">
        <v>47.3</v>
      </c>
      <c r="S67" s="35">
        <v>48.566666666666698</v>
      </c>
      <c r="T67" s="35">
        <v>49.933333333333302</v>
      </c>
      <c r="U67" s="35">
        <v>51.466666666666697</v>
      </c>
      <c r="V67" s="35">
        <v>52.566666666666698</v>
      </c>
      <c r="W67" s="35">
        <v>53.2</v>
      </c>
      <c r="X67" s="35">
        <v>54.266666666666701</v>
      </c>
      <c r="Y67" s="35">
        <v>55.266666666666701</v>
      </c>
      <c r="Z67" s="35">
        <v>55.9</v>
      </c>
      <c r="AA67" s="35">
        <v>56.4</v>
      </c>
      <c r="AB67" s="35">
        <v>57.3</v>
      </c>
      <c r="AC67" s="35">
        <v>58.133333333333297</v>
      </c>
      <c r="AD67" s="35">
        <v>59.2</v>
      </c>
      <c r="AE67" s="35">
        <v>60.233333333333299</v>
      </c>
      <c r="AF67" s="35">
        <v>61.066666666666698</v>
      </c>
      <c r="AG67" s="35">
        <v>61.966666666666697</v>
      </c>
      <c r="AH67" s="35">
        <v>63.033333333333303</v>
      </c>
      <c r="AI67" s="35">
        <v>64.466666666666697</v>
      </c>
      <c r="AJ67" s="35">
        <v>65.966666666666697</v>
      </c>
      <c r="AK67" s="35">
        <v>67.5</v>
      </c>
      <c r="AL67" s="35">
        <v>69.2</v>
      </c>
      <c r="AM67" s="35">
        <v>71.400000000000006</v>
      </c>
      <c r="AN67" s="35">
        <v>73.7</v>
      </c>
      <c r="AO67" s="35">
        <v>76.033333333333303</v>
      </c>
      <c r="AP67" s="35">
        <v>79.033333333333303</v>
      </c>
      <c r="AQ67" s="35">
        <v>81.7</v>
      </c>
      <c r="AR67" s="35">
        <v>83.233333333333306</v>
      </c>
      <c r="AS67" s="35">
        <v>85.566666666666706</v>
      </c>
      <c r="AT67" s="35">
        <v>87.933333333333294</v>
      </c>
      <c r="AU67" s="35">
        <v>89.766666666666694</v>
      </c>
      <c r="AV67" s="35">
        <v>92.266666666666694</v>
      </c>
      <c r="AW67" s="35">
        <v>93.766666666666694</v>
      </c>
      <c r="AX67" s="35">
        <v>94.6</v>
      </c>
      <c r="AY67" s="35">
        <v>95.966666666666697</v>
      </c>
      <c r="AZ67" s="35">
        <v>97.633333333333297</v>
      </c>
      <c r="BA67" s="35">
        <v>97.933333333333294</v>
      </c>
      <c r="BB67" s="35">
        <v>98</v>
      </c>
      <c r="BC67" s="35">
        <v>99.133333333333297</v>
      </c>
      <c r="BD67" s="35">
        <v>100.1</v>
      </c>
      <c r="BE67" s="35">
        <v>101.1</v>
      </c>
      <c r="BF67" s="35">
        <v>102.533333333333</v>
      </c>
      <c r="BG67" s="35">
        <v>103.5</v>
      </c>
      <c r="BH67" s="35">
        <v>104.4</v>
      </c>
      <c r="BI67" s="35">
        <v>105.3</v>
      </c>
      <c r="BJ67" s="35">
        <v>106.26666666666701</v>
      </c>
      <c r="BK67" s="35">
        <v>107.23333333333299</v>
      </c>
      <c r="BL67" s="35">
        <v>107.9</v>
      </c>
      <c r="BM67" s="35">
        <v>109</v>
      </c>
      <c r="BN67" s="35">
        <v>109.566666666667</v>
      </c>
      <c r="BO67" s="35">
        <v>109.033333333333</v>
      </c>
      <c r="BP67" s="35">
        <v>109.7</v>
      </c>
      <c r="BQ67" s="35">
        <v>110.466666666667</v>
      </c>
      <c r="BR67" s="35">
        <v>111.8</v>
      </c>
      <c r="BS67" s="35">
        <v>113.066666666667</v>
      </c>
      <c r="BT67" s="35">
        <v>114.26666666666701</v>
      </c>
      <c r="BU67" s="35">
        <v>115.333333333333</v>
      </c>
      <c r="BV67" s="35">
        <v>116.23333333333299</v>
      </c>
      <c r="BW67" s="35">
        <v>117.566666666667</v>
      </c>
      <c r="BX67" s="35">
        <v>119</v>
      </c>
      <c r="BY67" s="35">
        <v>120.3</v>
      </c>
      <c r="BZ67" s="35">
        <v>121.666666666667</v>
      </c>
      <c r="CA67" s="35">
        <v>123.633333333333</v>
      </c>
      <c r="CB67" s="35">
        <v>124.6</v>
      </c>
      <c r="CC67" s="35">
        <v>125.866666666667</v>
      </c>
      <c r="CD67" s="35">
        <v>128.03333333333299</v>
      </c>
      <c r="CE67" s="35">
        <v>129.30000000000001</v>
      </c>
      <c r="CF67" s="35">
        <v>131.53333333333299</v>
      </c>
      <c r="CG67" s="35">
        <v>133.76666666666699</v>
      </c>
      <c r="CH67" s="35">
        <v>134.76666666666699</v>
      </c>
      <c r="CI67" s="35">
        <v>135.566666666667</v>
      </c>
      <c r="CJ67" s="35">
        <v>136.6</v>
      </c>
      <c r="CK67" s="35">
        <v>137.73333333333301</v>
      </c>
      <c r="CL67" s="35">
        <v>138.666666666667</v>
      </c>
      <c r="CM67" s="35">
        <v>139.73333333333301</v>
      </c>
      <c r="CN67" s="35">
        <v>140.80000000000001</v>
      </c>
      <c r="CO67" s="35">
        <v>142.03333333333299</v>
      </c>
      <c r="CP67" s="35">
        <v>143.066666666667</v>
      </c>
      <c r="CQ67" s="35">
        <v>144.1</v>
      </c>
      <c r="CR67" s="35">
        <v>144.76666666666699</v>
      </c>
      <c r="CS67" s="35">
        <v>145.96666666666701</v>
      </c>
      <c r="CT67" s="35">
        <v>146.69999999999999</v>
      </c>
      <c r="CU67" s="35">
        <v>147.53333333333299</v>
      </c>
      <c r="CV67" s="35">
        <v>148.9</v>
      </c>
      <c r="CW67" s="35">
        <v>149.76666666666699</v>
      </c>
      <c r="CX67" s="35">
        <v>150.86666666666699</v>
      </c>
      <c r="CY67" s="35">
        <v>152.1</v>
      </c>
      <c r="CZ67" s="35">
        <v>152.86666666666699</v>
      </c>
      <c r="DA67" s="35">
        <v>153.69999999999999</v>
      </c>
      <c r="DB67" s="35">
        <v>155.066666666667</v>
      </c>
      <c r="DC67" s="35">
        <v>156.4</v>
      </c>
      <c r="DD67" s="35">
        <v>157.30000000000001</v>
      </c>
      <c r="DE67" s="35">
        <v>158.666666666667</v>
      </c>
      <c r="DF67" s="35">
        <v>159.63333333333301</v>
      </c>
      <c r="DG67" s="35">
        <v>160</v>
      </c>
      <c r="DH67" s="35">
        <v>160.80000000000001</v>
      </c>
      <c r="DI67" s="35">
        <v>161.666666666667</v>
      </c>
      <c r="DJ67" s="35">
        <v>162</v>
      </c>
      <c r="DK67" s="35">
        <v>162.53333333333299</v>
      </c>
      <c r="DL67" s="35">
        <v>163.36666666666699</v>
      </c>
      <c r="DM67" s="35">
        <v>164.13333333333301</v>
      </c>
      <c r="DN67" s="35">
        <v>164.73333333333301</v>
      </c>
      <c r="DO67" s="35">
        <v>165.96666666666701</v>
      </c>
      <c r="DP67" s="35">
        <v>167.2</v>
      </c>
      <c r="DQ67" s="35">
        <v>168.433333333333</v>
      </c>
      <c r="DR67" s="35">
        <v>170.1</v>
      </c>
      <c r="DS67" s="35">
        <v>171.433333333333</v>
      </c>
      <c r="DT67" s="35">
        <v>173</v>
      </c>
      <c r="DU67" s="35">
        <v>174.23333333333301</v>
      </c>
      <c r="DV67" s="35">
        <v>175.9</v>
      </c>
      <c r="DW67" s="35">
        <v>177.13333333333301</v>
      </c>
      <c r="DX67" s="35">
        <v>177.63333333333301</v>
      </c>
      <c r="DY67" s="35">
        <v>177.5</v>
      </c>
      <c r="DZ67" s="35">
        <v>178.066666666667</v>
      </c>
      <c r="EA67" s="35">
        <v>179.46666666666701</v>
      </c>
      <c r="EB67" s="35">
        <v>180.433333333333</v>
      </c>
      <c r="EC67" s="35">
        <v>181.5</v>
      </c>
      <c r="ED67" s="35">
        <v>183.36666666666699</v>
      </c>
      <c r="EE67" s="35">
        <v>183.066666666667</v>
      </c>
      <c r="EF67" s="35">
        <v>184.433333333333</v>
      </c>
      <c r="EG67" s="35">
        <v>185.13333333333301</v>
      </c>
      <c r="EH67" s="35">
        <v>186.7</v>
      </c>
      <c r="EI67" s="35">
        <v>188.166666666667</v>
      </c>
      <c r="EJ67" s="35">
        <v>189.36666666666699</v>
      </c>
      <c r="EK67" s="35">
        <v>191.4</v>
      </c>
      <c r="EL67" s="35">
        <v>192.36666666666699</v>
      </c>
      <c r="EM67" s="35">
        <v>193.666666666667</v>
      </c>
      <c r="EN67" s="35">
        <v>196.6</v>
      </c>
      <c r="EO67" s="35">
        <v>198.433333333333</v>
      </c>
      <c r="EP67" s="35">
        <v>199.46666666666701</v>
      </c>
      <c r="EQ67" s="35">
        <v>201.26666666666699</v>
      </c>
      <c r="ER67" s="35">
        <v>203.166666666667</v>
      </c>
      <c r="ES67" s="35">
        <v>202.333333333333</v>
      </c>
      <c r="ET67" s="35">
        <v>204.31700000000001</v>
      </c>
      <c r="EU67" s="35">
        <v>206.631</v>
      </c>
      <c r="EV67" s="35">
        <v>207.93899999999999</v>
      </c>
      <c r="EW67" s="35">
        <v>210.48966666666701</v>
      </c>
      <c r="EX67" s="35">
        <v>212.76966666666701</v>
      </c>
      <c r="EY67" s="35">
        <v>215.53766666666701</v>
      </c>
      <c r="EZ67" s="35">
        <v>218.86099999999999</v>
      </c>
      <c r="FA67" s="35">
        <v>213.84866666666699</v>
      </c>
      <c r="FB67" s="35">
        <v>212.37766666666701</v>
      </c>
      <c r="FC67" s="35">
        <v>213.50700000000001</v>
      </c>
      <c r="FD67" s="35">
        <v>215.34399999999999</v>
      </c>
      <c r="FE67" s="35">
        <v>217.03</v>
      </c>
      <c r="FF67" s="35">
        <v>217.374</v>
      </c>
      <c r="FG67" s="35">
        <v>217.297333333333</v>
      </c>
      <c r="FH67" s="35">
        <v>217.934333333333</v>
      </c>
      <c r="FI67" s="35">
        <v>219.69900000000001</v>
      </c>
      <c r="FJ67" s="35">
        <v>222.04366666666701</v>
      </c>
      <c r="FK67" s="35">
        <v>224.56833333333299</v>
      </c>
      <c r="FL67" s="35">
        <v>226.03266666666701</v>
      </c>
      <c r="FM67" s="35">
        <v>227.047333333333</v>
      </c>
      <c r="FN67" s="35">
        <v>228.32599999999999</v>
      </c>
      <c r="FO67" s="35">
        <v>228.80799999999999</v>
      </c>
      <c r="FP67" s="35">
        <v>229.84100000000001</v>
      </c>
      <c r="FQ67" s="35">
        <v>231.369333333333</v>
      </c>
      <c r="FR67" s="35">
        <v>232.29933333333301</v>
      </c>
      <c r="FS67" s="35">
        <v>232.04499999999999</v>
      </c>
      <c r="FT67" s="35">
        <v>233.3</v>
      </c>
      <c r="FU67" s="35">
        <v>234.16266666666701</v>
      </c>
      <c r="FV67" s="35">
        <v>235.62100000000001</v>
      </c>
      <c r="FW67" s="35">
        <v>236.87233333333299</v>
      </c>
      <c r="FX67" s="35">
        <v>237.47833333333301</v>
      </c>
      <c r="FY67" s="35">
        <v>236.88833333333301</v>
      </c>
      <c r="FZ67" s="35">
        <v>235.35499999999999</v>
      </c>
      <c r="GA67" s="35">
        <v>236.96</v>
      </c>
      <c r="GB67" s="35">
        <v>237.85499999999999</v>
      </c>
      <c r="GC67" s="35">
        <v>237.83699999999999</v>
      </c>
      <c r="GD67" s="35">
        <v>237.689333333333</v>
      </c>
      <c r="GE67" s="35">
        <v>239.59033333333301</v>
      </c>
      <c r="GF67" s="35">
        <v>240.607333333333</v>
      </c>
      <c r="GG67" s="35">
        <v>242.13466666666699</v>
      </c>
      <c r="GH67" s="35">
        <v>243.838666666667</v>
      </c>
      <c r="GI67" s="35">
        <v>244.12</v>
      </c>
      <c r="GJ67" s="35">
        <v>245.28700000000001</v>
      </c>
      <c r="GK67" s="35">
        <v>247.238333333333</v>
      </c>
      <c r="GL67" s="35">
        <v>249.321666666667</v>
      </c>
      <c r="GM67" s="35">
        <v>250.679</v>
      </c>
      <c r="GN67" s="35">
        <v>251.68633333333301</v>
      </c>
      <c r="GO67" s="35">
        <v>252.71100000000001</v>
      </c>
      <c r="GP67" s="35">
        <v>253.41399999999999</v>
      </c>
      <c r="GQ67" s="35">
        <v>255.22</v>
      </c>
      <c r="GR67" s="35">
        <v>256.08499999999998</v>
      </c>
      <c r="GS67" s="35">
        <v>257.88766666666697</v>
      </c>
      <c r="GT67" s="35">
        <v>258.803</v>
      </c>
      <c r="GU67" s="35">
        <v>256.315333333333</v>
      </c>
      <c r="GV67" s="35">
        <v>259.23933333333298</v>
      </c>
      <c r="GW67" s="35">
        <v>261.04466666666701</v>
      </c>
      <c r="GX67" s="35">
        <v>263.73399999999998</v>
      </c>
      <c r="GY67" s="35">
        <v>268.55766666666699</v>
      </c>
      <c r="GZ67" s="35">
        <v>272.887333333333</v>
      </c>
      <c r="HA67" s="35">
        <v>278.70666666666699</v>
      </c>
      <c r="HB67" s="35">
        <v>284.893666666667</v>
      </c>
      <c r="HC67">
        <v>291.535666666667</v>
      </c>
      <c r="HD67">
        <v>295.49566666666698</v>
      </c>
      <c r="HE67">
        <v>298.52499999999998</v>
      </c>
      <c r="HF67">
        <v>301.33066666666701</v>
      </c>
    </row>
    <row r="68" spans="1:214" x14ac:dyDescent="0.35">
      <c r="A68" s="35" t="s">
        <v>2189</v>
      </c>
      <c r="B68" s="35">
        <v>38.299999999999997</v>
      </c>
      <c r="C68" s="35">
        <v>38.8333333333333</v>
      </c>
      <c r="D68" s="35">
        <v>39.233333333333299</v>
      </c>
      <c r="E68" s="35">
        <v>39.799999999999997</v>
      </c>
      <c r="F68" s="35">
        <v>40.1666666666667</v>
      </c>
      <c r="G68" s="35">
        <v>40.533333333333303</v>
      </c>
      <c r="H68" s="35">
        <v>40.966666666666697</v>
      </c>
      <c r="I68" s="35">
        <v>41.233333333333299</v>
      </c>
      <c r="J68" s="35">
        <v>41.6</v>
      </c>
      <c r="K68" s="35">
        <v>41.8</v>
      </c>
      <c r="L68" s="35">
        <v>42.2</v>
      </c>
      <c r="M68" s="35">
        <v>42.633333333333297</v>
      </c>
      <c r="N68" s="35">
        <v>43.266666666666701</v>
      </c>
      <c r="O68" s="35">
        <v>44.1666666666667</v>
      </c>
      <c r="P68" s="35">
        <v>45.066666666666698</v>
      </c>
      <c r="Q68" s="35">
        <v>46.1666666666667</v>
      </c>
      <c r="R68" s="35">
        <v>47.566666666666698</v>
      </c>
      <c r="S68" s="35">
        <v>48.766666666666701</v>
      </c>
      <c r="T68" s="35">
        <v>50.233333333333299</v>
      </c>
      <c r="U68" s="35">
        <v>51.766666666666701</v>
      </c>
      <c r="V68" s="35">
        <v>52.866666666666703</v>
      </c>
      <c r="W68" s="35">
        <v>53.5</v>
      </c>
      <c r="X68" s="35">
        <v>54.566666666666698</v>
      </c>
      <c r="Y68" s="35">
        <v>55.566666666666698</v>
      </c>
      <c r="Z68" s="35">
        <v>56.233333333333299</v>
      </c>
      <c r="AA68" s="35">
        <v>56.733333333333299</v>
      </c>
      <c r="AB68" s="35">
        <v>57.6</v>
      </c>
      <c r="AC68" s="35">
        <v>58.433333333333302</v>
      </c>
      <c r="AD68" s="35">
        <v>59.533333333333303</v>
      </c>
      <c r="AE68" s="35">
        <v>60.6</v>
      </c>
      <c r="AF68" s="35">
        <v>61.433333333333302</v>
      </c>
      <c r="AG68" s="35">
        <v>62.266666666666701</v>
      </c>
      <c r="AH68" s="35">
        <v>63.366666666666703</v>
      </c>
      <c r="AI68" s="35">
        <v>64.766666666666694</v>
      </c>
      <c r="AJ68" s="35">
        <v>66.233333333333306</v>
      </c>
      <c r="AK68" s="35">
        <v>67.8333333333333</v>
      </c>
      <c r="AL68" s="35">
        <v>69.566666666666706</v>
      </c>
      <c r="AM68" s="35">
        <v>71.900000000000006</v>
      </c>
      <c r="AN68" s="35">
        <v>74.233333333333306</v>
      </c>
      <c r="AO68" s="35">
        <v>76.5</v>
      </c>
      <c r="AP68" s="35">
        <v>79.5</v>
      </c>
      <c r="AQ68" s="35">
        <v>82.2</v>
      </c>
      <c r="AR68" s="35">
        <v>83.733333333333306</v>
      </c>
      <c r="AS68" s="35">
        <v>86.1666666666667</v>
      </c>
      <c r="AT68" s="35">
        <v>88.466666666666697</v>
      </c>
      <c r="AU68" s="35">
        <v>90.233333333333306</v>
      </c>
      <c r="AV68" s="35">
        <v>92.733333333333306</v>
      </c>
      <c r="AW68" s="35">
        <v>94.1666666666667</v>
      </c>
      <c r="AX68" s="35">
        <v>94.966666666666697</v>
      </c>
      <c r="AY68" s="35">
        <v>96.233333333333306</v>
      </c>
      <c r="AZ68" s="35">
        <v>98</v>
      </c>
      <c r="BA68" s="35">
        <v>98.3333333333333</v>
      </c>
      <c r="BB68" s="35">
        <v>98.3</v>
      </c>
      <c r="BC68" s="35">
        <v>99.433333333333294</v>
      </c>
      <c r="BD68" s="35">
        <v>100.4</v>
      </c>
      <c r="BE68" s="35">
        <v>101.166666666667</v>
      </c>
      <c r="BF68" s="35">
        <v>101.933333333333</v>
      </c>
      <c r="BG68" s="35">
        <v>102.466666666667</v>
      </c>
      <c r="BH68" s="35">
        <v>103.933333333333</v>
      </c>
      <c r="BI68" s="35">
        <v>104.8</v>
      </c>
      <c r="BJ68" s="35">
        <v>105.666666666667</v>
      </c>
      <c r="BK68" s="35">
        <v>106.633333333333</v>
      </c>
      <c r="BL68" s="35">
        <v>107.133333333333</v>
      </c>
      <c r="BM68" s="35">
        <v>108.2</v>
      </c>
      <c r="BN68" s="35">
        <v>108.666666666667</v>
      </c>
      <c r="BO68" s="35">
        <v>107.933333333333</v>
      </c>
      <c r="BP68" s="35">
        <v>108.5</v>
      </c>
      <c r="BQ68" s="35">
        <v>109.2</v>
      </c>
      <c r="BR68" s="35">
        <v>110.666666666667</v>
      </c>
      <c r="BS68" s="35">
        <v>111.966666666667</v>
      </c>
      <c r="BT68" s="35">
        <v>113.166666666667</v>
      </c>
      <c r="BU68" s="35">
        <v>114.166666666667</v>
      </c>
      <c r="BV68" s="35">
        <v>114.933333333333</v>
      </c>
      <c r="BW68" s="35">
        <v>116.2</v>
      </c>
      <c r="BX68" s="35">
        <v>117.73333333333299</v>
      </c>
      <c r="BY68" s="35">
        <v>118.933333333333</v>
      </c>
      <c r="BZ68" s="35">
        <v>120.366666666667</v>
      </c>
      <c r="CA68" s="35">
        <v>122.4</v>
      </c>
      <c r="CB68" s="35">
        <v>123.26666666666701</v>
      </c>
      <c r="CC68" s="35">
        <v>124.4</v>
      </c>
      <c r="CD68" s="35">
        <v>126.566666666667</v>
      </c>
      <c r="CE68" s="35">
        <v>127.666666666667</v>
      </c>
      <c r="CF68" s="35">
        <v>129.86666666666699</v>
      </c>
      <c r="CG68" s="35">
        <v>132.1</v>
      </c>
      <c r="CH68" s="35">
        <v>132.933333333333</v>
      </c>
      <c r="CI68" s="35">
        <v>133.73333333333301</v>
      </c>
      <c r="CJ68" s="35">
        <v>134.63333333333301</v>
      </c>
      <c r="CK68" s="35">
        <v>135.73333333333301</v>
      </c>
      <c r="CL68" s="35">
        <v>136.53333333333299</v>
      </c>
      <c r="CM68" s="35">
        <v>137.566666666667</v>
      </c>
      <c r="CN68" s="35">
        <v>138.69999999999999</v>
      </c>
      <c r="CO68" s="35">
        <v>139.80000000000001</v>
      </c>
      <c r="CP68" s="35">
        <v>140.76666666666699</v>
      </c>
      <c r="CQ68" s="35">
        <v>141.73333333333301</v>
      </c>
      <c r="CR68" s="35">
        <v>142.333333333333</v>
      </c>
      <c r="CS68" s="35">
        <v>143.433333333333</v>
      </c>
      <c r="CT68" s="35">
        <v>144.03333333333299</v>
      </c>
      <c r="CU68" s="35">
        <v>144.86666666666699</v>
      </c>
      <c r="CV68" s="35">
        <v>146.4</v>
      </c>
      <c r="CW68" s="35">
        <v>147.26666666666699</v>
      </c>
      <c r="CX68" s="35">
        <v>148.333333333333</v>
      </c>
      <c r="CY68" s="35">
        <v>149.5</v>
      </c>
      <c r="CZ68" s="35">
        <v>150.166666666667</v>
      </c>
      <c r="DA68" s="35">
        <v>151</v>
      </c>
      <c r="DB68" s="35">
        <v>152.4</v>
      </c>
      <c r="DC68" s="35">
        <v>153.73333333333301</v>
      </c>
      <c r="DD68" s="35">
        <v>154.566666666667</v>
      </c>
      <c r="DE68" s="35">
        <v>155.86666666666699</v>
      </c>
      <c r="DF68" s="35">
        <v>156.80000000000001</v>
      </c>
      <c r="DG68" s="35">
        <v>157.1</v>
      </c>
      <c r="DH68" s="35">
        <v>157.80000000000001</v>
      </c>
      <c r="DI68" s="35">
        <v>158.53333333333299</v>
      </c>
      <c r="DJ68" s="35">
        <v>158.73333333333301</v>
      </c>
      <c r="DK68" s="35">
        <v>159.19999999999999</v>
      </c>
      <c r="DL68" s="35">
        <v>159.96666666666701</v>
      </c>
      <c r="DM68" s="35">
        <v>160.76666666666699</v>
      </c>
      <c r="DN68" s="35">
        <v>161.36666666666699</v>
      </c>
      <c r="DO68" s="35">
        <v>162.53333333333299</v>
      </c>
      <c r="DP68" s="35">
        <v>163.9</v>
      </c>
      <c r="DQ68" s="35">
        <v>165.2</v>
      </c>
      <c r="DR68" s="35">
        <v>166.833333333333</v>
      </c>
      <c r="DS68" s="35">
        <v>168.166666666667</v>
      </c>
      <c r="DT68" s="35">
        <v>169.7</v>
      </c>
      <c r="DU68" s="35">
        <v>170.833333333333</v>
      </c>
      <c r="DV68" s="35">
        <v>172.433333333333</v>
      </c>
      <c r="DW68" s="35">
        <v>173.73333333333301</v>
      </c>
      <c r="DX68" s="35">
        <v>174.1</v>
      </c>
      <c r="DY68" s="35">
        <v>173.666666666667</v>
      </c>
      <c r="DZ68" s="35">
        <v>174.03333333333299</v>
      </c>
      <c r="EA68" s="35">
        <v>175.53333333333299</v>
      </c>
      <c r="EB68" s="35">
        <v>176.5</v>
      </c>
      <c r="EC68" s="35">
        <v>177.46666666666701</v>
      </c>
      <c r="ED68" s="35">
        <v>179.46666666666701</v>
      </c>
      <c r="EE68" s="35">
        <v>178.933333333333</v>
      </c>
      <c r="EF68" s="35">
        <v>180.2</v>
      </c>
      <c r="EG68" s="35">
        <v>180.73333333333301</v>
      </c>
      <c r="EH68" s="35">
        <v>182.333333333333</v>
      </c>
      <c r="EI68" s="35">
        <v>183.666666666667</v>
      </c>
      <c r="EJ68" s="35">
        <v>184.86666666666699</v>
      </c>
      <c r="EK68" s="35">
        <v>187.066666666667</v>
      </c>
      <c r="EL68" s="35">
        <v>187.933333333333</v>
      </c>
      <c r="EM68" s="35">
        <v>189.23333333333301</v>
      </c>
      <c r="EN68" s="35">
        <v>192.566666666667</v>
      </c>
      <c r="EO68" s="35">
        <v>194.2</v>
      </c>
      <c r="EP68" s="35">
        <v>195.13333333333301</v>
      </c>
      <c r="EQ68" s="35">
        <v>196.933333333333</v>
      </c>
      <c r="ER68" s="35">
        <v>198.8</v>
      </c>
      <c r="ES68" s="35">
        <v>197.566666666667</v>
      </c>
      <c r="ET68" s="35">
        <v>199.553</v>
      </c>
      <c r="EU68" s="35">
        <v>202.077</v>
      </c>
      <c r="EV68" s="35">
        <v>203.37</v>
      </c>
      <c r="EW68" s="35">
        <v>206.08566666666701</v>
      </c>
      <c r="EX68" s="35">
        <v>208.51599999999999</v>
      </c>
      <c r="EY68" s="35">
        <v>211.50266666666701</v>
      </c>
      <c r="EZ68" s="35">
        <v>215.13</v>
      </c>
      <c r="FA68" s="35">
        <v>208.838666666667</v>
      </c>
      <c r="FB68" s="35">
        <v>206.94333333333299</v>
      </c>
      <c r="FC68" s="35">
        <v>208.39033333333299</v>
      </c>
      <c r="FD68" s="35">
        <v>210.69499999999999</v>
      </c>
      <c r="FE68" s="35">
        <v>212.63266666666701</v>
      </c>
      <c r="FF68" s="35">
        <v>213.23699999999999</v>
      </c>
      <c r="FG68" s="35">
        <v>213.15066666666701</v>
      </c>
      <c r="FH68" s="35">
        <v>213.82</v>
      </c>
      <c r="FI68" s="35">
        <v>215.76400000000001</v>
      </c>
      <c r="FJ68" s="35">
        <v>218.41566666666699</v>
      </c>
      <c r="FK68" s="35">
        <v>221.28766666666701</v>
      </c>
      <c r="FL68" s="35">
        <v>222.738</v>
      </c>
      <c r="FM68" s="35">
        <v>223.774666666667</v>
      </c>
      <c r="FN68" s="35">
        <v>225.08733333333299</v>
      </c>
      <c r="FO68" s="35">
        <v>225.45933333333301</v>
      </c>
      <c r="FP68" s="35">
        <v>226.357</v>
      </c>
      <c r="FQ68" s="35">
        <v>227.97166666666701</v>
      </c>
      <c r="FR68" s="35">
        <v>228.83666666666701</v>
      </c>
      <c r="FS68" s="35">
        <v>228.40966666666699</v>
      </c>
      <c r="FT68" s="35">
        <v>229.589</v>
      </c>
      <c r="FU68" s="35">
        <v>230.43366666666699</v>
      </c>
      <c r="FV68" s="35">
        <v>231.95</v>
      </c>
      <c r="FW68" s="35">
        <v>233.101333333333</v>
      </c>
      <c r="FX68" s="35">
        <v>233.494333333333</v>
      </c>
      <c r="FY68" s="35">
        <v>232.43100000000001</v>
      </c>
      <c r="FZ68" s="35">
        <v>230.23666666666699</v>
      </c>
      <c r="GA68" s="35">
        <v>231.957666666667</v>
      </c>
      <c r="GB68" s="35">
        <v>232.69333333333299</v>
      </c>
      <c r="GC68" s="35">
        <v>232.280333333333</v>
      </c>
      <c r="GD68" s="35">
        <v>231.78100000000001</v>
      </c>
      <c r="GE68" s="35">
        <v>233.774</v>
      </c>
      <c r="GF68" s="35">
        <v>234.59666666666701</v>
      </c>
      <c r="GG68" s="35">
        <v>236.14066666666699</v>
      </c>
      <c r="GH68" s="35">
        <v>237.85900000000001</v>
      </c>
      <c r="GI68" s="35">
        <v>237.92533333333299</v>
      </c>
      <c r="GJ68" s="35">
        <v>239.136666666667</v>
      </c>
      <c r="GK68" s="35">
        <v>241.27633333333301</v>
      </c>
      <c r="GL68" s="35">
        <v>243.41566666666699</v>
      </c>
      <c r="GM68" s="35">
        <v>244.71766666666699</v>
      </c>
      <c r="GN68" s="35">
        <v>245.76533333333299</v>
      </c>
      <c r="GO68" s="35">
        <v>246.649666666667</v>
      </c>
      <c r="GP68" s="35">
        <v>246.98466666666701</v>
      </c>
      <c r="GQ68" s="35">
        <v>248.834666666667</v>
      </c>
      <c r="GR68" s="35">
        <v>249.59</v>
      </c>
      <c r="GS68" s="35">
        <v>251.44800000000001</v>
      </c>
      <c r="GT68" s="35">
        <v>252.17466666666701</v>
      </c>
      <c r="GU68" s="35">
        <v>249.43133333333299</v>
      </c>
      <c r="GV68" s="35">
        <v>252.82533333333299</v>
      </c>
      <c r="GW68" s="35">
        <v>254.74199999999999</v>
      </c>
      <c r="GX68" s="35">
        <v>257.68400000000003</v>
      </c>
      <c r="GY68" s="35">
        <v>262.91399999999999</v>
      </c>
      <c r="GZ68" s="35">
        <v>267.58300000000003</v>
      </c>
      <c r="HA68" s="35">
        <v>273.86700000000002</v>
      </c>
      <c r="HB68" s="35">
        <v>280.42466666666701</v>
      </c>
      <c r="HC68">
        <v>287.167666666667</v>
      </c>
      <c r="HD68">
        <v>290.80866666666702</v>
      </c>
      <c r="HE68">
        <v>293.31766666666698</v>
      </c>
      <c r="HF68">
        <v>295.71766666666701</v>
      </c>
    </row>
    <row r="69" spans="1:214" x14ac:dyDescent="0.35">
      <c r="A69" s="35" t="s">
        <v>2190</v>
      </c>
      <c r="B69" s="35">
        <v>4945.6000000000004</v>
      </c>
      <c r="C69" s="35">
        <v>4986.8</v>
      </c>
      <c r="D69" s="35">
        <v>5026.8</v>
      </c>
      <c r="E69" s="35">
        <v>5065.7</v>
      </c>
      <c r="F69" s="35">
        <v>5104.6000000000004</v>
      </c>
      <c r="G69" s="35">
        <v>5144.3999999999996</v>
      </c>
      <c r="H69" s="35">
        <v>5184.8</v>
      </c>
      <c r="I69" s="35">
        <v>5225.7</v>
      </c>
      <c r="J69" s="35">
        <v>5267.4</v>
      </c>
      <c r="K69" s="35">
        <v>5309.8</v>
      </c>
      <c r="L69" s="35">
        <v>5352.8</v>
      </c>
      <c r="M69" s="35">
        <v>5396.5</v>
      </c>
      <c r="N69" s="35">
        <v>5441.3</v>
      </c>
      <c r="O69" s="35">
        <v>5488.2</v>
      </c>
      <c r="P69" s="35">
        <v>5535.6</v>
      </c>
      <c r="Q69" s="35">
        <v>5584</v>
      </c>
      <c r="R69" s="35">
        <v>5633.1</v>
      </c>
      <c r="S69" s="35">
        <v>5682.5</v>
      </c>
      <c r="T69" s="35">
        <v>5731.3</v>
      </c>
      <c r="U69" s="35">
        <v>5779.3</v>
      </c>
      <c r="V69" s="35">
        <v>5826</v>
      </c>
      <c r="W69" s="35">
        <v>5871.8</v>
      </c>
      <c r="X69" s="35">
        <v>5917.1</v>
      </c>
      <c r="Y69" s="35">
        <v>5962.4</v>
      </c>
      <c r="Z69" s="35">
        <v>6007.7</v>
      </c>
      <c r="AA69" s="35">
        <v>6053.8</v>
      </c>
      <c r="AB69" s="35">
        <v>6101.3</v>
      </c>
      <c r="AC69" s="35">
        <v>6149.5</v>
      </c>
      <c r="AD69" s="35">
        <v>6199.4</v>
      </c>
      <c r="AE69" s="35">
        <v>6250.5</v>
      </c>
      <c r="AF69" s="35">
        <v>6302.3</v>
      </c>
      <c r="AG69" s="35">
        <v>6355.5</v>
      </c>
      <c r="AH69" s="35">
        <v>6410.2</v>
      </c>
      <c r="AI69" s="35">
        <v>6465.9</v>
      </c>
      <c r="AJ69" s="35">
        <v>6523.1</v>
      </c>
      <c r="AK69" s="35">
        <v>6581.4</v>
      </c>
      <c r="AL69" s="35">
        <v>6641.4</v>
      </c>
      <c r="AM69" s="35">
        <v>6699.4</v>
      </c>
      <c r="AN69" s="35">
        <v>6758.4</v>
      </c>
      <c r="AO69" s="35">
        <v>6808.8</v>
      </c>
      <c r="AP69" s="35">
        <v>6855.4</v>
      </c>
      <c r="AQ69" s="35">
        <v>6897.4</v>
      </c>
      <c r="AR69" s="35">
        <v>6934.9</v>
      </c>
      <c r="AS69" s="35">
        <v>6974.5</v>
      </c>
      <c r="AT69" s="35">
        <v>7018.3</v>
      </c>
      <c r="AU69" s="35">
        <v>7065.3</v>
      </c>
      <c r="AV69" s="35">
        <v>7115</v>
      </c>
      <c r="AW69" s="35">
        <v>7167.3</v>
      </c>
      <c r="AX69" s="35">
        <v>7221.5</v>
      </c>
      <c r="AY69" s="35">
        <v>7277</v>
      </c>
      <c r="AZ69" s="35">
        <v>7333.6</v>
      </c>
      <c r="BA69" s="35">
        <v>7391.4</v>
      </c>
      <c r="BB69" s="35">
        <v>7449.1</v>
      </c>
      <c r="BC69" s="35">
        <v>7508.3</v>
      </c>
      <c r="BD69" s="35">
        <v>7569.1</v>
      </c>
      <c r="BE69" s="35">
        <v>7632.5</v>
      </c>
      <c r="BF69" s="35">
        <v>7704.6</v>
      </c>
      <c r="BG69" s="35">
        <v>7772.5</v>
      </c>
      <c r="BH69" s="35">
        <v>7842</v>
      </c>
      <c r="BI69" s="35">
        <v>7912.6</v>
      </c>
      <c r="BJ69" s="35">
        <v>7983.4</v>
      </c>
      <c r="BK69" s="35">
        <v>8054.4</v>
      </c>
      <c r="BL69" s="35">
        <v>8125.3</v>
      </c>
      <c r="BM69" s="35">
        <v>8195.7000000000007</v>
      </c>
      <c r="BN69" s="35">
        <v>8265.5</v>
      </c>
      <c r="BO69" s="35">
        <v>8335</v>
      </c>
      <c r="BP69" s="35">
        <v>8404.2999999999993</v>
      </c>
      <c r="BQ69" s="35">
        <v>8473.6</v>
      </c>
      <c r="BR69" s="35">
        <v>8551.2000000000007</v>
      </c>
      <c r="BS69" s="35">
        <v>8619.5</v>
      </c>
      <c r="BT69" s="35">
        <v>8687.5</v>
      </c>
      <c r="BU69" s="35">
        <v>8755.7999999999993</v>
      </c>
      <c r="BV69" s="35">
        <v>8823.7000000000007</v>
      </c>
      <c r="BW69" s="35">
        <v>8891.7999999999993</v>
      </c>
      <c r="BX69" s="35">
        <v>8959.7999999999993</v>
      </c>
      <c r="BY69" s="35">
        <v>9027.7999999999993</v>
      </c>
      <c r="BZ69" s="35">
        <v>9095.4</v>
      </c>
      <c r="CA69" s="35">
        <v>9162.6</v>
      </c>
      <c r="CB69" s="35">
        <v>9229.4</v>
      </c>
      <c r="CC69" s="35">
        <v>9295.9</v>
      </c>
      <c r="CD69" s="35">
        <v>9361.4</v>
      </c>
      <c r="CE69" s="35">
        <v>9426.2999999999993</v>
      </c>
      <c r="CF69" s="35">
        <v>9489.7000000000007</v>
      </c>
      <c r="CG69" s="35">
        <v>9552</v>
      </c>
      <c r="CH69" s="35">
        <v>9613.2999999999993</v>
      </c>
      <c r="CI69" s="35">
        <v>9673.7999999999993</v>
      </c>
      <c r="CJ69" s="35">
        <v>9733.9</v>
      </c>
      <c r="CK69" s="35">
        <v>9794.2999999999993</v>
      </c>
      <c r="CL69" s="35">
        <v>9855.5</v>
      </c>
      <c r="CM69" s="35">
        <v>9917.5</v>
      </c>
      <c r="CN69" s="35">
        <v>9981.2000000000007</v>
      </c>
      <c r="CO69" s="35">
        <v>10046</v>
      </c>
      <c r="CP69" s="35">
        <v>10111.6</v>
      </c>
      <c r="CQ69" s="35">
        <v>10178.799999999999</v>
      </c>
      <c r="CR69" s="35">
        <v>10246.799999999999</v>
      </c>
      <c r="CS69" s="35">
        <v>10315.5</v>
      </c>
      <c r="CT69" s="35">
        <v>10384.700000000001</v>
      </c>
      <c r="CU69" s="35">
        <v>10454.200000000001</v>
      </c>
      <c r="CV69" s="35">
        <v>10524.6</v>
      </c>
      <c r="CW69" s="35">
        <v>10595.6</v>
      </c>
      <c r="CX69" s="35">
        <v>10666.8</v>
      </c>
      <c r="CY69" s="35">
        <v>10738.7</v>
      </c>
      <c r="CZ69" s="35">
        <v>10811</v>
      </c>
      <c r="DA69" s="35">
        <v>10884.9</v>
      </c>
      <c r="DB69" s="35">
        <v>10960</v>
      </c>
      <c r="DC69" s="35">
        <v>11040</v>
      </c>
      <c r="DD69" s="35">
        <v>11126</v>
      </c>
      <c r="DE69" s="35">
        <v>11217.9</v>
      </c>
      <c r="DF69" s="35">
        <v>11315.4</v>
      </c>
      <c r="DG69" s="35">
        <v>11418.1</v>
      </c>
      <c r="DH69" s="35">
        <v>11526</v>
      </c>
      <c r="DI69" s="35">
        <v>11638</v>
      </c>
      <c r="DJ69" s="35">
        <v>11753.4</v>
      </c>
      <c r="DK69" s="35">
        <v>11872.7</v>
      </c>
      <c r="DL69" s="35">
        <v>11994.2</v>
      </c>
      <c r="DM69" s="35">
        <v>12117.9</v>
      </c>
      <c r="DN69" s="35">
        <v>12244.2</v>
      </c>
      <c r="DO69" s="35">
        <v>12372.1</v>
      </c>
      <c r="DP69" s="35">
        <v>12501.7</v>
      </c>
      <c r="DQ69" s="35">
        <v>12633.8</v>
      </c>
      <c r="DR69" s="35">
        <v>12767.2</v>
      </c>
      <c r="DS69" s="35">
        <v>12898</v>
      </c>
      <c r="DT69" s="35">
        <v>13023.8</v>
      </c>
      <c r="DU69" s="35">
        <v>13144</v>
      </c>
      <c r="DV69" s="35">
        <v>13258.5</v>
      </c>
      <c r="DW69" s="35">
        <v>13367</v>
      </c>
      <c r="DX69" s="35">
        <v>13469.5</v>
      </c>
      <c r="DY69" s="35">
        <v>13566.7</v>
      </c>
      <c r="DZ69" s="35">
        <v>13658.8</v>
      </c>
      <c r="EA69" s="35">
        <v>13747.6</v>
      </c>
      <c r="EB69" s="35">
        <v>13834.4</v>
      </c>
      <c r="EC69" s="35">
        <v>13919.7</v>
      </c>
      <c r="ED69" s="35">
        <v>14004.8</v>
      </c>
      <c r="EE69" s="35">
        <v>14090.7</v>
      </c>
      <c r="EF69" s="35">
        <v>14176.8</v>
      </c>
      <c r="EG69" s="35">
        <v>14264.3</v>
      </c>
      <c r="EH69" s="35">
        <v>14354</v>
      </c>
      <c r="EI69" s="35">
        <v>14445.4</v>
      </c>
      <c r="EJ69" s="35">
        <v>14539.1</v>
      </c>
      <c r="EK69" s="35">
        <v>14634.1</v>
      </c>
      <c r="EL69" s="35">
        <v>14727.5</v>
      </c>
      <c r="EM69" s="35">
        <v>14818.5</v>
      </c>
      <c r="EN69" s="35">
        <v>14908.1</v>
      </c>
      <c r="EO69" s="35">
        <v>14995.6</v>
      </c>
      <c r="EP69" s="35">
        <v>15080.8</v>
      </c>
      <c r="EQ69" s="35">
        <v>15164.1</v>
      </c>
      <c r="ER69" s="35">
        <v>15244</v>
      </c>
      <c r="ES69" s="35">
        <v>15320.2</v>
      </c>
      <c r="ET69" s="35">
        <v>15397</v>
      </c>
      <c r="EU69" s="35">
        <v>15474.8</v>
      </c>
      <c r="EV69" s="35">
        <v>15553.6</v>
      </c>
      <c r="EW69" s="35">
        <v>15632.1</v>
      </c>
      <c r="EX69" s="35">
        <v>15709.9</v>
      </c>
      <c r="EY69" s="35">
        <v>15785</v>
      </c>
      <c r="EZ69" s="35">
        <v>15856.9</v>
      </c>
      <c r="FA69" s="35">
        <v>15924.8</v>
      </c>
      <c r="FB69" s="35">
        <v>15987.4</v>
      </c>
      <c r="FC69" s="35">
        <v>16045.8</v>
      </c>
      <c r="FD69" s="35">
        <v>16100.8</v>
      </c>
      <c r="FE69" s="35">
        <v>16154</v>
      </c>
      <c r="FF69" s="35">
        <v>16207.6</v>
      </c>
      <c r="FG69" s="35">
        <v>16262.5</v>
      </c>
      <c r="FH69" s="35">
        <v>16320.1</v>
      </c>
      <c r="FI69" s="35">
        <v>16379.8</v>
      </c>
      <c r="FJ69" s="35">
        <v>16441.7</v>
      </c>
      <c r="FK69" s="35">
        <v>16506</v>
      </c>
      <c r="FL69" s="35">
        <v>16572.599999999999</v>
      </c>
      <c r="FM69" s="35">
        <v>16641.2</v>
      </c>
      <c r="FN69" s="35">
        <v>16711.400000000001</v>
      </c>
      <c r="FO69" s="35">
        <v>16783.900000000001</v>
      </c>
      <c r="FP69" s="35">
        <v>16858.099999999999</v>
      </c>
      <c r="FQ69" s="35">
        <v>16933.7</v>
      </c>
      <c r="FR69" s="35">
        <v>17010.7</v>
      </c>
      <c r="FS69" s="35">
        <v>17089</v>
      </c>
      <c r="FT69" s="35">
        <v>17168.099999999999</v>
      </c>
      <c r="FU69" s="35">
        <v>17248.400000000001</v>
      </c>
      <c r="FV69" s="35">
        <v>17329.7</v>
      </c>
      <c r="FW69" s="35">
        <v>17411.7</v>
      </c>
      <c r="FX69" s="35">
        <v>17495.2</v>
      </c>
      <c r="FY69" s="35">
        <v>17579.3</v>
      </c>
      <c r="FZ69" s="35">
        <v>17663.599999999999</v>
      </c>
      <c r="GA69" s="35">
        <v>17747.900000000001</v>
      </c>
      <c r="GB69" s="35">
        <v>17831.599999999999</v>
      </c>
      <c r="GC69" s="35">
        <v>17914.099999999999</v>
      </c>
      <c r="GD69" s="35">
        <v>17995.900000000001</v>
      </c>
      <c r="GE69" s="35">
        <v>18076.8</v>
      </c>
      <c r="GF69" s="35">
        <v>18156.8</v>
      </c>
      <c r="GG69" s="35">
        <v>18236.5</v>
      </c>
      <c r="GH69" s="35">
        <v>18316.3</v>
      </c>
      <c r="GI69" s="35">
        <v>18396.5</v>
      </c>
      <c r="GJ69" s="35">
        <v>18479.2</v>
      </c>
      <c r="GK69" s="35">
        <v>18564.099999999999</v>
      </c>
      <c r="GL69" s="35">
        <v>18651.599999999999</v>
      </c>
      <c r="GM69" s="35">
        <v>18741.5</v>
      </c>
      <c r="GN69" s="35">
        <v>18833.8</v>
      </c>
      <c r="GO69" s="35">
        <v>18926.599999999999</v>
      </c>
      <c r="GP69" s="35">
        <v>19020.099999999999</v>
      </c>
      <c r="GQ69" s="35">
        <v>19114.599999999999</v>
      </c>
      <c r="GR69" s="35">
        <v>19210.5</v>
      </c>
      <c r="GS69" s="35">
        <v>19306.2</v>
      </c>
      <c r="GT69" s="35">
        <v>19399.2</v>
      </c>
      <c r="GU69" s="35">
        <v>19487</v>
      </c>
      <c r="GV69" s="35">
        <v>19562.599999999999</v>
      </c>
      <c r="GW69" s="35">
        <v>19647.5</v>
      </c>
      <c r="GX69" s="35">
        <v>19733.7</v>
      </c>
      <c r="GY69" s="35">
        <v>19820.900000000001</v>
      </c>
      <c r="GZ69" s="35">
        <v>19909.099999999999</v>
      </c>
      <c r="HA69" s="35">
        <v>19997.7</v>
      </c>
      <c r="HB69" s="35">
        <v>20087.7</v>
      </c>
      <c r="HC69">
        <v>20178.3</v>
      </c>
      <c r="HD69">
        <v>20269.099999999999</v>
      </c>
      <c r="HE69">
        <v>20362</v>
      </c>
      <c r="HF69">
        <v>20453.7</v>
      </c>
    </row>
    <row r="70" spans="1:214" x14ac:dyDescent="0.35">
      <c r="A70" s="35" t="s">
        <v>2191</v>
      </c>
      <c r="B70" s="35">
        <v>1052.4000000000001</v>
      </c>
      <c r="C70" s="35">
        <v>1076</v>
      </c>
      <c r="D70" s="35">
        <v>1093.5999999999999</v>
      </c>
      <c r="E70" s="35">
        <v>1116.5</v>
      </c>
      <c r="F70" s="35">
        <v>1142.3</v>
      </c>
      <c r="G70" s="35">
        <v>1166.3</v>
      </c>
      <c r="H70" s="35">
        <v>1187.4000000000001</v>
      </c>
      <c r="I70" s="35">
        <v>1206.7</v>
      </c>
      <c r="J70" s="35">
        <v>1234.9000000000001</v>
      </c>
      <c r="K70" s="35">
        <v>1252.5</v>
      </c>
      <c r="L70" s="35">
        <v>1274.8</v>
      </c>
      <c r="M70" s="35">
        <v>1301.5999999999999</v>
      </c>
      <c r="N70" s="35">
        <v>1327.5</v>
      </c>
      <c r="O70" s="35">
        <v>1359.5</v>
      </c>
      <c r="P70" s="35">
        <v>1397.9</v>
      </c>
      <c r="Q70" s="35">
        <v>1438.3</v>
      </c>
      <c r="R70" s="35">
        <v>1478.3</v>
      </c>
      <c r="S70" s="35">
        <v>1526.5</v>
      </c>
      <c r="T70" s="35">
        <v>1584.7</v>
      </c>
      <c r="U70" s="35">
        <v>1645</v>
      </c>
      <c r="V70" s="35">
        <v>1696</v>
      </c>
      <c r="W70" s="35">
        <v>1734.7</v>
      </c>
      <c r="X70" s="35">
        <v>1778.9</v>
      </c>
      <c r="Y70" s="35">
        <v>1822.5</v>
      </c>
      <c r="Z70" s="35">
        <v>1855.8</v>
      </c>
      <c r="AA70" s="35">
        <v>1888.9</v>
      </c>
      <c r="AB70" s="35">
        <v>1928.4</v>
      </c>
      <c r="AC70" s="35">
        <v>1978.4</v>
      </c>
      <c r="AD70" s="35">
        <v>2026.5</v>
      </c>
      <c r="AE70" s="35">
        <v>2072.1</v>
      </c>
      <c r="AF70" s="35">
        <v>2114.6999999999998</v>
      </c>
      <c r="AG70" s="35">
        <v>2178.6</v>
      </c>
      <c r="AH70" s="35">
        <v>2229.4</v>
      </c>
      <c r="AI70" s="35">
        <v>2291.6999999999998</v>
      </c>
      <c r="AJ70" s="35">
        <v>2351.1999999999998</v>
      </c>
      <c r="AK70" s="35">
        <v>2420.8000000000002</v>
      </c>
      <c r="AL70" s="35">
        <v>2487.4</v>
      </c>
      <c r="AM70" s="35">
        <v>2570.5</v>
      </c>
      <c r="AN70" s="35">
        <v>2649.9</v>
      </c>
      <c r="AO70" s="35">
        <v>2719.2</v>
      </c>
      <c r="AP70" s="35">
        <v>2795.2</v>
      </c>
      <c r="AQ70" s="35">
        <v>2879.4</v>
      </c>
      <c r="AR70" s="35">
        <v>2959.7</v>
      </c>
      <c r="AS70" s="35">
        <v>3054.2</v>
      </c>
      <c r="AT70" s="35">
        <v>3154.2</v>
      </c>
      <c r="AU70" s="35">
        <v>3238.3</v>
      </c>
      <c r="AV70" s="35">
        <v>3322.4</v>
      </c>
      <c r="AW70" s="35">
        <v>3404.7</v>
      </c>
      <c r="AX70" s="35">
        <v>3477.7</v>
      </c>
      <c r="AY70" s="35">
        <v>3549.9</v>
      </c>
      <c r="AZ70" s="35">
        <v>3628.3</v>
      </c>
      <c r="BA70" s="35">
        <v>3694.8</v>
      </c>
      <c r="BB70" s="35">
        <v>3751.7</v>
      </c>
      <c r="BC70" s="35">
        <v>3809.5</v>
      </c>
      <c r="BD70" s="35">
        <v>3881.3</v>
      </c>
      <c r="BE70" s="35">
        <v>3943.4</v>
      </c>
      <c r="BF70" s="35">
        <v>4021</v>
      </c>
      <c r="BG70" s="35">
        <v>4091.2</v>
      </c>
      <c r="BH70" s="35">
        <v>4164.5</v>
      </c>
      <c r="BI70" s="35">
        <v>4233.3999999999996</v>
      </c>
      <c r="BJ70" s="35">
        <v>4313.5</v>
      </c>
      <c r="BK70" s="35">
        <v>4379.8999999999996</v>
      </c>
      <c r="BL70" s="35">
        <v>4445.1000000000004</v>
      </c>
      <c r="BM70" s="35">
        <v>4508.6000000000004</v>
      </c>
      <c r="BN70" s="35">
        <v>4569.7</v>
      </c>
      <c r="BO70" s="35">
        <v>4625.3999999999996</v>
      </c>
      <c r="BP70" s="35">
        <v>4683.2</v>
      </c>
      <c r="BQ70" s="35">
        <v>4747.3999999999996</v>
      </c>
      <c r="BR70" s="35">
        <v>4821.3999999999996</v>
      </c>
      <c r="BS70" s="35">
        <v>4893.6000000000004</v>
      </c>
      <c r="BT70" s="35">
        <v>4969.5</v>
      </c>
      <c r="BU70" s="35">
        <v>5048.3999999999996</v>
      </c>
      <c r="BV70" s="35">
        <v>5127.5</v>
      </c>
      <c r="BW70" s="35">
        <v>5217.3</v>
      </c>
      <c r="BX70" s="35">
        <v>5320</v>
      </c>
      <c r="BY70" s="35">
        <v>5406.7</v>
      </c>
      <c r="BZ70" s="35">
        <v>5504.1</v>
      </c>
      <c r="CA70" s="35">
        <v>5603.8</v>
      </c>
      <c r="CB70" s="35">
        <v>5685.9</v>
      </c>
      <c r="CC70" s="35">
        <v>5767.6</v>
      </c>
      <c r="CD70" s="35">
        <v>5870.9</v>
      </c>
      <c r="CE70" s="35">
        <v>5977.8</v>
      </c>
      <c r="CF70" s="35">
        <v>6069.6</v>
      </c>
      <c r="CG70" s="35">
        <v>6154.9</v>
      </c>
      <c r="CH70" s="35">
        <v>6255.1</v>
      </c>
      <c r="CI70" s="35">
        <v>6340.7</v>
      </c>
      <c r="CJ70" s="35">
        <v>6429.9</v>
      </c>
      <c r="CK70" s="35">
        <v>6508.2</v>
      </c>
      <c r="CL70" s="35">
        <v>6573.2</v>
      </c>
      <c r="CM70" s="35">
        <v>6654.4</v>
      </c>
      <c r="CN70" s="35">
        <v>6729.8</v>
      </c>
      <c r="CO70" s="35">
        <v>6820.1</v>
      </c>
      <c r="CP70" s="35">
        <v>6903.2</v>
      </c>
      <c r="CQ70" s="35">
        <v>6990.3</v>
      </c>
      <c r="CR70" s="35">
        <v>7078.9</v>
      </c>
      <c r="CS70" s="35">
        <v>7165.2</v>
      </c>
      <c r="CT70" s="35">
        <v>7247.9</v>
      </c>
      <c r="CU70" s="35">
        <v>7331.5</v>
      </c>
      <c r="CV70" s="35">
        <v>7423.3</v>
      </c>
      <c r="CW70" s="35">
        <v>7513.8</v>
      </c>
      <c r="CX70" s="35">
        <v>7605.3</v>
      </c>
      <c r="CY70" s="35">
        <v>7693.5</v>
      </c>
      <c r="CZ70" s="35">
        <v>7783.4</v>
      </c>
      <c r="DA70" s="35">
        <v>7874.4</v>
      </c>
      <c r="DB70" s="35">
        <v>7966.8</v>
      </c>
      <c r="DC70" s="35">
        <v>8058.2</v>
      </c>
      <c r="DD70" s="35">
        <v>8147.6</v>
      </c>
      <c r="DE70" s="35">
        <v>8258.7999999999993</v>
      </c>
      <c r="DF70" s="35">
        <v>8380.2999999999993</v>
      </c>
      <c r="DG70" s="35">
        <v>8473.2999999999993</v>
      </c>
      <c r="DH70" s="35">
        <v>8590.6</v>
      </c>
      <c r="DI70" s="35">
        <v>8702.6</v>
      </c>
      <c r="DJ70" s="35">
        <v>8801.7000000000007</v>
      </c>
      <c r="DK70" s="35">
        <v>8912.1</v>
      </c>
      <c r="DL70" s="35">
        <v>9041.9</v>
      </c>
      <c r="DM70" s="35">
        <v>9160.4</v>
      </c>
      <c r="DN70" s="35">
        <v>9285.2999999999993</v>
      </c>
      <c r="DO70" s="35">
        <v>9417.9</v>
      </c>
      <c r="DP70" s="35">
        <v>9550.4</v>
      </c>
      <c r="DQ70" s="35">
        <v>9704.7000000000007</v>
      </c>
      <c r="DR70" s="35">
        <v>9872.2000000000007</v>
      </c>
      <c r="DS70" s="35">
        <v>10035.6</v>
      </c>
      <c r="DT70" s="35">
        <v>10192.9</v>
      </c>
      <c r="DU70" s="35">
        <v>10342.700000000001</v>
      </c>
      <c r="DV70" s="35">
        <v>10501.2</v>
      </c>
      <c r="DW70" s="35">
        <v>10651.2</v>
      </c>
      <c r="DX70" s="35">
        <v>10775.1</v>
      </c>
      <c r="DY70" s="35">
        <v>10886.6</v>
      </c>
      <c r="DZ70" s="35">
        <v>10996</v>
      </c>
      <c r="EA70" s="35">
        <v>11105.7</v>
      </c>
      <c r="EB70" s="35">
        <v>11229.7</v>
      </c>
      <c r="EC70" s="35">
        <v>11363.7</v>
      </c>
      <c r="ED70" s="35">
        <v>11490.3</v>
      </c>
      <c r="EE70" s="35">
        <v>11600.6</v>
      </c>
      <c r="EF70" s="35">
        <v>11737.8</v>
      </c>
      <c r="EG70" s="35">
        <v>11882.9</v>
      </c>
      <c r="EH70" s="35">
        <v>12042.3</v>
      </c>
      <c r="EI70" s="35">
        <v>12216.3</v>
      </c>
      <c r="EJ70" s="35">
        <v>12374.5</v>
      </c>
      <c r="EK70" s="35">
        <v>12551.7</v>
      </c>
      <c r="EL70" s="35">
        <v>12732.5</v>
      </c>
      <c r="EM70" s="35">
        <v>12904.3</v>
      </c>
      <c r="EN70" s="35">
        <v>13100.2</v>
      </c>
      <c r="EO70" s="35">
        <v>13283.8</v>
      </c>
      <c r="EP70" s="35">
        <v>13453.5</v>
      </c>
      <c r="EQ70" s="35">
        <v>13647.8</v>
      </c>
      <c r="ER70" s="35">
        <v>13815.3</v>
      </c>
      <c r="ES70" s="35">
        <v>13936.5</v>
      </c>
      <c r="ET70" s="35">
        <v>14140.4</v>
      </c>
      <c r="EU70" s="35">
        <v>14306.9</v>
      </c>
      <c r="EV70" s="35">
        <v>14454.5</v>
      </c>
      <c r="EW70" s="35">
        <v>14589.1</v>
      </c>
      <c r="EX70" s="35">
        <v>14713.1</v>
      </c>
      <c r="EY70" s="35">
        <v>14858.4</v>
      </c>
      <c r="EZ70" s="35">
        <v>15038.7</v>
      </c>
      <c r="FA70" s="35">
        <v>15138.8</v>
      </c>
      <c r="FB70" s="35">
        <v>15191</v>
      </c>
      <c r="FC70" s="35">
        <v>15219.7</v>
      </c>
      <c r="FD70" s="35">
        <v>15288.5</v>
      </c>
      <c r="FE70" s="35">
        <v>15389.3</v>
      </c>
      <c r="FF70" s="35">
        <v>15482.5</v>
      </c>
      <c r="FG70" s="35">
        <v>15610.8</v>
      </c>
      <c r="FH70" s="35">
        <v>15713.3</v>
      </c>
      <c r="FI70" s="35">
        <v>15863.2</v>
      </c>
      <c r="FJ70" s="35">
        <v>16005.3</v>
      </c>
      <c r="FK70" s="35">
        <v>16174</v>
      </c>
      <c r="FL70" s="35">
        <v>16339.8</v>
      </c>
      <c r="FM70" s="35">
        <v>16427.099999999999</v>
      </c>
      <c r="FN70" s="35">
        <v>16596.599999999999</v>
      </c>
      <c r="FO70" s="35">
        <v>16735.8</v>
      </c>
      <c r="FP70" s="35">
        <v>16896.7</v>
      </c>
      <c r="FQ70" s="35">
        <v>17058.8</v>
      </c>
      <c r="FR70" s="35">
        <v>17204.8</v>
      </c>
      <c r="FS70" s="35">
        <v>17333.2</v>
      </c>
      <c r="FT70" s="35">
        <v>17495.400000000001</v>
      </c>
      <c r="FU70" s="35">
        <v>17682.099999999999</v>
      </c>
      <c r="FV70" s="35">
        <v>17839.7</v>
      </c>
      <c r="FW70" s="35">
        <v>18025.5</v>
      </c>
      <c r="FX70" s="35">
        <v>18190.900000000001</v>
      </c>
      <c r="FY70" s="35">
        <v>18308.7</v>
      </c>
      <c r="FZ70" s="35">
        <v>18390</v>
      </c>
      <c r="GA70" s="35">
        <v>18577.900000000001</v>
      </c>
      <c r="GB70" s="35">
        <v>18721.2</v>
      </c>
      <c r="GC70" s="35">
        <v>18806.099999999999</v>
      </c>
      <c r="GD70" s="35">
        <v>18876.8</v>
      </c>
      <c r="GE70" s="35">
        <v>19095.599999999999</v>
      </c>
      <c r="GF70" s="35">
        <v>19233.5</v>
      </c>
      <c r="GG70" s="35">
        <v>19419.400000000001</v>
      </c>
      <c r="GH70" s="35">
        <v>19605.5</v>
      </c>
      <c r="GI70" s="35">
        <v>19752.599999999999</v>
      </c>
      <c r="GJ70" s="35">
        <v>19940.900000000001</v>
      </c>
      <c r="GK70" s="35">
        <v>20170.599999999999</v>
      </c>
      <c r="GL70" s="35">
        <v>20390</v>
      </c>
      <c r="GM70" s="35">
        <v>20664</v>
      </c>
      <c r="GN70" s="35">
        <v>20835.599999999999</v>
      </c>
      <c r="GO70" s="35">
        <v>21033.7</v>
      </c>
      <c r="GP70" s="35">
        <v>21219.1</v>
      </c>
      <c r="GQ70" s="35">
        <v>21443.3</v>
      </c>
      <c r="GR70" s="35">
        <v>21621.4</v>
      </c>
      <c r="GS70" s="35">
        <v>21808.799999999999</v>
      </c>
      <c r="GT70" s="35">
        <v>22002.2</v>
      </c>
      <c r="GU70" s="35">
        <v>22018.9</v>
      </c>
      <c r="GV70" s="35">
        <v>22295.7</v>
      </c>
      <c r="GW70" s="35">
        <v>22534.2</v>
      </c>
      <c r="GX70" s="35">
        <v>22914.799999999999</v>
      </c>
      <c r="GY70" s="35">
        <v>23373.1</v>
      </c>
      <c r="GZ70" s="35">
        <v>23833.5</v>
      </c>
      <c r="HA70" s="35">
        <v>24338.799999999999</v>
      </c>
      <c r="HB70" s="35">
        <v>24943.599999999999</v>
      </c>
      <c r="HC70">
        <v>25607.599999999999</v>
      </c>
      <c r="HD70">
        <v>25993.599999999999</v>
      </c>
      <c r="HE70">
        <v>26355.7</v>
      </c>
      <c r="HF70">
        <v>26705.1</v>
      </c>
    </row>
    <row r="71" spans="1:214" x14ac:dyDescent="0.35">
      <c r="A71" s="35" t="s">
        <v>2192</v>
      </c>
      <c r="B71" s="35">
        <v>1</v>
      </c>
      <c r="C71" s="35">
        <v>1</v>
      </c>
      <c r="D71" s="35">
        <v>1</v>
      </c>
      <c r="E71" s="35">
        <v>1</v>
      </c>
      <c r="F71" s="35">
        <v>-1</v>
      </c>
      <c r="G71" s="35">
        <v>-1</v>
      </c>
      <c r="H71" s="35">
        <v>-1</v>
      </c>
      <c r="I71" s="35">
        <v>-1</v>
      </c>
      <c r="J71" s="35">
        <v>-1</v>
      </c>
      <c r="K71" s="35">
        <v>-1</v>
      </c>
      <c r="L71" s="35">
        <v>-1</v>
      </c>
      <c r="M71" s="35">
        <v>-1</v>
      </c>
      <c r="N71" s="35">
        <v>-1</v>
      </c>
      <c r="O71" s="35">
        <v>-1</v>
      </c>
      <c r="P71" s="35">
        <v>-1</v>
      </c>
      <c r="Q71" s="35">
        <v>1</v>
      </c>
      <c r="R71" s="35">
        <v>1</v>
      </c>
      <c r="S71" s="35">
        <v>1</v>
      </c>
      <c r="T71" s="35">
        <v>1</v>
      </c>
      <c r="U71" s="35">
        <v>1</v>
      </c>
      <c r="V71" s="35">
        <v>1</v>
      </c>
      <c r="W71" s="35">
        <v>-1</v>
      </c>
      <c r="X71" s="35">
        <v>-1</v>
      </c>
      <c r="Y71" s="35">
        <v>-1</v>
      </c>
      <c r="Z71" s="35">
        <v>-1</v>
      </c>
      <c r="AA71" s="35">
        <v>-1</v>
      </c>
      <c r="AB71" s="35">
        <v>-1</v>
      </c>
      <c r="AC71" s="35">
        <v>-1</v>
      </c>
      <c r="AD71" s="35">
        <v>-1</v>
      </c>
      <c r="AE71" s="35">
        <v>-1</v>
      </c>
      <c r="AF71" s="35">
        <v>-1</v>
      </c>
      <c r="AG71" s="35">
        <v>-1</v>
      </c>
      <c r="AH71" s="35">
        <v>-1</v>
      </c>
      <c r="AI71" s="35">
        <v>-1</v>
      </c>
      <c r="AJ71" s="35">
        <v>-1</v>
      </c>
      <c r="AK71" s="35">
        <v>-1</v>
      </c>
      <c r="AL71" s="35">
        <v>-1</v>
      </c>
      <c r="AM71" s="35">
        <v>-1</v>
      </c>
      <c r="AN71" s="35">
        <v>-1</v>
      </c>
      <c r="AO71" s="35">
        <v>-1</v>
      </c>
      <c r="AP71" s="35">
        <v>1</v>
      </c>
      <c r="AQ71" s="35">
        <v>1</v>
      </c>
      <c r="AR71" s="35">
        <v>1</v>
      </c>
      <c r="AS71" s="35">
        <v>-1</v>
      </c>
      <c r="AT71" s="35">
        <v>-1</v>
      </c>
      <c r="AU71" s="35">
        <v>-1</v>
      </c>
      <c r="AV71" s="35">
        <v>1</v>
      </c>
      <c r="AW71" s="35">
        <v>1</v>
      </c>
      <c r="AX71" s="35">
        <v>1</v>
      </c>
      <c r="AY71" s="35">
        <v>1</v>
      </c>
      <c r="AZ71" s="35">
        <v>1</v>
      </c>
      <c r="BA71" s="35">
        <v>1</v>
      </c>
      <c r="BB71" s="35">
        <v>-1</v>
      </c>
      <c r="BC71" s="35">
        <v>-1</v>
      </c>
      <c r="BD71" s="35">
        <v>-1</v>
      </c>
      <c r="BE71" s="35">
        <v>-1</v>
      </c>
      <c r="BF71" s="35">
        <v>-1</v>
      </c>
      <c r="BG71" s="35">
        <v>-1</v>
      </c>
      <c r="BH71" s="35">
        <v>-1</v>
      </c>
      <c r="BI71" s="35">
        <v>-1</v>
      </c>
      <c r="BJ71" s="35">
        <v>-1</v>
      </c>
      <c r="BK71" s="35">
        <v>-1</v>
      </c>
      <c r="BL71" s="35">
        <v>-1</v>
      </c>
      <c r="BM71" s="35">
        <v>-1</v>
      </c>
      <c r="BN71" s="35">
        <v>-1</v>
      </c>
      <c r="BO71" s="35">
        <v>-1</v>
      </c>
      <c r="BP71" s="35">
        <v>-1</v>
      </c>
      <c r="BQ71" s="35">
        <v>-1</v>
      </c>
      <c r="BR71" s="35">
        <v>-1</v>
      </c>
      <c r="BS71" s="35">
        <v>-1</v>
      </c>
      <c r="BT71" s="35">
        <v>-1</v>
      </c>
      <c r="BU71" s="35">
        <v>-1</v>
      </c>
      <c r="BV71" s="35">
        <v>-1</v>
      </c>
      <c r="BW71" s="35">
        <v>-1</v>
      </c>
      <c r="BX71" s="35">
        <v>-1</v>
      </c>
      <c r="BY71" s="35">
        <v>-1</v>
      </c>
      <c r="BZ71" s="35">
        <v>-1</v>
      </c>
      <c r="CA71" s="35">
        <v>-1</v>
      </c>
      <c r="CB71" s="35">
        <v>-1</v>
      </c>
      <c r="CC71" s="35">
        <v>-1</v>
      </c>
      <c r="CD71" s="35">
        <v>-1</v>
      </c>
      <c r="CE71" s="35">
        <v>-1</v>
      </c>
      <c r="CF71" s="35">
        <v>1</v>
      </c>
      <c r="CG71" s="35">
        <v>1</v>
      </c>
      <c r="CH71" s="35">
        <v>1</v>
      </c>
      <c r="CI71" s="35">
        <v>-1</v>
      </c>
      <c r="CJ71" s="35">
        <v>-1</v>
      </c>
      <c r="CK71" s="35">
        <v>-1</v>
      </c>
      <c r="CL71" s="35">
        <v>-1</v>
      </c>
      <c r="CM71" s="35">
        <v>-1</v>
      </c>
      <c r="CN71" s="35">
        <v>-1</v>
      </c>
      <c r="CO71" s="35">
        <v>-1</v>
      </c>
      <c r="CP71" s="35">
        <v>-1</v>
      </c>
      <c r="CQ71" s="35">
        <v>-1</v>
      </c>
      <c r="CR71" s="35">
        <v>-1</v>
      </c>
      <c r="CS71" s="35">
        <v>-1</v>
      </c>
      <c r="CT71" s="35">
        <v>-1</v>
      </c>
      <c r="CU71" s="35">
        <v>-1</v>
      </c>
      <c r="CV71" s="35">
        <v>-1</v>
      </c>
      <c r="CW71" s="35">
        <v>-1</v>
      </c>
      <c r="CX71" s="35">
        <v>-1</v>
      </c>
      <c r="CY71" s="35">
        <v>-1</v>
      </c>
      <c r="CZ71" s="35">
        <v>-1</v>
      </c>
      <c r="DA71" s="35">
        <v>-1</v>
      </c>
      <c r="DB71" s="35">
        <v>-1</v>
      </c>
      <c r="DC71" s="35">
        <v>-1</v>
      </c>
      <c r="DD71" s="35">
        <v>-1</v>
      </c>
      <c r="DE71" s="35">
        <v>-1</v>
      </c>
      <c r="DF71" s="35">
        <v>-1</v>
      </c>
      <c r="DG71" s="35">
        <v>-1</v>
      </c>
      <c r="DH71" s="35">
        <v>-1</v>
      </c>
      <c r="DI71" s="35">
        <v>-1</v>
      </c>
      <c r="DJ71" s="35">
        <v>-1</v>
      </c>
      <c r="DK71" s="35">
        <v>-1</v>
      </c>
      <c r="DL71" s="35">
        <v>-1</v>
      </c>
      <c r="DM71" s="35">
        <v>-1</v>
      </c>
      <c r="DN71" s="35">
        <v>-1</v>
      </c>
      <c r="DO71" s="35">
        <v>-1</v>
      </c>
      <c r="DP71" s="35">
        <v>-1</v>
      </c>
      <c r="DQ71" s="35">
        <v>-1</v>
      </c>
      <c r="DR71" s="35">
        <v>-1</v>
      </c>
      <c r="DS71" s="35">
        <v>-1</v>
      </c>
      <c r="DT71" s="35">
        <v>-1</v>
      </c>
      <c r="DU71" s="35">
        <v>-1</v>
      </c>
      <c r="DV71" s="35">
        <v>1</v>
      </c>
      <c r="DW71" s="35">
        <v>1</v>
      </c>
      <c r="DX71" s="35">
        <v>1</v>
      </c>
      <c r="DY71" s="35">
        <v>1</v>
      </c>
      <c r="DZ71" s="35">
        <v>-1</v>
      </c>
      <c r="EA71" s="35">
        <v>-1</v>
      </c>
      <c r="EB71" s="35">
        <v>-1</v>
      </c>
      <c r="EC71" s="35">
        <v>-1</v>
      </c>
      <c r="ED71" s="35">
        <v>-1</v>
      </c>
      <c r="EE71" s="35">
        <v>-1</v>
      </c>
      <c r="EF71" s="35">
        <v>-1</v>
      </c>
      <c r="EG71" s="35">
        <v>-1</v>
      </c>
      <c r="EH71" s="35">
        <v>-1</v>
      </c>
      <c r="EI71" s="35">
        <v>-1</v>
      </c>
      <c r="EJ71" s="35">
        <v>-1</v>
      </c>
      <c r="EK71" s="35">
        <v>-1</v>
      </c>
      <c r="EL71" s="35">
        <v>-1</v>
      </c>
      <c r="EM71" s="35">
        <v>-1</v>
      </c>
      <c r="EN71" s="35">
        <v>-1</v>
      </c>
      <c r="EO71" s="35">
        <v>-1</v>
      </c>
      <c r="EP71" s="35">
        <v>-1</v>
      </c>
      <c r="EQ71" s="35">
        <v>-1</v>
      </c>
      <c r="ER71" s="35">
        <v>-1</v>
      </c>
      <c r="ES71" s="35">
        <v>-1</v>
      </c>
      <c r="ET71" s="35">
        <v>-1</v>
      </c>
      <c r="EU71" s="35">
        <v>-1</v>
      </c>
      <c r="EV71" s="35">
        <v>-1</v>
      </c>
      <c r="EW71" s="35">
        <v>1</v>
      </c>
      <c r="EX71" s="35">
        <v>1</v>
      </c>
      <c r="EY71" s="35">
        <v>1</v>
      </c>
      <c r="EZ71" s="35">
        <v>1</v>
      </c>
      <c r="FA71" s="35">
        <v>1</v>
      </c>
      <c r="FB71" s="35">
        <v>1</v>
      </c>
      <c r="FC71" s="35">
        <v>1</v>
      </c>
      <c r="FD71" s="35">
        <v>-1</v>
      </c>
      <c r="FE71" s="35">
        <v>-1</v>
      </c>
      <c r="FF71" s="35">
        <v>-1</v>
      </c>
      <c r="FG71" s="35">
        <v>-1</v>
      </c>
      <c r="FH71" s="35">
        <v>-1</v>
      </c>
      <c r="FI71" s="35">
        <v>-1</v>
      </c>
      <c r="FJ71" s="35">
        <v>-1</v>
      </c>
      <c r="FK71" s="35">
        <v>-1</v>
      </c>
      <c r="FL71" s="35">
        <v>-1</v>
      </c>
      <c r="FM71" s="35">
        <v>-1</v>
      </c>
      <c r="FN71" s="35">
        <v>-1</v>
      </c>
      <c r="FO71" s="35">
        <v>-1</v>
      </c>
      <c r="FP71" s="35">
        <v>-1</v>
      </c>
      <c r="FQ71" s="35">
        <v>-1</v>
      </c>
      <c r="FR71" s="35">
        <v>-1</v>
      </c>
      <c r="FS71" s="35">
        <v>-1</v>
      </c>
      <c r="FT71" s="35">
        <v>-1</v>
      </c>
      <c r="FU71" s="35">
        <v>-1</v>
      </c>
      <c r="FV71" s="35">
        <v>-1</v>
      </c>
      <c r="FW71" s="35">
        <v>-1</v>
      </c>
      <c r="FX71" s="35">
        <v>-1</v>
      </c>
      <c r="FY71" s="35">
        <v>-1</v>
      </c>
      <c r="FZ71" s="35">
        <v>-1</v>
      </c>
      <c r="GA71" s="35">
        <v>-1</v>
      </c>
      <c r="GB71" s="35">
        <v>-1</v>
      </c>
      <c r="GC71" s="35">
        <v>-1</v>
      </c>
      <c r="GD71" s="35">
        <v>-1</v>
      </c>
      <c r="GE71" s="35">
        <v>-1</v>
      </c>
      <c r="GF71" s="35">
        <v>-1</v>
      </c>
      <c r="GG71" s="35">
        <v>-1</v>
      </c>
      <c r="GH71" s="35">
        <v>-1</v>
      </c>
      <c r="GI71" s="35">
        <v>-1</v>
      </c>
      <c r="GJ71" s="35">
        <v>-1</v>
      </c>
      <c r="GK71" s="35">
        <v>-1</v>
      </c>
      <c r="GL71" s="35">
        <v>-1</v>
      </c>
      <c r="GM71" s="35">
        <v>-1</v>
      </c>
      <c r="GN71" s="35">
        <v>-1</v>
      </c>
      <c r="GO71" s="35">
        <v>-1</v>
      </c>
      <c r="GP71" s="35">
        <v>-1</v>
      </c>
      <c r="GQ71" s="35">
        <v>-1</v>
      </c>
      <c r="GR71" s="35">
        <v>-1</v>
      </c>
      <c r="GS71" s="35">
        <v>1</v>
      </c>
      <c r="GT71" s="35">
        <v>1</v>
      </c>
      <c r="GU71" s="35">
        <v>1</v>
      </c>
      <c r="GV71" s="35">
        <v>-1</v>
      </c>
      <c r="GW71" s="35">
        <v>-1</v>
      </c>
      <c r="GX71" s="35">
        <v>-1</v>
      </c>
      <c r="GY71" s="35">
        <v>-1</v>
      </c>
      <c r="GZ71" s="35">
        <v>-1</v>
      </c>
      <c r="HA71" s="35">
        <v>-1</v>
      </c>
      <c r="HB71" s="35">
        <v>-1</v>
      </c>
      <c r="HC71">
        <v>-1</v>
      </c>
      <c r="HD71">
        <v>-1</v>
      </c>
      <c r="HE71">
        <v>-1</v>
      </c>
      <c r="HF71">
        <v>-1</v>
      </c>
    </row>
    <row r="72" spans="1:214" x14ac:dyDescent="0.35">
      <c r="A72" s="35" t="s">
        <v>2193</v>
      </c>
      <c r="B72" s="35">
        <v>2613.3333333333298</v>
      </c>
      <c r="C72" s="35">
        <v>2648.3333333333298</v>
      </c>
      <c r="D72" s="35">
        <v>2681.6666666666702</v>
      </c>
      <c r="E72" s="35">
        <v>2716.3333333333298</v>
      </c>
      <c r="F72" s="35">
        <v>2719.3333333333298</v>
      </c>
      <c r="G72" s="35">
        <v>2739.6666666666702</v>
      </c>
      <c r="H72" s="35">
        <v>2751.6666666666702</v>
      </c>
      <c r="I72" s="35">
        <v>2781</v>
      </c>
      <c r="J72" s="35">
        <v>2815</v>
      </c>
      <c r="K72" s="35">
        <v>2849</v>
      </c>
      <c r="L72" s="35">
        <v>2874</v>
      </c>
      <c r="M72" s="35">
        <v>2901.3333333333298</v>
      </c>
      <c r="N72" s="35">
        <v>2899.6666666666702</v>
      </c>
      <c r="O72" s="35">
        <v>2911.6666666666702</v>
      </c>
      <c r="P72" s="35">
        <v>2926.3333333333298</v>
      </c>
      <c r="Q72" s="35">
        <v>2953.3333333333298</v>
      </c>
      <c r="R72" s="35">
        <v>2988.6666666666702</v>
      </c>
      <c r="S72" s="35">
        <v>3018</v>
      </c>
      <c r="T72" s="35">
        <v>3048.3333333333298</v>
      </c>
      <c r="U72" s="35">
        <v>3099</v>
      </c>
      <c r="V72" s="35">
        <v>3161.6666666666702</v>
      </c>
      <c r="W72" s="35">
        <v>3177.3333333333298</v>
      </c>
      <c r="X72" s="35">
        <v>3178</v>
      </c>
      <c r="Y72" s="35">
        <v>3197.3333333333298</v>
      </c>
      <c r="Z72" s="35">
        <v>3214.3333333333298</v>
      </c>
      <c r="AA72" s="35">
        <v>3241.6666666666702</v>
      </c>
      <c r="AB72" s="35">
        <v>3290.6666666666702</v>
      </c>
      <c r="AC72" s="35">
        <v>3342</v>
      </c>
      <c r="AD72" s="35">
        <v>3341.3333333333298</v>
      </c>
      <c r="AE72" s="35">
        <v>3374.6666666666702</v>
      </c>
      <c r="AF72" s="35">
        <v>3385</v>
      </c>
      <c r="AG72" s="35">
        <v>3404.6666666666702</v>
      </c>
      <c r="AH72" s="35">
        <v>3442.3333333333298</v>
      </c>
      <c r="AI72" s="35">
        <v>3479</v>
      </c>
      <c r="AJ72" s="35">
        <v>3477.3333333333298</v>
      </c>
      <c r="AK72" s="35">
        <v>3494</v>
      </c>
      <c r="AL72" s="35">
        <v>3504.3333333333298</v>
      </c>
      <c r="AM72" s="35">
        <v>3518</v>
      </c>
      <c r="AN72" s="35">
        <v>3560.6666666666702</v>
      </c>
      <c r="AO72" s="35">
        <v>3579.3333333333298</v>
      </c>
      <c r="AP72" s="35">
        <v>3582</v>
      </c>
      <c r="AQ72" s="35">
        <v>3602.6666666666702</v>
      </c>
      <c r="AR72" s="35">
        <v>3624</v>
      </c>
      <c r="AS72" s="35">
        <v>3630.6666666666702</v>
      </c>
      <c r="AT72" s="35">
        <v>3636</v>
      </c>
      <c r="AU72" s="35">
        <v>3631.6666666666702</v>
      </c>
      <c r="AV72" s="35">
        <v>3640</v>
      </c>
      <c r="AW72" s="35">
        <v>3653</v>
      </c>
      <c r="AX72" s="35">
        <v>3645.6666666666702</v>
      </c>
      <c r="AY72" s="35">
        <v>3647.3333333333298</v>
      </c>
      <c r="AZ72" s="35">
        <v>3625.6666666666702</v>
      </c>
      <c r="BA72" s="35">
        <v>3640.3333333333298</v>
      </c>
      <c r="BB72" s="35">
        <v>3650.3333333333298</v>
      </c>
      <c r="BC72" s="35">
        <v>3656</v>
      </c>
      <c r="BD72" s="35">
        <v>3671.3333333333298</v>
      </c>
      <c r="BE72" s="35">
        <v>3671.6666666666702</v>
      </c>
      <c r="BF72" s="35">
        <v>3687</v>
      </c>
      <c r="BG72" s="35">
        <v>3720</v>
      </c>
      <c r="BH72" s="35">
        <v>3758</v>
      </c>
      <c r="BI72" s="35">
        <v>3773</v>
      </c>
      <c r="BJ72" s="35">
        <v>3798.3333333333298</v>
      </c>
      <c r="BK72" s="35">
        <v>3819.3333333333298</v>
      </c>
      <c r="BL72" s="35">
        <v>3844.3333333333298</v>
      </c>
      <c r="BM72" s="35">
        <v>3864.3333333333298</v>
      </c>
      <c r="BN72" s="35">
        <v>3872.3333333333298</v>
      </c>
      <c r="BO72" s="35">
        <v>3883</v>
      </c>
      <c r="BP72" s="35">
        <v>3889.3333333333298</v>
      </c>
      <c r="BQ72" s="35">
        <v>3926.6666666666702</v>
      </c>
      <c r="BR72" s="35">
        <v>3943.6666666666702</v>
      </c>
      <c r="BS72" s="35">
        <v>3953</v>
      </c>
      <c r="BT72" s="35">
        <v>3969</v>
      </c>
      <c r="BU72" s="35">
        <v>4000.6666666666702</v>
      </c>
      <c r="BV72" s="35">
        <v>4030.6666666666702</v>
      </c>
      <c r="BW72" s="35">
        <v>4065.3333333333298</v>
      </c>
      <c r="BX72" s="35">
        <v>4094.3333333333298</v>
      </c>
      <c r="BY72" s="35">
        <v>4114.6666666666697</v>
      </c>
      <c r="BZ72" s="35">
        <v>4135.6666666666697</v>
      </c>
      <c r="CA72" s="35">
        <v>4169</v>
      </c>
      <c r="CB72" s="35">
        <v>4201.3333333333303</v>
      </c>
      <c r="CC72" s="35">
        <v>4221</v>
      </c>
      <c r="CD72" s="35">
        <v>4258</v>
      </c>
      <c r="CE72" s="35">
        <v>4295.6666666666697</v>
      </c>
      <c r="CF72" s="35">
        <v>4322.6666666666697</v>
      </c>
      <c r="CG72" s="35">
        <v>4342.6666666666697</v>
      </c>
      <c r="CH72" s="35">
        <v>4358</v>
      </c>
      <c r="CI72" s="35">
        <v>4362.3333333333303</v>
      </c>
      <c r="CJ72" s="35">
        <v>4345</v>
      </c>
      <c r="CK72" s="35">
        <v>4354.3333333333303</v>
      </c>
      <c r="CL72" s="35">
        <v>4372</v>
      </c>
      <c r="CM72" s="35">
        <v>4395.6666666666697</v>
      </c>
      <c r="CN72" s="35">
        <v>4425.3333333333303</v>
      </c>
      <c r="CO72" s="35">
        <v>4438</v>
      </c>
      <c r="CP72" s="35">
        <v>4456</v>
      </c>
      <c r="CQ72" s="35">
        <v>4478</v>
      </c>
      <c r="CR72" s="35">
        <v>4496</v>
      </c>
      <c r="CS72" s="35">
        <v>4515</v>
      </c>
      <c r="CT72" s="35">
        <v>4523.6666666666697</v>
      </c>
      <c r="CU72" s="35">
        <v>4555.3333333333303</v>
      </c>
      <c r="CV72" s="35">
        <v>4600</v>
      </c>
      <c r="CW72" s="35">
        <v>4626.3333333333303</v>
      </c>
      <c r="CX72" s="35">
        <v>4649.6666666666697</v>
      </c>
      <c r="CY72" s="35">
        <v>4643</v>
      </c>
      <c r="CZ72" s="35">
        <v>4623.6666666666697</v>
      </c>
      <c r="DA72" s="35">
        <v>4624.6666666666697</v>
      </c>
      <c r="DB72" s="35">
        <v>4621.3333333333303</v>
      </c>
      <c r="DC72" s="35">
        <v>4618.3333333333303</v>
      </c>
      <c r="DD72" s="35">
        <v>4600.3333333333303</v>
      </c>
      <c r="DE72" s="35">
        <v>4581.3333333333303</v>
      </c>
      <c r="DF72" s="35">
        <v>4574.3333333333303</v>
      </c>
      <c r="DG72" s="35">
        <v>4577</v>
      </c>
      <c r="DH72" s="35">
        <v>4589</v>
      </c>
      <c r="DI72" s="35">
        <v>4583</v>
      </c>
      <c r="DJ72" s="35">
        <v>4578</v>
      </c>
      <c r="DK72" s="35">
        <v>4596.6666666666697</v>
      </c>
      <c r="DL72" s="35">
        <v>4631.6666666666697</v>
      </c>
      <c r="DM72" s="35">
        <v>4640.6666666666697</v>
      </c>
      <c r="DN72" s="35">
        <v>4669</v>
      </c>
      <c r="DO72" s="35">
        <v>4688.3333333333303</v>
      </c>
      <c r="DP72" s="35">
        <v>4717.3333333333303</v>
      </c>
      <c r="DQ72" s="35">
        <v>4757.3333333333303</v>
      </c>
      <c r="DR72" s="35">
        <v>4768</v>
      </c>
      <c r="DS72" s="35">
        <v>4779.3333333333303</v>
      </c>
      <c r="DT72" s="35">
        <v>4793.3333333333303</v>
      </c>
      <c r="DU72" s="35">
        <v>4809</v>
      </c>
      <c r="DV72" s="35">
        <v>4832</v>
      </c>
      <c r="DW72" s="35">
        <v>4877.6666666666697</v>
      </c>
      <c r="DX72" s="35">
        <v>4936.6666666666697</v>
      </c>
      <c r="DY72" s="35">
        <v>4977.3333333333303</v>
      </c>
      <c r="DZ72" s="35">
        <v>5004.3333333333303</v>
      </c>
      <c r="EA72" s="35">
        <v>5039</v>
      </c>
      <c r="EB72" s="35">
        <v>5052.6666666666697</v>
      </c>
      <c r="EC72" s="35">
        <v>5020.6666666666697</v>
      </c>
      <c r="ED72" s="35">
        <v>5029.3333333333303</v>
      </c>
      <c r="EE72" s="35">
        <v>5007.6666666666697</v>
      </c>
      <c r="EF72" s="35">
        <v>4978.6666666666697</v>
      </c>
      <c r="EG72" s="35">
        <v>4985.3333333333303</v>
      </c>
      <c r="EH72" s="35">
        <v>4968.3333333333303</v>
      </c>
      <c r="EI72" s="35">
        <v>4974</v>
      </c>
      <c r="EJ72" s="35">
        <v>4984</v>
      </c>
      <c r="EK72" s="35">
        <v>4995.3333333333303</v>
      </c>
      <c r="EL72" s="35">
        <v>5015.6666666666697</v>
      </c>
      <c r="EM72" s="35">
        <v>5023.3333333333303</v>
      </c>
      <c r="EN72" s="35">
        <v>5039.3333333333303</v>
      </c>
      <c r="EO72" s="35">
        <v>5047.6666666666697</v>
      </c>
      <c r="EP72" s="35">
        <v>5047</v>
      </c>
      <c r="EQ72" s="35">
        <v>5068.3333333333303</v>
      </c>
      <c r="ER72" s="35">
        <v>5086</v>
      </c>
      <c r="ES72" s="35">
        <v>5098.3333333333303</v>
      </c>
      <c r="ET72" s="35">
        <v>5106.3333333333303</v>
      </c>
      <c r="EU72" s="35">
        <v>5124.3333333333303</v>
      </c>
      <c r="EV72" s="35">
        <v>5122</v>
      </c>
      <c r="EW72" s="35">
        <v>5136</v>
      </c>
      <c r="EX72" s="35">
        <v>5148.6666666666697</v>
      </c>
      <c r="EY72" s="35">
        <v>5166</v>
      </c>
      <c r="EZ72" s="35">
        <v>5196.3333333333303</v>
      </c>
      <c r="FA72" s="35">
        <v>5189</v>
      </c>
      <c r="FB72" s="35">
        <v>5192</v>
      </c>
      <c r="FC72" s="35">
        <v>5181.6666666666697</v>
      </c>
      <c r="FD72" s="35">
        <v>5145.3333333333303</v>
      </c>
      <c r="FE72" s="35">
        <v>5153.3333333333303</v>
      </c>
      <c r="FF72" s="35">
        <v>5144</v>
      </c>
      <c r="FG72" s="35">
        <v>5136.6666666666697</v>
      </c>
      <c r="FH72" s="35">
        <v>5129.3333333333303</v>
      </c>
      <c r="FI72" s="35">
        <v>5137</v>
      </c>
      <c r="FJ72" s="35">
        <v>5113.3333333333303</v>
      </c>
      <c r="FK72" s="35">
        <v>5084.3333333333303</v>
      </c>
      <c r="FL72" s="35">
        <v>5069.6666666666697</v>
      </c>
      <c r="FM72" s="35">
        <v>5051</v>
      </c>
      <c r="FN72" s="35">
        <v>5048</v>
      </c>
      <c r="FO72" s="35">
        <v>5055.3333333333303</v>
      </c>
      <c r="FP72" s="35">
        <v>5064.6666666666697</v>
      </c>
      <c r="FQ72" s="35">
        <v>5051.6666666666697</v>
      </c>
      <c r="FR72" s="35">
        <v>5042</v>
      </c>
      <c r="FS72" s="35">
        <v>5044.6666666666697</v>
      </c>
      <c r="FT72" s="35">
        <v>5040</v>
      </c>
      <c r="FU72" s="35">
        <v>5055.3333333333303</v>
      </c>
      <c r="FV72" s="35">
        <v>5054.6666666666697</v>
      </c>
      <c r="FW72" s="35">
        <v>5054.6666666666697</v>
      </c>
      <c r="FX72" s="35">
        <v>5030.6666666666697</v>
      </c>
      <c r="FY72" s="35">
        <v>5052.6666666666697</v>
      </c>
      <c r="FZ72" s="35">
        <v>5067.6666666666697</v>
      </c>
      <c r="GA72" s="35">
        <v>5072.3333333333303</v>
      </c>
      <c r="GB72" s="35">
        <v>5077.6666666666697</v>
      </c>
      <c r="GC72" s="35">
        <v>5087.3333333333303</v>
      </c>
      <c r="GD72" s="35">
        <v>5089</v>
      </c>
      <c r="GE72" s="35">
        <v>5098.6666666666697</v>
      </c>
      <c r="GF72" s="35">
        <v>5126.6666666666697</v>
      </c>
      <c r="GG72" s="35">
        <v>5135.3333333333303</v>
      </c>
      <c r="GH72" s="35">
        <v>5159.6666666666697</v>
      </c>
      <c r="GI72" s="35">
        <v>5174.6666666666697</v>
      </c>
      <c r="GJ72" s="35">
        <v>5163.6666666666697</v>
      </c>
      <c r="GK72" s="35">
        <v>5157.3333333333303</v>
      </c>
      <c r="GL72" s="35">
        <v>5157.3333333333303</v>
      </c>
      <c r="GM72" s="35">
        <v>5176.6666666666697</v>
      </c>
      <c r="GN72" s="35">
        <v>5177.3333333333303</v>
      </c>
      <c r="GO72" s="35">
        <v>5174.6666666666697</v>
      </c>
      <c r="GP72" s="35">
        <v>5183</v>
      </c>
      <c r="GQ72" s="35">
        <v>5171.3333333333303</v>
      </c>
      <c r="GR72" s="35">
        <v>5207.6666666666697</v>
      </c>
      <c r="GS72" s="35">
        <v>5244</v>
      </c>
      <c r="GT72" s="35">
        <v>5284.6666666666697</v>
      </c>
      <c r="GU72" s="35">
        <v>5079.3333333333303</v>
      </c>
      <c r="GV72" s="35">
        <v>5094</v>
      </c>
      <c r="GW72" s="35">
        <v>5075.6666666666697</v>
      </c>
      <c r="GX72" s="35">
        <v>5174.6666666666697</v>
      </c>
      <c r="GY72" s="35">
        <v>5186.6666666666697</v>
      </c>
      <c r="GZ72" s="35">
        <v>5150</v>
      </c>
      <c r="HA72" s="35">
        <v>5121.6666666666697</v>
      </c>
      <c r="HB72" s="35">
        <v>5084</v>
      </c>
      <c r="HC72">
        <v>5086.3333333333303</v>
      </c>
      <c r="HD72">
        <v>5109</v>
      </c>
      <c r="HE72">
        <v>5102.3333333333303</v>
      </c>
      <c r="HF72">
        <v>5170.3333333333303</v>
      </c>
    </row>
    <row r="73" spans="1:214" x14ac:dyDescent="0.35">
      <c r="A73" s="35" t="s">
        <v>2194</v>
      </c>
      <c r="B73" s="35">
        <v>7048.6666666666697</v>
      </c>
      <c r="C73" s="35">
        <v>7104.3333333333303</v>
      </c>
      <c r="D73" s="35">
        <v>7204.3333333333303</v>
      </c>
      <c r="E73" s="35">
        <v>7279.3333333333303</v>
      </c>
      <c r="F73" s="35">
        <v>7353.3333333333303</v>
      </c>
      <c r="G73" s="35">
        <v>7419.6666666666697</v>
      </c>
      <c r="H73" s="35">
        <v>7443.6666666666697</v>
      </c>
      <c r="I73" s="35">
        <v>7534</v>
      </c>
      <c r="J73" s="35">
        <v>7651.6666666666697</v>
      </c>
      <c r="K73" s="35">
        <v>7726.3333333333303</v>
      </c>
      <c r="L73" s="35">
        <v>7855</v>
      </c>
      <c r="M73" s="35">
        <v>7931.3333333333303</v>
      </c>
      <c r="N73" s="35">
        <v>8016</v>
      </c>
      <c r="O73" s="35">
        <v>8115</v>
      </c>
      <c r="P73" s="35">
        <v>8183.6666666666697</v>
      </c>
      <c r="Q73" s="35">
        <v>8272.3333333333303</v>
      </c>
      <c r="R73" s="35">
        <v>8307.6666666666697</v>
      </c>
      <c r="S73" s="35">
        <v>8346.3333333333303</v>
      </c>
      <c r="T73" s="35">
        <v>8424.6666666666697</v>
      </c>
      <c r="U73" s="35">
        <v>8551.3333333333303</v>
      </c>
      <c r="V73" s="35">
        <v>8673</v>
      </c>
      <c r="W73" s="35">
        <v>8751.3333333333303</v>
      </c>
      <c r="X73" s="35">
        <v>8786.3333333333303</v>
      </c>
      <c r="Y73" s="35">
        <v>8824.6666666666697</v>
      </c>
      <c r="Z73" s="35">
        <v>8883</v>
      </c>
      <c r="AA73" s="35">
        <v>8868.6666666666697</v>
      </c>
      <c r="AB73" s="35">
        <v>8845</v>
      </c>
      <c r="AC73" s="35">
        <v>8861</v>
      </c>
      <c r="AD73" s="35">
        <v>8860.6666666666697</v>
      </c>
      <c r="AE73" s="35">
        <v>8907.3333333333303</v>
      </c>
      <c r="AF73" s="35">
        <v>9099.3333333333303</v>
      </c>
      <c r="AG73" s="35">
        <v>9231</v>
      </c>
      <c r="AH73" s="35">
        <v>9348.3333333333303</v>
      </c>
      <c r="AI73" s="35">
        <v>9466</v>
      </c>
      <c r="AJ73" s="35">
        <v>9492.3333333333303</v>
      </c>
      <c r="AK73" s="35">
        <v>9482.6666666666697</v>
      </c>
      <c r="AL73" s="35">
        <v>9531.3333333333303</v>
      </c>
      <c r="AM73" s="35">
        <v>9604.3333333333303</v>
      </c>
      <c r="AN73" s="35">
        <v>9710.6666666666697</v>
      </c>
      <c r="AO73" s="35">
        <v>9697.3333333333303</v>
      </c>
      <c r="AP73" s="35">
        <v>9741.3333333333303</v>
      </c>
      <c r="AQ73" s="35">
        <v>9749.3333333333303</v>
      </c>
      <c r="AR73" s="35">
        <v>9782.3333333333303</v>
      </c>
      <c r="AS73" s="35">
        <v>9793</v>
      </c>
      <c r="AT73" s="35">
        <v>9750.3333333333303</v>
      </c>
      <c r="AU73" s="35">
        <v>9665</v>
      </c>
      <c r="AV73" s="35">
        <v>9547.6666666666697</v>
      </c>
      <c r="AW73" s="35">
        <v>9507</v>
      </c>
      <c r="AX73" s="35">
        <v>9484.3333333333303</v>
      </c>
      <c r="AY73" s="35">
        <v>9495.6666666666697</v>
      </c>
      <c r="AZ73" s="35">
        <v>9409.6666666666697</v>
      </c>
      <c r="BA73" s="35">
        <v>9437</v>
      </c>
      <c r="BB73" s="35">
        <v>9447.3333333333303</v>
      </c>
      <c r="BC73" s="35">
        <v>9445.3333333333303</v>
      </c>
      <c r="BD73" s="35">
        <v>9433</v>
      </c>
      <c r="BE73" s="35">
        <v>9401.6666666666697</v>
      </c>
      <c r="BF73" s="35">
        <v>9412</v>
      </c>
      <c r="BG73" s="35">
        <v>9445.3333333333303</v>
      </c>
      <c r="BH73" s="35">
        <v>9509</v>
      </c>
      <c r="BI73" s="35">
        <v>9555</v>
      </c>
      <c r="BJ73" s="35">
        <v>9595.6666666666697</v>
      </c>
      <c r="BK73" s="35">
        <v>9640.3333333333303</v>
      </c>
      <c r="BL73" s="35">
        <v>9746.6666666666697</v>
      </c>
      <c r="BM73" s="35">
        <v>9764.3333333333303</v>
      </c>
      <c r="BN73" s="35">
        <v>9815.3333333333303</v>
      </c>
      <c r="BO73" s="35">
        <v>9854.3333333333303</v>
      </c>
      <c r="BP73" s="35">
        <v>9906.6666666666697</v>
      </c>
      <c r="BQ73" s="35">
        <v>10024.333333333299</v>
      </c>
      <c r="BR73" s="35">
        <v>10039.333333333299</v>
      </c>
      <c r="BS73" s="35">
        <v>10083.333333333299</v>
      </c>
      <c r="BT73" s="35">
        <v>10092.333333333299</v>
      </c>
      <c r="BU73" s="35">
        <v>10184.666666666701</v>
      </c>
      <c r="BV73" s="35">
        <v>10250.666666666701</v>
      </c>
      <c r="BW73" s="35">
        <v>10315.333333333299</v>
      </c>
      <c r="BX73" s="35">
        <v>10341.666666666701</v>
      </c>
      <c r="BY73" s="35">
        <v>10446.666666666701</v>
      </c>
      <c r="BZ73" s="35">
        <v>10510.666666666701</v>
      </c>
      <c r="CA73" s="35">
        <v>10566.333333333299</v>
      </c>
      <c r="CB73" s="35">
        <v>10640.666666666701</v>
      </c>
      <c r="CC73" s="35">
        <v>10719.666666666701</v>
      </c>
      <c r="CD73" s="35">
        <v>10814</v>
      </c>
      <c r="CE73" s="35">
        <v>10873</v>
      </c>
      <c r="CF73" s="35">
        <v>10967.333333333299</v>
      </c>
      <c r="CG73" s="35">
        <v>11000.333333333299</v>
      </c>
      <c r="CH73" s="35">
        <v>11027</v>
      </c>
      <c r="CI73" s="35">
        <v>11057.333333333299</v>
      </c>
      <c r="CJ73" s="35">
        <v>11099.333333333299</v>
      </c>
      <c r="CK73" s="35">
        <v>11139.333333333299</v>
      </c>
      <c r="CL73" s="35">
        <v>11199</v>
      </c>
      <c r="CM73" s="35">
        <v>11238</v>
      </c>
      <c r="CN73" s="35">
        <v>11306.666666666701</v>
      </c>
      <c r="CO73" s="35">
        <v>11319.666666666701</v>
      </c>
      <c r="CP73" s="35">
        <v>11366.666666666701</v>
      </c>
      <c r="CQ73" s="35">
        <v>11407.666666666701</v>
      </c>
      <c r="CR73" s="35">
        <v>11483</v>
      </c>
      <c r="CS73" s="35">
        <v>11520.666666666701</v>
      </c>
      <c r="CT73" s="35">
        <v>11591.333333333299</v>
      </c>
      <c r="CU73" s="35">
        <v>11672.333333333299</v>
      </c>
      <c r="CV73" s="35">
        <v>11710.333333333299</v>
      </c>
      <c r="CW73" s="35">
        <v>11752</v>
      </c>
      <c r="CX73" s="35">
        <v>11791.333333333299</v>
      </c>
      <c r="CY73" s="35">
        <v>11828.666666666701</v>
      </c>
      <c r="CZ73" s="35">
        <v>11868</v>
      </c>
      <c r="DA73" s="35">
        <v>11923</v>
      </c>
      <c r="DB73" s="35">
        <v>11966</v>
      </c>
      <c r="DC73" s="35">
        <v>12017.333333333299</v>
      </c>
      <c r="DD73" s="35">
        <v>12067</v>
      </c>
      <c r="DE73" s="35">
        <v>12139</v>
      </c>
      <c r="DF73" s="35">
        <v>12185.666666666701</v>
      </c>
      <c r="DG73" s="35">
        <v>12229.666666666701</v>
      </c>
      <c r="DH73" s="35">
        <v>12296</v>
      </c>
      <c r="DI73" s="35">
        <v>12380</v>
      </c>
      <c r="DJ73" s="35">
        <v>12437.333333333299</v>
      </c>
      <c r="DK73" s="35">
        <v>12501.333333333299</v>
      </c>
      <c r="DL73" s="35">
        <v>12553.333333333299</v>
      </c>
      <c r="DM73" s="35">
        <v>12616.333333333299</v>
      </c>
      <c r="DN73" s="35">
        <v>12694.666666666701</v>
      </c>
      <c r="DO73" s="35">
        <v>12783.333333333299</v>
      </c>
      <c r="DP73" s="35">
        <v>12887.333333333299</v>
      </c>
      <c r="DQ73" s="35">
        <v>12972.333333333299</v>
      </c>
      <c r="DR73" s="35">
        <v>13050.333333333299</v>
      </c>
      <c r="DS73" s="35">
        <v>13113</v>
      </c>
      <c r="DT73" s="35">
        <v>13168</v>
      </c>
      <c r="DU73" s="35">
        <v>13220.666666666701</v>
      </c>
      <c r="DV73" s="35">
        <v>13310</v>
      </c>
      <c r="DW73" s="35">
        <v>13410.666666666701</v>
      </c>
      <c r="DX73" s="35">
        <v>13500.666666666701</v>
      </c>
      <c r="DY73" s="35">
        <v>13583.666666666701</v>
      </c>
      <c r="DZ73" s="35">
        <v>13639</v>
      </c>
      <c r="EA73" s="35">
        <v>13699.333333333299</v>
      </c>
      <c r="EB73" s="35">
        <v>13744.666666666701</v>
      </c>
      <c r="EC73" s="35">
        <v>13775</v>
      </c>
      <c r="ED73" s="35">
        <v>13801</v>
      </c>
      <c r="EE73" s="35">
        <v>13820</v>
      </c>
      <c r="EF73" s="35">
        <v>13832.333333333299</v>
      </c>
      <c r="EG73" s="35">
        <v>13824.333333333299</v>
      </c>
      <c r="EH73" s="35">
        <v>13859</v>
      </c>
      <c r="EI73" s="35">
        <v>13898</v>
      </c>
      <c r="EJ73" s="35">
        <v>13909.333333333299</v>
      </c>
      <c r="EK73" s="35">
        <v>13958.666666666701</v>
      </c>
      <c r="EL73" s="35">
        <v>13994.666666666701</v>
      </c>
      <c r="EM73" s="35">
        <v>14012</v>
      </c>
      <c r="EN73" s="35">
        <v>14085.333333333299</v>
      </c>
      <c r="EO73" s="35">
        <v>14072.333333333299</v>
      </c>
      <c r="EP73" s="35">
        <v>14098</v>
      </c>
      <c r="EQ73" s="35">
        <v>14119.666666666701</v>
      </c>
      <c r="ER73" s="35">
        <v>14201</v>
      </c>
      <c r="ES73" s="35">
        <v>14251.333333333299</v>
      </c>
      <c r="ET73" s="35">
        <v>14287.333333333299</v>
      </c>
      <c r="EU73" s="35">
        <v>14336</v>
      </c>
      <c r="EV73" s="35">
        <v>14369.333333333299</v>
      </c>
      <c r="EW73" s="35">
        <v>14455</v>
      </c>
      <c r="EX73" s="35">
        <v>14521.666666666701</v>
      </c>
      <c r="EY73" s="35">
        <v>14560.333333333299</v>
      </c>
      <c r="EZ73" s="35">
        <v>14594</v>
      </c>
      <c r="FA73" s="35">
        <v>14591</v>
      </c>
      <c r="FB73" s="35">
        <v>14587</v>
      </c>
      <c r="FC73" s="35">
        <v>14576.333333333299</v>
      </c>
      <c r="FD73" s="35">
        <v>14532</v>
      </c>
      <c r="FE73" s="35">
        <v>14521</v>
      </c>
      <c r="FF73" s="35">
        <v>14466</v>
      </c>
      <c r="FG73" s="35">
        <v>14434</v>
      </c>
      <c r="FH73" s="35">
        <v>14327.666666666701</v>
      </c>
      <c r="FI73" s="35">
        <v>14279</v>
      </c>
      <c r="FJ73" s="35">
        <v>14232.666666666701</v>
      </c>
      <c r="FK73" s="35">
        <v>14207.666666666701</v>
      </c>
      <c r="FL73" s="35">
        <v>14094</v>
      </c>
      <c r="FM73" s="35">
        <v>14080.666666666701</v>
      </c>
      <c r="FN73" s="35">
        <v>14067.666666666701</v>
      </c>
      <c r="FO73" s="35">
        <v>14044.333333333299</v>
      </c>
      <c r="FP73" s="35">
        <v>14034.333333333299</v>
      </c>
      <c r="FQ73" s="35">
        <v>14026.333333333299</v>
      </c>
      <c r="FR73" s="35">
        <v>14029.333333333299</v>
      </c>
      <c r="FS73" s="35">
        <v>14033</v>
      </c>
      <c r="FT73" s="35">
        <v>14031</v>
      </c>
      <c r="FU73" s="35">
        <v>14033.666666666701</v>
      </c>
      <c r="FV73" s="35">
        <v>14037.666666666701</v>
      </c>
      <c r="FW73" s="35">
        <v>14077</v>
      </c>
      <c r="FX73" s="35">
        <v>14120</v>
      </c>
      <c r="FY73" s="35">
        <v>14140</v>
      </c>
      <c r="FZ73" s="35">
        <v>14155</v>
      </c>
      <c r="GA73" s="35">
        <v>14181.666666666701</v>
      </c>
      <c r="GB73" s="35">
        <v>14214</v>
      </c>
      <c r="GC73" s="35">
        <v>14223.666666666701</v>
      </c>
      <c r="GD73" s="35">
        <v>14277</v>
      </c>
      <c r="GE73" s="35">
        <v>14297.666666666701</v>
      </c>
      <c r="GF73" s="35">
        <v>14369</v>
      </c>
      <c r="GG73" s="35">
        <v>14351</v>
      </c>
      <c r="GH73" s="35">
        <v>14352.333333333299</v>
      </c>
      <c r="GI73" s="35">
        <v>14369</v>
      </c>
      <c r="GJ73" s="35">
        <v>14373</v>
      </c>
      <c r="GK73" s="35">
        <v>14421.666666666701</v>
      </c>
      <c r="GL73" s="35">
        <v>14457.333333333299</v>
      </c>
      <c r="GM73" s="35">
        <v>14484.666666666701</v>
      </c>
      <c r="GN73" s="35">
        <v>14480.333333333299</v>
      </c>
      <c r="GO73" s="35">
        <v>14505.666666666701</v>
      </c>
      <c r="GP73" s="35">
        <v>14552.333333333299</v>
      </c>
      <c r="GQ73" s="35">
        <v>14585</v>
      </c>
      <c r="GR73" s="35">
        <v>14547</v>
      </c>
      <c r="GS73" s="35">
        <v>14621.333333333299</v>
      </c>
      <c r="GT73" s="35">
        <v>14684.666666666701</v>
      </c>
      <c r="GU73" s="35">
        <v>13616.666666666701</v>
      </c>
      <c r="GV73" s="35">
        <v>13656.666666666701</v>
      </c>
      <c r="GW73" s="35">
        <v>13710</v>
      </c>
      <c r="GX73" s="35">
        <v>13757</v>
      </c>
      <c r="GY73" s="35">
        <v>13873</v>
      </c>
      <c r="GZ73" s="35">
        <v>14032</v>
      </c>
      <c r="HA73" s="35">
        <v>14044.666666666701</v>
      </c>
      <c r="HB73" s="35">
        <v>14119</v>
      </c>
      <c r="HC73">
        <v>14161.333333333299</v>
      </c>
      <c r="HD73">
        <v>14242.333333333299</v>
      </c>
      <c r="HE73">
        <v>14330.666666666701</v>
      </c>
      <c r="HF73">
        <v>14440.666666666701</v>
      </c>
    </row>
    <row r="74" spans="1:214" x14ac:dyDescent="0.35">
      <c r="A74" s="35" t="s">
        <v>2195</v>
      </c>
      <c r="B74" s="35">
        <v>23545.666666666701</v>
      </c>
      <c r="C74" s="35">
        <v>24037</v>
      </c>
      <c r="D74" s="35">
        <v>25485.666666666701</v>
      </c>
      <c r="E74" s="35">
        <v>25754.666666666701</v>
      </c>
      <c r="F74" s="35">
        <v>25713</v>
      </c>
      <c r="G74" s="35">
        <v>25998.666666666701</v>
      </c>
      <c r="H74" s="35">
        <v>25691</v>
      </c>
      <c r="I74" s="35">
        <v>26178.666666666701</v>
      </c>
      <c r="J74" s="35">
        <v>25519</v>
      </c>
      <c r="K74" s="35">
        <v>24875</v>
      </c>
      <c r="L74" s="35">
        <v>25641</v>
      </c>
      <c r="M74" s="35">
        <v>27114.333333333299</v>
      </c>
      <c r="N74" s="35">
        <v>27472.666666666701</v>
      </c>
      <c r="O74" s="35">
        <v>27079.333333333299</v>
      </c>
      <c r="P74" s="35">
        <v>27510</v>
      </c>
      <c r="Q74" s="35">
        <v>28620</v>
      </c>
      <c r="R74" s="35">
        <v>30923.666666666701</v>
      </c>
      <c r="S74" s="35">
        <v>33400.666666666701</v>
      </c>
      <c r="T74" s="35">
        <v>33701.666666666701</v>
      </c>
      <c r="U74" s="35">
        <v>33884</v>
      </c>
      <c r="V74" s="35">
        <v>37820.333333333299</v>
      </c>
      <c r="W74" s="35">
        <v>35429.666666666701</v>
      </c>
      <c r="X74" s="35">
        <v>36988.333333333299</v>
      </c>
      <c r="Y74" s="35">
        <v>39554</v>
      </c>
      <c r="Z74" s="35">
        <v>42554</v>
      </c>
      <c r="AA74" s="35">
        <v>38830.666666666701</v>
      </c>
      <c r="AB74" s="35">
        <v>36130</v>
      </c>
      <c r="AC74" s="35">
        <v>34359.666666666701</v>
      </c>
      <c r="AD74" s="35">
        <v>36034</v>
      </c>
      <c r="AE74" s="35">
        <v>37037.666666666701</v>
      </c>
      <c r="AF74" s="35">
        <v>35666.333333333299</v>
      </c>
      <c r="AG74" s="35">
        <v>35160</v>
      </c>
      <c r="AH74" s="35">
        <v>34095.333333333299</v>
      </c>
      <c r="AI74" s="35">
        <v>41889.666666666701</v>
      </c>
      <c r="AJ74" s="35">
        <v>43760.666666666701</v>
      </c>
      <c r="AK74" s="35">
        <v>45015.333333333299</v>
      </c>
      <c r="AL74" s="35">
        <v>40794</v>
      </c>
      <c r="AM74" s="35">
        <v>45875.333333333299</v>
      </c>
      <c r="AN74" s="35">
        <v>49343.666666666701</v>
      </c>
      <c r="AO74" s="35">
        <v>52609</v>
      </c>
      <c r="AP74" s="35">
        <v>55934.333333333299</v>
      </c>
      <c r="AQ74" s="35">
        <v>54112</v>
      </c>
      <c r="AR74" s="35">
        <v>52797</v>
      </c>
      <c r="AS74" s="35">
        <v>54381</v>
      </c>
      <c r="AT74" s="35">
        <v>60484</v>
      </c>
      <c r="AU74" s="35">
        <v>53862</v>
      </c>
      <c r="AV74" s="35">
        <v>52044</v>
      </c>
      <c r="AW74" s="35">
        <v>54313.666666666701</v>
      </c>
      <c r="AX74" s="35">
        <v>51944</v>
      </c>
      <c r="AY74" s="35">
        <v>52182.666666666701</v>
      </c>
      <c r="AZ74" s="35">
        <v>52486.333333333299</v>
      </c>
      <c r="BA74" s="35">
        <v>54765.333333333299</v>
      </c>
      <c r="BB74" s="35">
        <v>52678.333333333299</v>
      </c>
      <c r="BC74" s="35">
        <v>51386</v>
      </c>
      <c r="BD74" s="35">
        <v>53662.333333333299</v>
      </c>
      <c r="BE74" s="35">
        <v>53249</v>
      </c>
      <c r="BF74" s="35">
        <v>55752.333333333299</v>
      </c>
      <c r="BG74" s="35">
        <v>57382.666666666701</v>
      </c>
      <c r="BH74" s="35">
        <v>59910.333333333299</v>
      </c>
      <c r="BI74" s="35">
        <v>60890.666666666701</v>
      </c>
      <c r="BJ74" s="35">
        <v>62514.666666666701</v>
      </c>
      <c r="BK74" s="35">
        <v>65739.333333333299</v>
      </c>
      <c r="BL74" s="35">
        <v>67220</v>
      </c>
      <c r="BM74" s="35">
        <v>66558.333333333299</v>
      </c>
      <c r="BN74" s="35">
        <v>70815.333333333299</v>
      </c>
      <c r="BO74" s="35">
        <v>72215.333333333299</v>
      </c>
      <c r="BP74" s="35">
        <v>73843.333333333299</v>
      </c>
      <c r="BQ74" s="35">
        <v>71122.666666666701</v>
      </c>
      <c r="BR74" s="35">
        <v>75290</v>
      </c>
      <c r="BS74" s="35">
        <v>75025.666666666701</v>
      </c>
      <c r="BT74" s="35">
        <v>77047</v>
      </c>
      <c r="BU74" s="35">
        <v>78058</v>
      </c>
      <c r="BV74" s="35">
        <v>79349.666666666701</v>
      </c>
      <c r="BW74" s="35">
        <v>83348</v>
      </c>
      <c r="BX74" s="35">
        <v>82022.666666666701</v>
      </c>
      <c r="BY74" s="35">
        <v>84604</v>
      </c>
      <c r="BZ74" s="35">
        <v>83566.666666666701</v>
      </c>
      <c r="CA74" s="35">
        <v>85684</v>
      </c>
      <c r="CB74" s="35">
        <v>85730.333333333299</v>
      </c>
      <c r="CC74" s="35">
        <v>89358.333333333299</v>
      </c>
      <c r="CD74" s="35">
        <v>94388.333333333299</v>
      </c>
      <c r="CE74" s="35">
        <v>93807</v>
      </c>
      <c r="CF74" s="35">
        <v>94972</v>
      </c>
      <c r="CG74" s="35">
        <v>98807.666666666701</v>
      </c>
      <c r="CH74" s="35">
        <v>95253.666666666701</v>
      </c>
      <c r="CI74" s="35">
        <v>96128.666666666701</v>
      </c>
      <c r="CJ74" s="35">
        <v>97326.333333333299</v>
      </c>
      <c r="CK74" s="35">
        <v>99221</v>
      </c>
      <c r="CL74" s="35">
        <v>106368.66666666701</v>
      </c>
      <c r="CM74" s="35">
        <v>103446</v>
      </c>
      <c r="CN74" s="35">
        <v>99580.333333333299</v>
      </c>
      <c r="CO74" s="35">
        <v>98022.333333333299</v>
      </c>
      <c r="CP74" s="35">
        <v>102495</v>
      </c>
      <c r="CQ74" s="35">
        <v>111962</v>
      </c>
      <c r="CR74" s="35">
        <v>116124.66666666701</v>
      </c>
      <c r="CS74" s="35">
        <v>118029</v>
      </c>
      <c r="CT74" s="35">
        <v>111803</v>
      </c>
      <c r="CU74" s="35">
        <v>113545</v>
      </c>
      <c r="CV74" s="35">
        <v>118942</v>
      </c>
      <c r="CW74" s="35">
        <v>117294.33333333299</v>
      </c>
      <c r="CX74" s="35">
        <v>116848.66666666701</v>
      </c>
      <c r="CY74" s="35">
        <v>124434.33333333299</v>
      </c>
      <c r="CZ74" s="35">
        <v>125240</v>
      </c>
      <c r="DA74" s="35">
        <v>127572.66666666701</v>
      </c>
      <c r="DB74" s="35">
        <v>126179.33333333299</v>
      </c>
      <c r="DC74" s="35">
        <v>131672</v>
      </c>
      <c r="DD74" s="35">
        <v>131615</v>
      </c>
      <c r="DE74" s="35">
        <v>135638.66666666701</v>
      </c>
      <c r="DF74" s="35">
        <v>135471.66666666701</v>
      </c>
      <c r="DG74" s="35">
        <v>139479.33333333299</v>
      </c>
      <c r="DH74" s="35">
        <v>141385.33333333299</v>
      </c>
      <c r="DI74" s="35">
        <v>140102.66666666701</v>
      </c>
      <c r="DJ74" s="35">
        <v>133975</v>
      </c>
      <c r="DK74" s="35">
        <v>137818</v>
      </c>
      <c r="DL74" s="35">
        <v>143529.33333333299</v>
      </c>
      <c r="DM74" s="35">
        <v>144434.66666666701</v>
      </c>
      <c r="DN74" s="35">
        <v>150497</v>
      </c>
      <c r="DO74" s="35">
        <v>152515.33333333299</v>
      </c>
      <c r="DP74" s="35">
        <v>155465.33333333299</v>
      </c>
      <c r="DQ74" s="35">
        <v>163365.33333333299</v>
      </c>
      <c r="DR74" s="35">
        <v>168776.33333333299</v>
      </c>
      <c r="DS74" s="35">
        <v>165200.66666666701</v>
      </c>
      <c r="DT74" s="35">
        <v>166145</v>
      </c>
      <c r="DU74" s="35">
        <v>170616.66666666701</v>
      </c>
      <c r="DV74" s="35">
        <v>176411.33333333299</v>
      </c>
      <c r="DW74" s="35">
        <v>189275.66666666701</v>
      </c>
      <c r="DX74" s="35">
        <v>187116</v>
      </c>
      <c r="DY74" s="35">
        <v>193037.66666666701</v>
      </c>
      <c r="DZ74" s="35">
        <v>198023.33333333299</v>
      </c>
      <c r="EA74" s="35">
        <v>194794</v>
      </c>
      <c r="EB74" s="35">
        <v>196443.66666666701</v>
      </c>
      <c r="EC74" s="35">
        <v>199770.66666666701</v>
      </c>
      <c r="ED74" s="35">
        <v>197410.66666666701</v>
      </c>
      <c r="EE74" s="35">
        <v>195858</v>
      </c>
      <c r="EF74" s="35">
        <v>200686</v>
      </c>
      <c r="EG74" s="35">
        <v>199340</v>
      </c>
      <c r="EH74" s="35">
        <v>197322.33333333299</v>
      </c>
      <c r="EI74" s="35">
        <v>202356.33333333299</v>
      </c>
      <c r="EJ74" s="35">
        <v>202328</v>
      </c>
      <c r="EK74" s="35">
        <v>204931</v>
      </c>
      <c r="EL74" s="35">
        <v>207202</v>
      </c>
      <c r="EM74" s="35">
        <v>215946</v>
      </c>
      <c r="EN74" s="35">
        <v>219407.66666666701</v>
      </c>
      <c r="EO74" s="35">
        <v>222763.66666666701</v>
      </c>
      <c r="EP74" s="35">
        <v>230117.66666666701</v>
      </c>
      <c r="EQ74" s="35">
        <v>238436</v>
      </c>
      <c r="ER74" s="35">
        <v>238965</v>
      </c>
      <c r="ES74" s="35">
        <v>242956.33333333299</v>
      </c>
      <c r="ET74" s="35">
        <v>258254.33333333299</v>
      </c>
      <c r="EU74" s="35">
        <v>266203.66666666698</v>
      </c>
      <c r="EV74" s="35">
        <v>271640.33333333302</v>
      </c>
      <c r="EW74" s="35">
        <v>276454.66666666698</v>
      </c>
      <c r="EX74" s="35">
        <v>278038.33333333302</v>
      </c>
      <c r="EY74" s="35">
        <v>283074.33333333302</v>
      </c>
      <c r="EZ74" s="35">
        <v>287093.66666666698</v>
      </c>
      <c r="FA74" s="35">
        <v>288334</v>
      </c>
      <c r="FB74" s="35">
        <v>289591.33333333302</v>
      </c>
      <c r="FC74" s="35">
        <v>292223.66666666698</v>
      </c>
      <c r="FD74" s="35">
        <v>287368</v>
      </c>
      <c r="FE74" s="35">
        <v>274301</v>
      </c>
      <c r="FF74" s="35">
        <v>268022</v>
      </c>
      <c r="FG74" s="35">
        <v>274526.66666666698</v>
      </c>
      <c r="FH74" s="35">
        <v>277232.33333333302</v>
      </c>
      <c r="FI74" s="35">
        <v>269906.33333333302</v>
      </c>
      <c r="FJ74" s="35">
        <v>258077</v>
      </c>
      <c r="FK74" s="35">
        <v>251739</v>
      </c>
      <c r="FL74" s="35">
        <v>253215.33333333299</v>
      </c>
      <c r="FM74" s="35">
        <v>258046</v>
      </c>
      <c r="FN74" s="35">
        <v>254528.33333333299</v>
      </c>
      <c r="FO74" s="35">
        <v>254598.66666666701</v>
      </c>
      <c r="FP74" s="35">
        <v>252248.66666666701</v>
      </c>
      <c r="FQ74" s="35">
        <v>246424.33333333299</v>
      </c>
      <c r="FR74" s="35">
        <v>242924.33333333299</v>
      </c>
      <c r="FS74" s="35">
        <v>245991.66666666701</v>
      </c>
      <c r="FT74" s="35">
        <v>249225</v>
      </c>
      <c r="FU74" s="35">
        <v>247543.33333333299</v>
      </c>
      <c r="FV74" s="35">
        <v>242281</v>
      </c>
      <c r="FW74" s="35">
        <v>251080</v>
      </c>
      <c r="FX74" s="35">
        <v>258128</v>
      </c>
      <c r="FY74" s="35">
        <v>260687.66666666701</v>
      </c>
      <c r="FZ74" s="35">
        <v>259584</v>
      </c>
      <c r="GA74" s="35">
        <v>273165.33333333302</v>
      </c>
      <c r="GB74" s="35">
        <v>279160.66666666698</v>
      </c>
      <c r="GC74" s="35">
        <v>269714.66666666698</v>
      </c>
      <c r="GD74" s="35">
        <v>278563.66666666698</v>
      </c>
      <c r="GE74" s="35">
        <v>273593</v>
      </c>
      <c r="GF74" s="35">
        <v>272377.33333333302</v>
      </c>
      <c r="GG74" s="35">
        <v>276592.66666666698</v>
      </c>
      <c r="GH74" s="35">
        <v>271856</v>
      </c>
      <c r="GI74" s="35">
        <v>273771.33333333302</v>
      </c>
      <c r="GJ74" s="35">
        <v>275470.66666666698</v>
      </c>
      <c r="GK74" s="35">
        <v>281189</v>
      </c>
      <c r="GL74" s="35">
        <v>280599.33333333302</v>
      </c>
      <c r="GM74" s="35">
        <v>290744</v>
      </c>
      <c r="GN74" s="35">
        <v>293899.66666666698</v>
      </c>
      <c r="GO74" s="35">
        <v>285701.33333333302</v>
      </c>
      <c r="GP74" s="35">
        <v>301796.66666666698</v>
      </c>
      <c r="GQ74" s="35">
        <v>321096.66666666698</v>
      </c>
      <c r="GR74" s="35">
        <v>323544.66666666698</v>
      </c>
      <c r="GS74" s="35">
        <v>324180</v>
      </c>
      <c r="GT74" s="35">
        <v>343321</v>
      </c>
      <c r="GU74" s="35">
        <v>343294.66666666698</v>
      </c>
      <c r="GV74" s="35">
        <v>335480.33333333302</v>
      </c>
      <c r="GW74" s="35">
        <v>340639.33333333302</v>
      </c>
      <c r="GX74" s="35">
        <v>333692.33333333302</v>
      </c>
      <c r="GY74" s="35">
        <v>326769.33333333302</v>
      </c>
      <c r="GZ74" s="35">
        <v>316338.33333333302</v>
      </c>
      <c r="HA74" s="35">
        <v>316806</v>
      </c>
      <c r="HB74">
        <v>319298.66666666698</v>
      </c>
      <c r="HC74">
        <v>323005.66666666698</v>
      </c>
      <c r="HD74">
        <v>343544</v>
      </c>
      <c r="HE74">
        <v>356417</v>
      </c>
    </row>
    <row r="75" spans="1:214" x14ac:dyDescent="0.35">
      <c r="A75" s="35" t="s">
        <v>2196</v>
      </c>
      <c r="B75" s="35">
        <v>1.4432117337345E-2</v>
      </c>
      <c r="C75" s="35">
        <v>1.4432117337345E-2</v>
      </c>
      <c r="D75" s="35">
        <v>8.2024190184901702E-3</v>
      </c>
      <c r="E75" s="35">
        <v>1.30998345284059E-2</v>
      </c>
      <c r="F75" s="35">
        <v>1.51535774238918E-2</v>
      </c>
      <c r="G75" s="35">
        <v>1.336312849162E-2</v>
      </c>
      <c r="H75" s="35">
        <v>1.0099673635000301E-2</v>
      </c>
      <c r="I75" s="35">
        <v>8.2521940357158704E-3</v>
      </c>
      <c r="J75" s="35">
        <v>1.60661701022E-2</v>
      </c>
      <c r="K75" s="35">
        <v>6.0947022972339697E-3</v>
      </c>
      <c r="L75" s="35">
        <v>9.0654918241124295E-3</v>
      </c>
      <c r="M75" s="35">
        <v>1.13350125944585E-2</v>
      </c>
      <c r="N75" s="35">
        <v>1.2702366127023801E-2</v>
      </c>
      <c r="O75" s="35">
        <v>1.6560091818330801E-2</v>
      </c>
      <c r="P75" s="35">
        <v>1.9072580645161302E-2</v>
      </c>
      <c r="Q75" s="35">
        <v>1.73307482293357E-2</v>
      </c>
      <c r="R75" s="35">
        <v>2.0263700361712999E-2</v>
      </c>
      <c r="S75" s="35">
        <v>2.2224763647453499E-2</v>
      </c>
      <c r="T75" s="35">
        <v>3.0803654670893001E-2</v>
      </c>
      <c r="U75" s="35">
        <v>3.03172822980355E-2</v>
      </c>
      <c r="V75" s="35">
        <v>2.2648267144211399E-2</v>
      </c>
      <c r="W75" s="35">
        <v>1.4489767889026299E-2</v>
      </c>
      <c r="X75" s="35">
        <v>1.76673661409328E-2</v>
      </c>
      <c r="Y75" s="35">
        <v>1.6695490222163E-2</v>
      </c>
      <c r="Z75" s="35">
        <v>1.0958456002617E-2</v>
      </c>
      <c r="AA75" s="35">
        <v>9.9660249150623804E-3</v>
      </c>
      <c r="AB75" s="35">
        <v>1.2751097299202201E-2</v>
      </c>
      <c r="AC75" s="35">
        <v>1.6987757426212498E-2</v>
      </c>
      <c r="AD75" s="35">
        <v>1.6175189747418099E-2</v>
      </c>
      <c r="AE75" s="35">
        <v>1.5795273662299499E-2</v>
      </c>
      <c r="AF75" s="35">
        <v>1.37716972034716E-2</v>
      </c>
      <c r="AG75" s="35">
        <v>1.67058054160103E-2</v>
      </c>
      <c r="AH75" s="35">
        <v>1.6372832792445099E-2</v>
      </c>
      <c r="AI75" s="35">
        <v>1.9963754566637099E-2</v>
      </c>
      <c r="AJ75" s="35">
        <v>1.7655187974165799E-2</v>
      </c>
      <c r="AK75" s="35">
        <v>1.9759997782889501E-2</v>
      </c>
      <c r="AL75" s="35">
        <v>1.8670507663876498E-2</v>
      </c>
      <c r="AM75" s="35">
        <v>2.41442787396953E-2</v>
      </c>
      <c r="AN75" s="35">
        <v>2.0891945399603901E-2</v>
      </c>
      <c r="AO75" s="35">
        <v>1.8244450114825301E-2</v>
      </c>
      <c r="AP75" s="35">
        <v>2.1851898258363499E-2</v>
      </c>
      <c r="AQ75" s="35">
        <v>2.3738872403560801E-2</v>
      </c>
      <c r="AR75" s="35">
        <v>2.23020721044438E-2</v>
      </c>
      <c r="AS75" s="35">
        <v>2.6502015184178399E-2</v>
      </c>
      <c r="AT75" s="35">
        <v>2.65026137375306E-2</v>
      </c>
      <c r="AU75" s="35">
        <v>1.8791140366482901E-2</v>
      </c>
      <c r="AV75" s="35">
        <v>1.9426800253203199E-2</v>
      </c>
      <c r="AW75" s="35">
        <v>1.65299873669786E-2</v>
      </c>
      <c r="AX75" s="35">
        <v>1.4323328067404001E-2</v>
      </c>
      <c r="AY75" s="35">
        <v>1.32904163638252E-2</v>
      </c>
      <c r="AZ75" s="35">
        <v>1.3874372374218701E-2</v>
      </c>
      <c r="BA75" s="35">
        <v>1.01269404915911E-2</v>
      </c>
      <c r="BB75" s="35">
        <v>7.9843115282252092E-3</v>
      </c>
      <c r="BC75" s="35">
        <v>7.4247597871834898E-3</v>
      </c>
      <c r="BD75" s="35">
        <v>1.0621526819847699E-2</v>
      </c>
      <c r="BE75" s="35">
        <v>7.4875694647558201E-3</v>
      </c>
      <c r="BF75" s="35">
        <v>9.8511680117672196E-3</v>
      </c>
      <c r="BG75" s="35">
        <v>8.9884625704319508E-3</v>
      </c>
      <c r="BH75" s="35">
        <v>9.0223564495603998E-3</v>
      </c>
      <c r="BI75" s="35">
        <v>7.0027483904972999E-3</v>
      </c>
      <c r="BJ75" s="35">
        <v>1.0225445844393799E-2</v>
      </c>
      <c r="BK75" s="35">
        <v>5.92143002535117E-3</v>
      </c>
      <c r="BL75" s="35">
        <v>6.6407902724381403E-3</v>
      </c>
      <c r="BM75" s="35">
        <v>5.18986879134542E-3</v>
      </c>
      <c r="BN75" s="35">
        <v>4.9449151001708103E-3</v>
      </c>
      <c r="BO75" s="35">
        <v>3.5095336300157202E-3</v>
      </c>
      <c r="BP75" s="35">
        <v>4.7411306605133997E-3</v>
      </c>
      <c r="BQ75" s="35">
        <v>5.9388176190904298E-3</v>
      </c>
      <c r="BR75" s="35">
        <v>5.7967395569507004E-3</v>
      </c>
      <c r="BS75" s="35">
        <v>6.79186394992115E-3</v>
      </c>
      <c r="BT75" s="35">
        <v>7.7147990277239798E-3</v>
      </c>
      <c r="BU75" s="35">
        <v>7.4984269034468198E-3</v>
      </c>
      <c r="BV75" s="35">
        <v>7.7375479259556004E-3</v>
      </c>
      <c r="BW75" s="35">
        <v>9.98502246630051E-3</v>
      </c>
      <c r="BX75" s="35">
        <v>1.2238566826324701E-2</v>
      </c>
      <c r="BY75" s="35">
        <v>9.2110802391176493E-3</v>
      </c>
      <c r="BZ75" s="35">
        <v>9.6108923446573992E-3</v>
      </c>
      <c r="CA75" s="35">
        <v>1.08250148740661E-2</v>
      </c>
      <c r="CB75" s="35">
        <v>7.42278828703635E-3</v>
      </c>
      <c r="CC75" s="35">
        <v>6.8163006962365102E-3</v>
      </c>
      <c r="CD75" s="35">
        <v>1.08967229234167E-2</v>
      </c>
      <c r="CE75" s="35">
        <v>1.1193851354583499E-2</v>
      </c>
      <c r="CF75" s="35">
        <v>8.6414886067964804E-3</v>
      </c>
      <c r="CG75" s="35">
        <v>7.6450447915199504E-3</v>
      </c>
      <c r="CH75" s="35">
        <v>9.7126543784522602E-3</v>
      </c>
      <c r="CI75" s="35">
        <v>7.2067365315466904E-3</v>
      </c>
      <c r="CJ75" s="35">
        <v>7.6738828626787799E-3</v>
      </c>
      <c r="CK75" s="35">
        <v>5.8137774413322702E-3</v>
      </c>
      <c r="CL75" s="35">
        <v>4.0039738688022498E-3</v>
      </c>
      <c r="CM75" s="35">
        <v>5.9670164917540198E-3</v>
      </c>
      <c r="CN75" s="35">
        <v>4.7840472145219701E-3</v>
      </c>
      <c r="CO75" s="35">
        <v>7.0454916269895298E-3</v>
      </c>
      <c r="CP75" s="35">
        <v>5.9504521754498701E-3</v>
      </c>
      <c r="CQ75" s="35">
        <v>5.9006120237781196E-3</v>
      </c>
      <c r="CR75" s="35">
        <v>5.0217609641782799E-3</v>
      </c>
      <c r="CS75" s="35">
        <v>5.8801378790949198E-3</v>
      </c>
      <c r="CT75" s="35">
        <v>5.1114438749064704E-3</v>
      </c>
      <c r="CU75" s="35">
        <v>4.7702952425974204E-3</v>
      </c>
      <c r="CV75" s="35">
        <v>5.33219275734242E-3</v>
      </c>
      <c r="CW75" s="35">
        <v>5.5733613183197601E-3</v>
      </c>
      <c r="CX75" s="35">
        <v>5.6976039037051097E-3</v>
      </c>
      <c r="CY75" s="35">
        <v>4.9080786975359602E-3</v>
      </c>
      <c r="CZ75" s="35">
        <v>4.47942395445211E-3</v>
      </c>
      <c r="DA75" s="35">
        <v>4.7234030729905703E-3</v>
      </c>
      <c r="DB75" s="35">
        <v>4.6044080639362503E-3</v>
      </c>
      <c r="DC75" s="35">
        <v>4.0878122634366897E-3</v>
      </c>
      <c r="DD75" s="35">
        <v>4.8525057572101904E-3</v>
      </c>
      <c r="DE75" s="35">
        <v>4.2288489346029596E-3</v>
      </c>
      <c r="DF75" s="35">
        <v>4.4827211475766404E-3</v>
      </c>
      <c r="DG75" s="35">
        <v>4.9766045492656303E-3</v>
      </c>
      <c r="DH75" s="35">
        <v>2.9738676427053501E-3</v>
      </c>
      <c r="DI75" s="35">
        <v>3.5822097001410001E-3</v>
      </c>
      <c r="DJ75" s="35">
        <v>1.0160156145557801E-3</v>
      </c>
      <c r="DK75" s="35">
        <v>2.59088116669792E-3</v>
      </c>
      <c r="DL75" s="35">
        <v>3.87627877237851E-3</v>
      </c>
      <c r="DM75" s="35">
        <v>2.6803603890504001E-3</v>
      </c>
      <c r="DN75" s="35">
        <v>2.6996625421822399E-3</v>
      </c>
      <c r="DO75" s="35">
        <v>4.5269173408648599E-3</v>
      </c>
      <c r="DP75" s="35">
        <v>3.83645154509149E-3</v>
      </c>
      <c r="DQ75" s="35">
        <v>5.2615046332653596E-3</v>
      </c>
      <c r="DR75" s="35">
        <v>6.6661458740202599E-3</v>
      </c>
      <c r="DS75" s="35">
        <v>6.0141234900024099E-3</v>
      </c>
      <c r="DT75" s="35">
        <v>6.26100818945008E-3</v>
      </c>
      <c r="DU75" s="35">
        <v>5.4171457774372404E-3</v>
      </c>
      <c r="DV75" s="35">
        <v>6.8493150684931798E-3</v>
      </c>
      <c r="DW75" s="35">
        <v>6.6638900458142504E-3</v>
      </c>
      <c r="DX75" s="35">
        <v>3.0340642669976999E-3</v>
      </c>
      <c r="DY75" s="35">
        <v>3.2248790670348399E-3</v>
      </c>
      <c r="DZ75" s="35">
        <v>2.6663011923600002E-3</v>
      </c>
      <c r="EA75" s="35">
        <v>3.96396396396392E-3</v>
      </c>
      <c r="EB75" s="35">
        <v>4.4681535757606899E-3</v>
      </c>
      <c r="EC75" s="35">
        <v>5.8160310516910396E-3</v>
      </c>
      <c r="ED75" s="35">
        <v>5.4026241317211001E-3</v>
      </c>
      <c r="EE75" s="35">
        <v>3.4239898620656E-3</v>
      </c>
      <c r="EF75" s="35">
        <v>5.7438463126449103E-3</v>
      </c>
      <c r="EG75" s="35">
        <v>5.7955615657676596E-3</v>
      </c>
      <c r="EH75" s="35">
        <v>7.1666946771986604E-3</v>
      </c>
      <c r="EI75" s="35">
        <v>8.1169024660603401E-3</v>
      </c>
      <c r="EJ75" s="35">
        <v>6.33719555450463E-3</v>
      </c>
      <c r="EK75" s="35">
        <v>7.7071290944123998E-3</v>
      </c>
      <c r="EL75" s="35">
        <v>7.6715011891992403E-3</v>
      </c>
      <c r="EM75" s="35">
        <v>7.3122758301513704E-3</v>
      </c>
      <c r="EN75" s="35">
        <v>9.4415474030002892E-3</v>
      </c>
      <c r="EO75" s="35">
        <v>7.9650448318238105E-3</v>
      </c>
      <c r="EP75" s="35">
        <v>6.9990065926126598E-3</v>
      </c>
      <c r="EQ75" s="35">
        <v>8.84489484776463E-3</v>
      </c>
      <c r="ER75" s="35">
        <v>7.3227917726934599E-3</v>
      </c>
      <c r="ES75" s="35">
        <v>3.8057626969067999E-3</v>
      </c>
      <c r="ET75" s="35">
        <v>1.00113190544744E-2</v>
      </c>
      <c r="EU75" s="35">
        <v>6.3432998215606799E-3</v>
      </c>
      <c r="EV75" s="35">
        <v>4.2274383453526597E-3</v>
      </c>
      <c r="EW75" s="35">
        <v>4.8448569152257396E-3</v>
      </c>
      <c r="EX75" s="35">
        <v>4.31791882741184E-3</v>
      </c>
      <c r="EY75" s="35">
        <v>3.6272470261908799E-3</v>
      </c>
      <c r="EZ75" s="35">
        <v>7.7491363273982598E-3</v>
      </c>
      <c r="FA75" s="35">
        <v>1.80372136196771E-3</v>
      </c>
      <c r="FB75" s="35">
        <v>2.7375625164527401E-4</v>
      </c>
      <c r="FC75" s="35">
        <v>-1.3789328533383399E-3</v>
      </c>
      <c r="FD75" s="35">
        <v>6.1136291767671701E-4</v>
      </c>
      <c r="FE75" s="35">
        <v>3.6764705882352802E-3</v>
      </c>
      <c r="FF75" s="35">
        <v>2.5294667128477099E-3</v>
      </c>
      <c r="FG75" s="35">
        <v>4.65880776398153E-3</v>
      </c>
      <c r="FH75" s="35">
        <v>3.6368183570751902E-3</v>
      </c>
      <c r="FI75" s="35">
        <v>5.7313730376278302E-3</v>
      </c>
      <c r="FJ75" s="35">
        <v>4.9037826230591301E-3</v>
      </c>
      <c r="FK75" s="35">
        <v>7.22218227021032E-3</v>
      </c>
      <c r="FL75" s="35">
        <v>5.2936496603497299E-3</v>
      </c>
      <c r="FM75" s="35">
        <v>1.2783961201692201E-3</v>
      </c>
      <c r="FN75" s="35">
        <v>5.9784976744656796E-3</v>
      </c>
      <c r="FO75" s="35">
        <v>4.16007735930779E-3</v>
      </c>
      <c r="FP75" s="35">
        <v>6.1590931888855201E-3</v>
      </c>
      <c r="FQ75" s="35">
        <v>4.2470888498964401E-3</v>
      </c>
      <c r="FR75" s="35">
        <v>3.9114464409808498E-3</v>
      </c>
      <c r="FS75" s="35">
        <v>3.0062101973813401E-3</v>
      </c>
      <c r="FT75" s="35">
        <v>5.3732697085617804E-3</v>
      </c>
      <c r="FU75" s="35">
        <v>5.6583605464191099E-3</v>
      </c>
      <c r="FV75" s="35">
        <v>4.0468064358849497E-3</v>
      </c>
      <c r="FW75" s="35">
        <v>5.7009663477880501E-3</v>
      </c>
      <c r="FX75" s="35">
        <v>4.6063813349812603E-3</v>
      </c>
      <c r="FY75" s="35">
        <v>7.2095281123529798E-4</v>
      </c>
      <c r="FZ75" s="35">
        <v>-1.1526934603856E-4</v>
      </c>
      <c r="GA75" s="35">
        <v>5.6776697536795604E-3</v>
      </c>
      <c r="GB75" s="35">
        <v>2.4454782533933602E-3</v>
      </c>
      <c r="GC75" s="35">
        <v>-6.6705419338730602E-5</v>
      </c>
      <c r="GD75" s="35">
        <v>-5.6226889795296697E-4</v>
      </c>
      <c r="GE75" s="35">
        <v>6.7033459517700199E-3</v>
      </c>
      <c r="GF75" s="35">
        <v>3.0120481927711201E-3</v>
      </c>
      <c r="GG75" s="35">
        <v>5.4394016658168001E-3</v>
      </c>
      <c r="GH75" s="35">
        <v>5.1845590307129097E-3</v>
      </c>
      <c r="GI75" s="35">
        <v>3.1862607688137902E-3</v>
      </c>
      <c r="GJ75" s="35">
        <v>5.4488045229734699E-3</v>
      </c>
      <c r="GK75" s="35">
        <v>6.40123022195871E-3</v>
      </c>
      <c r="GL75" s="35">
        <v>6.6826830143871304E-3</v>
      </c>
      <c r="GM75" s="35">
        <v>7.4155351346409902E-3</v>
      </c>
      <c r="GN75" s="35">
        <v>4.5744989834446397E-3</v>
      </c>
      <c r="GO75" s="35">
        <v>4.2916516082398496E-3</v>
      </c>
      <c r="GP75" s="35">
        <v>3.6435607934865999E-3</v>
      </c>
      <c r="GQ75" s="35">
        <v>5.5934026532806803E-3</v>
      </c>
      <c r="GR75" s="35">
        <v>3.3338087427798898E-3</v>
      </c>
      <c r="GS75" s="35">
        <v>3.1272766040617598E-3</v>
      </c>
      <c r="GT75" s="35">
        <v>4.5788681250553704E-3</v>
      </c>
      <c r="GU75" s="35">
        <v>-3.29727489927456E-3</v>
      </c>
      <c r="GV75" s="35">
        <v>8.6596552059652297E-3</v>
      </c>
      <c r="GW75" s="35">
        <v>6.2438613722464202E-3</v>
      </c>
      <c r="GX75" s="35">
        <v>1.2680401589625599E-2</v>
      </c>
      <c r="GY75" s="35">
        <v>1.52755187221922E-2</v>
      </c>
      <c r="GZ75" s="35">
        <v>1.51643582484275E-2</v>
      </c>
      <c r="HA75" s="35">
        <v>1.6657899351218499E-2</v>
      </c>
      <c r="HB75" s="35">
        <v>2.01300941211255E-2</v>
      </c>
      <c r="HC75">
        <v>2.1777809981563302E-2</v>
      </c>
      <c r="HD75">
        <v>1.0731676568384901E-2</v>
      </c>
      <c r="HE75">
        <v>9.5575166048207406E-3</v>
      </c>
      <c r="HF75">
        <v>9.9689580083706097E-3</v>
      </c>
    </row>
    <row r="76" spans="1:214" x14ac:dyDescent="0.35">
      <c r="A76" s="35" t="s">
        <v>2197</v>
      </c>
      <c r="B76" s="35">
        <v>1.1084103062712699E-2</v>
      </c>
      <c r="C76" s="35">
        <v>1.1084103062712699E-2</v>
      </c>
      <c r="D76" s="35">
        <v>9.7124723531110107E-3</v>
      </c>
      <c r="E76" s="35">
        <v>1.29523809523808E-2</v>
      </c>
      <c r="F76" s="35">
        <v>9.4960511470478792E-3</v>
      </c>
      <c r="G76" s="35">
        <v>1.1362578001303801E-2</v>
      </c>
      <c r="H76" s="35">
        <v>9.8535776775023898E-3</v>
      </c>
      <c r="I76" s="35">
        <v>6.2009848623016898E-3</v>
      </c>
      <c r="J76" s="35">
        <v>1.05582744245059E-2</v>
      </c>
      <c r="K76" s="35">
        <v>5.7396529303619399E-3</v>
      </c>
      <c r="L76" s="35">
        <v>8.7832716572295907E-3</v>
      </c>
      <c r="M76" s="35">
        <v>8.1764341907539801E-3</v>
      </c>
      <c r="N76" s="35">
        <v>1.20555872166936E-2</v>
      </c>
      <c r="O76" s="35">
        <v>1.9232435242138201E-2</v>
      </c>
      <c r="P76" s="35">
        <v>1.81895452613683E-2</v>
      </c>
      <c r="Q76" s="35">
        <v>2.0452458468987599E-2</v>
      </c>
      <c r="R76" s="35">
        <v>2.9777486910994602E-2</v>
      </c>
      <c r="S76" s="35">
        <v>2.8320622815379799E-2</v>
      </c>
      <c r="T76" s="35">
        <v>2.69612576770057E-2</v>
      </c>
      <c r="U76" s="35">
        <v>2.5425960055666299E-2</v>
      </c>
      <c r="V76" s="35">
        <v>1.8816711293694801E-2</v>
      </c>
      <c r="W76" s="35">
        <v>1.2276785714285801E-2</v>
      </c>
      <c r="X76" s="35">
        <v>1.8707543479034E-2</v>
      </c>
      <c r="Y76" s="35">
        <v>1.6792933701078799E-2</v>
      </c>
      <c r="Z76" s="35">
        <v>1.0987501716797099E-2</v>
      </c>
      <c r="AA76" s="35">
        <v>8.3888058687677809E-3</v>
      </c>
      <c r="AB76" s="35">
        <v>1.5189788151291701E-2</v>
      </c>
      <c r="AC76" s="35">
        <v>1.5791918253599501E-2</v>
      </c>
      <c r="AD76" s="35">
        <v>1.8028610621203301E-2</v>
      </c>
      <c r="AE76" s="35">
        <v>1.7131857555341599E-2</v>
      </c>
      <c r="AF76" s="35">
        <v>1.50454201362602E-2</v>
      </c>
      <c r="AG76" s="35">
        <v>1.4200926012243299E-2</v>
      </c>
      <c r="AH76" s="35">
        <v>1.6422574912678501E-2</v>
      </c>
      <c r="AI76" s="35">
        <v>2.05281244347983E-2</v>
      </c>
      <c r="AJ76" s="35">
        <v>1.7545414266725699E-2</v>
      </c>
      <c r="AK76" s="35">
        <v>1.8897500653139599E-2</v>
      </c>
      <c r="AL76" s="35">
        <v>1.8860398860398801E-2</v>
      </c>
      <c r="AM76" s="35">
        <v>2.7319501146468202E-2</v>
      </c>
      <c r="AN76" s="35">
        <v>2.4796537739187201E-2</v>
      </c>
      <c r="AO76" s="35">
        <v>2.4223107569721E-2</v>
      </c>
      <c r="AP76" s="35">
        <v>3.0003630517089399E-2</v>
      </c>
      <c r="AQ76" s="35">
        <v>2.4471915204310201E-2</v>
      </c>
      <c r="AR76" s="35">
        <v>2.3395836917254401E-2</v>
      </c>
      <c r="AS76" s="35">
        <v>2.47340489397978E-2</v>
      </c>
      <c r="AT76" s="35">
        <v>2.59414618142619E-2</v>
      </c>
      <c r="AU76" s="35">
        <v>1.6788487894015401E-2</v>
      </c>
      <c r="AV76" s="35">
        <v>1.6466359654049099E-2</v>
      </c>
      <c r="AW76" s="35">
        <v>1.53155940594061E-2</v>
      </c>
      <c r="AX76" s="35">
        <v>1.2711956640038199E-2</v>
      </c>
      <c r="AY76" s="35">
        <v>9.6292315959161101E-3</v>
      </c>
      <c r="AZ76" s="35">
        <v>1.5796308517659102E-2</v>
      </c>
      <c r="BA76" s="35">
        <v>1.1023787069055701E-2</v>
      </c>
      <c r="BB76" s="35">
        <v>8.2709728239465097E-3</v>
      </c>
      <c r="BC76" s="35">
        <v>9.1488486842106198E-3</v>
      </c>
      <c r="BD76" s="35">
        <v>1.31404706122031E-2</v>
      </c>
      <c r="BE76" s="35">
        <v>6.5956163281721799E-3</v>
      </c>
      <c r="BF76" s="35">
        <v>1.08074633425226E-2</v>
      </c>
      <c r="BG76" s="35">
        <v>9.6839858495227898E-3</v>
      </c>
      <c r="BH76" s="35">
        <v>7.7120319442540702E-3</v>
      </c>
      <c r="BI76" s="35">
        <v>6.1767962239964698E-3</v>
      </c>
      <c r="BJ76" s="35">
        <v>1.1795139089978901E-2</v>
      </c>
      <c r="BK76" s="35">
        <v>8.1088300389224894E-3</v>
      </c>
      <c r="BL76" s="35">
        <v>7.8354183621325308E-3</v>
      </c>
      <c r="BM76" s="35">
        <v>6.9857843045200204E-3</v>
      </c>
      <c r="BN76" s="35">
        <v>7.08651138504002E-3</v>
      </c>
      <c r="BO76" s="35">
        <v>-1.0554969168380399E-3</v>
      </c>
      <c r="BP76" s="35">
        <v>5.2645237830422102E-3</v>
      </c>
      <c r="BQ76" s="35">
        <v>6.0483127420247803E-3</v>
      </c>
      <c r="BR76" s="35">
        <v>9.4211664650463208E-3</v>
      </c>
      <c r="BS76" s="35">
        <v>9.6419233004068107E-3</v>
      </c>
      <c r="BT76" s="35">
        <v>9.4779058683884792E-3</v>
      </c>
      <c r="BU76" s="35">
        <v>8.6406556208800094E-3</v>
      </c>
      <c r="BV76" s="35">
        <v>7.8954340722423594E-3</v>
      </c>
      <c r="BW76" s="35">
        <v>1.10406224808104E-2</v>
      </c>
      <c r="BX76" s="35">
        <v>1.23240657283505E-2</v>
      </c>
      <c r="BY76" s="35">
        <v>1.01022207763299E-2</v>
      </c>
      <c r="BZ76" s="35">
        <v>1.14928889868289E-2</v>
      </c>
      <c r="CA76" s="35">
        <v>1.34738817851219E-2</v>
      </c>
      <c r="CB76" s="35">
        <v>5.9032658123190397E-3</v>
      </c>
      <c r="CC76" s="35">
        <v>7.8577064702787195E-3</v>
      </c>
      <c r="CD76" s="35">
        <v>1.4500081552764501E-2</v>
      </c>
      <c r="CE76" s="35">
        <v>9.0837473271274706E-3</v>
      </c>
      <c r="CF76" s="35">
        <v>1.2698362118411801E-2</v>
      </c>
      <c r="CG76" s="35">
        <v>1.3231384024795101E-2</v>
      </c>
      <c r="CH76" s="35">
        <v>5.2482842147758601E-3</v>
      </c>
      <c r="CI76" s="35">
        <v>5.4680259499535503E-3</v>
      </c>
      <c r="CJ76" s="35">
        <v>6.7901803545642502E-3</v>
      </c>
      <c r="CK76" s="35">
        <v>7.26318359375E-3</v>
      </c>
      <c r="CL76" s="35">
        <v>6.2564382233532001E-3</v>
      </c>
      <c r="CM76" s="35">
        <v>6.6541211893114101E-3</v>
      </c>
      <c r="CN76" s="35">
        <v>6.3858106390295398E-3</v>
      </c>
      <c r="CO76" s="35">
        <v>6.9694177787025203E-3</v>
      </c>
      <c r="CP76" s="35">
        <v>5.9619556395083002E-3</v>
      </c>
      <c r="CQ76" s="35">
        <v>6.7041236962166496E-3</v>
      </c>
      <c r="CR76" s="35">
        <v>4.3570762415483504E-3</v>
      </c>
      <c r="CS76" s="35">
        <v>5.7600510714854699E-3</v>
      </c>
      <c r="CT76" s="35">
        <v>3.5776110790537402E-3</v>
      </c>
      <c r="CU76" s="35">
        <v>5.5772769089237296E-3</v>
      </c>
      <c r="CV76" s="35">
        <v>7.1902338612841498E-3</v>
      </c>
      <c r="CW76" s="35">
        <v>4.6835748449451896E-3</v>
      </c>
      <c r="CX76" s="35">
        <v>4.9018915368206403E-3</v>
      </c>
      <c r="CY76" s="35">
        <v>5.8057804768332196E-3</v>
      </c>
      <c r="CZ76" s="35">
        <v>4.0950956687024797E-3</v>
      </c>
      <c r="DA76" s="35">
        <v>4.3985412432838702E-3</v>
      </c>
      <c r="DB76" s="35">
        <v>5.5572493694391297E-3</v>
      </c>
      <c r="DC76" s="35">
        <v>6.6842156038533504E-3</v>
      </c>
      <c r="DD76" s="35">
        <v>4.2713980614423903E-3</v>
      </c>
      <c r="DE76" s="35">
        <v>6.8160750313539503E-3</v>
      </c>
      <c r="DF76" s="35">
        <v>4.4139948006933797E-3</v>
      </c>
      <c r="DG76" s="35">
        <v>2.50734679571862E-3</v>
      </c>
      <c r="DH76" s="35">
        <v>2.6355421686745698E-3</v>
      </c>
      <c r="DI76" s="35">
        <v>3.1382436564562099E-3</v>
      </c>
      <c r="DJ76" s="35">
        <v>8.0216048557346694E-5</v>
      </c>
      <c r="DK76" s="35">
        <v>1.80471632533008E-3</v>
      </c>
      <c r="DL76" s="35">
        <v>3.0825071057794E-3</v>
      </c>
      <c r="DM76" s="35">
        <v>2.6473327125182702E-3</v>
      </c>
      <c r="DN76" s="35">
        <v>1.9636720667648398E-3</v>
      </c>
      <c r="DO76" s="35">
        <v>5.6940821272031296E-3</v>
      </c>
      <c r="DP76" s="35">
        <v>5.5038382029572999E-3</v>
      </c>
      <c r="DQ76" s="35">
        <v>6.06298697047092E-3</v>
      </c>
      <c r="DR76" s="35">
        <v>8.1220388400062796E-3</v>
      </c>
      <c r="DS76" s="35">
        <v>4.7642410783452797E-3</v>
      </c>
      <c r="DT76" s="35">
        <v>6.4507009676051403E-3</v>
      </c>
      <c r="DU76" s="35">
        <v>5.6560652681845198E-3</v>
      </c>
      <c r="DV76" s="35">
        <v>7.4016707716526601E-3</v>
      </c>
      <c r="DW76" s="35">
        <v>4.6881498191533302E-3</v>
      </c>
      <c r="DX76" s="35">
        <v>5.0174985261097803E-4</v>
      </c>
      <c r="DY76" s="35">
        <v>4.1373603640870699E-4</v>
      </c>
      <c r="DZ76" s="35">
        <v>2.0051632954858302E-3</v>
      </c>
      <c r="EA76" s="35">
        <v>7.41676463966789E-3</v>
      </c>
      <c r="EB76" s="35">
        <v>5.1771015680286397E-3</v>
      </c>
      <c r="EC76" s="35">
        <v>4.6687416629613799E-3</v>
      </c>
      <c r="ED76" s="35">
        <v>7.6467261685231299E-3</v>
      </c>
      <c r="EE76" s="35">
        <v>1.0004392172173701E-3</v>
      </c>
      <c r="EF76" s="35">
        <v>6.5938619798648901E-3</v>
      </c>
      <c r="EG76" s="35">
        <v>4.9160279462867598E-3</v>
      </c>
      <c r="EH76" s="35">
        <v>7.7114937404358904E-3</v>
      </c>
      <c r="EI76" s="35">
        <v>6.7317924742624803E-3</v>
      </c>
      <c r="EJ76" s="35">
        <v>4.9170981994395299E-3</v>
      </c>
      <c r="EK76" s="35">
        <v>8.5450892329512803E-3</v>
      </c>
      <c r="EL76" s="35">
        <v>5.8125227051668603E-3</v>
      </c>
      <c r="EM76" s="35">
        <v>6.3148819163685302E-3</v>
      </c>
      <c r="EN76" s="35">
        <v>1.08022368619098E-2</v>
      </c>
      <c r="EO76" s="35">
        <v>7.9606890864105696E-3</v>
      </c>
      <c r="EP76" s="35">
        <v>5.1932408322823403E-3</v>
      </c>
      <c r="EQ76" s="35">
        <v>8.772723161798E-3</v>
      </c>
      <c r="ER76" s="35">
        <v>7.1947283485744896E-3</v>
      </c>
      <c r="ES76" s="35">
        <v>-1.6467498942963599E-3</v>
      </c>
      <c r="ET76" s="35">
        <v>9.1389340882241897E-3</v>
      </c>
      <c r="EU76" s="35">
        <v>8.4929207253770008E-3</v>
      </c>
      <c r="EV76" s="35">
        <v>5.6507693150085201E-3</v>
      </c>
      <c r="EW76" s="35">
        <v>1.0170857335758E-2</v>
      </c>
      <c r="EX76" s="35">
        <v>8.1388454697353101E-3</v>
      </c>
      <c r="EY76" s="35">
        <v>9.7305389221558104E-3</v>
      </c>
      <c r="EZ76" s="35">
        <v>1.06745737583394E-2</v>
      </c>
      <c r="FA76" s="35">
        <v>-1.59684821559547E-2</v>
      </c>
      <c r="FB76" s="35">
        <v>-6.7508571671954804E-3</v>
      </c>
      <c r="FC76" s="35">
        <v>3.9772727272726601E-3</v>
      </c>
      <c r="FD76" s="35">
        <v>6.88727296024605E-3</v>
      </c>
      <c r="FE76" s="35">
        <v>7.7203698990413504E-3</v>
      </c>
      <c r="FF76" s="35">
        <v>3.8621821855531202E-3</v>
      </c>
      <c r="FG76" s="35">
        <v>1.5515090522166799E-3</v>
      </c>
      <c r="FH76" s="35">
        <v>1.925915071332E-3</v>
      </c>
      <c r="FI76" s="35">
        <v>6.4038945707927102E-3</v>
      </c>
      <c r="FJ76" s="35">
        <v>8.3976914133865304E-3</v>
      </c>
      <c r="FK76" s="35">
        <v>9.8306655000257592E-3</v>
      </c>
      <c r="FL76" s="35">
        <v>4.6279306829766203E-3</v>
      </c>
      <c r="FM76" s="35">
        <v>3.2976845181322801E-3</v>
      </c>
      <c r="FN76" s="35">
        <v>6.6242579314110799E-3</v>
      </c>
      <c r="FO76" s="35">
        <v>2.4212831796171E-3</v>
      </c>
      <c r="FP76" s="35">
        <v>2.90653971435728E-3</v>
      </c>
      <c r="FQ76" s="35">
        <v>5.6063558686854104E-3</v>
      </c>
      <c r="FR76" s="35">
        <v>3.60741756603655E-3</v>
      </c>
      <c r="FS76" s="35">
        <v>7.1294893503259804E-4</v>
      </c>
      <c r="FT76" s="35">
        <v>4.0569557000227404E-3</v>
      </c>
      <c r="FU76" s="35">
        <v>4.1883888007410199E-3</v>
      </c>
      <c r="FV76" s="35">
        <v>4.8088246839914604E-3</v>
      </c>
      <c r="FW76" s="35">
        <v>5.0104506475494599E-3</v>
      </c>
      <c r="FX76" s="35">
        <v>2.8280158213393998E-3</v>
      </c>
      <c r="FY76" s="35">
        <v>-1.15321252059308E-3</v>
      </c>
      <c r="FZ76" s="35">
        <v>-4.1524774184784601E-3</v>
      </c>
      <c r="GA76" s="35">
        <v>4.8517677776371802E-3</v>
      </c>
      <c r="GB76" s="35">
        <v>2.4141708922735799E-3</v>
      </c>
      <c r="GC76" s="35">
        <v>-9.8655575974471209E-4</v>
      </c>
      <c r="GD76" s="35">
        <v>5.3249167376656604E-4</v>
      </c>
      <c r="GE76" s="35">
        <v>6.2800576720243298E-3</v>
      </c>
      <c r="GF76" s="35">
        <v>3.7502884837294901E-3</v>
      </c>
      <c r="GG76" s="35">
        <v>4.7326167346859504E-3</v>
      </c>
      <c r="GH76" s="35">
        <v>5.9212784621838202E-3</v>
      </c>
      <c r="GI76" s="35">
        <v>2.4740040001136601E-3</v>
      </c>
      <c r="GJ76" s="35">
        <v>3.6309309933999501E-3</v>
      </c>
      <c r="GK76" s="35">
        <v>6.3688266661641197E-3</v>
      </c>
      <c r="GL76" s="35">
        <v>7.2085229081240198E-3</v>
      </c>
      <c r="GM76" s="35">
        <v>5.37234635832995E-3</v>
      </c>
      <c r="GN76" s="35">
        <v>3.56858902057966E-3</v>
      </c>
      <c r="GO76" s="35">
        <v>3.7677794973836102E-3</v>
      </c>
      <c r="GP76" s="35">
        <v>2.0833142133425101E-3</v>
      </c>
      <c r="GQ76" s="35">
        <v>6.1270469282337396E-3</v>
      </c>
      <c r="GR76" s="35">
        <v>2.6124871423760499E-3</v>
      </c>
      <c r="GS76" s="35">
        <v>3.6225305055199702E-3</v>
      </c>
      <c r="GT76" s="35">
        <v>3.6456401581284E-3</v>
      </c>
      <c r="GU76" s="35">
        <v>-4.5157103455735204E-3</v>
      </c>
      <c r="GV76" s="35">
        <v>8.3389922585903609E-3</v>
      </c>
      <c r="GW76" s="35">
        <v>4.08562757035358E-3</v>
      </c>
      <c r="GX76" s="35">
        <v>1.1071265683547901E-2</v>
      </c>
      <c r="GY76" s="35">
        <v>1.57351471355665E-2</v>
      </c>
      <c r="GZ76" s="35">
        <v>1.3714972395896899E-2</v>
      </c>
      <c r="HA76" s="35">
        <v>1.51185864121706E-2</v>
      </c>
      <c r="HB76" s="35">
        <v>1.8193665219635499E-2</v>
      </c>
      <c r="HC76">
        <v>1.7752216949378001E-2</v>
      </c>
      <c r="HD76">
        <v>1.06239639389509E-2</v>
      </c>
      <c r="HE76">
        <v>9.22753716871361E-3</v>
      </c>
      <c r="HF76">
        <v>1.02480344590159E-2</v>
      </c>
    </row>
    <row r="77" spans="1:214" x14ac:dyDescent="0.35">
      <c r="A77" s="35" t="s">
        <v>2198</v>
      </c>
      <c r="B77" s="35">
        <v>1.32057313943541E-2</v>
      </c>
      <c r="C77" s="35">
        <v>1.32057313943541E-2</v>
      </c>
      <c r="D77" s="35">
        <v>1.7043955464091501E-2</v>
      </c>
      <c r="E77" s="35">
        <v>1.2711424717235501E-2</v>
      </c>
      <c r="F77" s="35">
        <v>3.1661458066499303E-2</v>
      </c>
      <c r="G77" s="35">
        <v>1.86720961414313E-2</v>
      </c>
      <c r="H77" s="35">
        <v>1.4478623312046E-2</v>
      </c>
      <c r="I77" s="35">
        <v>2.03267659778954E-2</v>
      </c>
      <c r="J77" s="35">
        <v>4.11623416380162E-2</v>
      </c>
      <c r="K77" s="35">
        <v>1.00873026643145E-2</v>
      </c>
      <c r="L77" s="35">
        <v>8.1952530228392995E-3</v>
      </c>
      <c r="M77" s="35">
        <v>2.17652023275441E-2</v>
      </c>
      <c r="N77" s="35">
        <v>1.60848584967179E-2</v>
      </c>
      <c r="O77" s="35">
        <v>1.74132546100201E-2</v>
      </c>
      <c r="P77" s="35">
        <v>2.0689655172413599E-2</v>
      </c>
      <c r="Q77" s="35">
        <v>2.13826631509559E-2</v>
      </c>
      <c r="R77" s="35">
        <v>1.0245653664636501E-2</v>
      </c>
      <c r="S77" s="35">
        <v>1.8087442603314002E-2</v>
      </c>
      <c r="T77" s="35">
        <v>2.9178759118362301E-2</v>
      </c>
      <c r="U77" s="35">
        <v>3.32291746055942E-2</v>
      </c>
      <c r="V77" s="35">
        <v>1.8182488751198499E-2</v>
      </c>
      <c r="W77" s="35">
        <v>1.4452856159669699E-2</v>
      </c>
      <c r="X77" s="35">
        <v>1.34971077626223E-2</v>
      </c>
      <c r="Y77" s="35">
        <v>2.29706877113867E-2</v>
      </c>
      <c r="Z77" s="35">
        <v>1.4602562336409899E-2</v>
      </c>
      <c r="AA77" s="35">
        <v>8.3842498302784101E-3</v>
      </c>
      <c r="AB77" s="35">
        <v>1.1445113946208001E-2</v>
      </c>
      <c r="AC77" s="35">
        <v>2.67580790095516E-2</v>
      </c>
      <c r="AD77" s="35">
        <v>1.41324430326408E-2</v>
      </c>
      <c r="AE77" s="35">
        <v>1.1378527823057601E-2</v>
      </c>
      <c r="AF77" s="35">
        <v>4.9300003160255299E-3</v>
      </c>
      <c r="AG77" s="35">
        <v>2.89946224724047E-2</v>
      </c>
      <c r="AH77" s="35">
        <v>1.14299685217445E-2</v>
      </c>
      <c r="AI77" s="35">
        <v>1.9640429067834898E-2</v>
      </c>
      <c r="AJ77" s="35">
        <v>1.6713587198103501E-2</v>
      </c>
      <c r="AK77" s="35">
        <v>1.7254947681366602E-2</v>
      </c>
      <c r="AL77" s="35">
        <v>1.8423540872754201E-2</v>
      </c>
      <c r="AM77" s="35">
        <v>1.51080351114115E-2</v>
      </c>
      <c r="AN77" s="35">
        <v>2.3336382029322901E-2</v>
      </c>
      <c r="AO77" s="35">
        <v>2.2018795872491299E-2</v>
      </c>
      <c r="AP77" s="35">
        <v>1.97689209243164E-2</v>
      </c>
      <c r="AQ77" s="35">
        <v>3.8667428927810402E-2</v>
      </c>
      <c r="AR77" s="35">
        <v>1.0132599449587099E-2</v>
      </c>
      <c r="AS77" s="35">
        <v>3.0092879256966101E-2</v>
      </c>
      <c r="AT77" s="35">
        <v>1.9980764606876599E-2</v>
      </c>
      <c r="AU77" s="35">
        <v>2.32432050163833E-2</v>
      </c>
      <c r="AV77" s="35">
        <v>2.19549842191353E-2</v>
      </c>
      <c r="AW77" s="35">
        <v>1.9138863841298599E-2</v>
      </c>
      <c r="AX77" s="35">
        <v>1.5992390895618099E-2</v>
      </c>
      <c r="AY77" s="35">
        <v>1.9790124531916801E-2</v>
      </c>
      <c r="AZ77" s="35">
        <v>8.4114344271044601E-3</v>
      </c>
      <c r="BA77" s="35">
        <v>1.17921033132211E-2</v>
      </c>
      <c r="BB77" s="35">
        <v>1.8831603615667701E-3</v>
      </c>
      <c r="BC77" s="35">
        <v>7.7273296854769597E-3</v>
      </c>
      <c r="BD77" s="35">
        <v>1.1066898781397499E-2</v>
      </c>
      <c r="BE77" s="35">
        <v>6.5387611199934099E-3</v>
      </c>
      <c r="BF77" s="35">
        <v>1.2951837898381099E-2</v>
      </c>
      <c r="BG77" s="35">
        <v>9.9716531633864403E-3</v>
      </c>
      <c r="BH77" s="35">
        <v>1.48695184823935E-2</v>
      </c>
      <c r="BI77" s="35">
        <v>1.23175898321042E-2</v>
      </c>
      <c r="BJ77" s="35">
        <v>-3.9913198480974197E-3</v>
      </c>
      <c r="BK77" s="35">
        <v>2.3538108392016101E-3</v>
      </c>
      <c r="BL77" s="35">
        <v>5.3370077823275998E-3</v>
      </c>
      <c r="BM77" s="35">
        <v>6.5634531485272403E-3</v>
      </c>
      <c r="BN77" s="35">
        <v>-2.53154846381043E-3</v>
      </c>
      <c r="BO77" s="35">
        <v>-2.48029225149005E-3</v>
      </c>
      <c r="BP77" s="35">
        <v>1.4070661706597799E-3</v>
      </c>
      <c r="BQ77" s="35">
        <v>1.13561997151312E-3</v>
      </c>
      <c r="BR77" s="35">
        <v>-1.71111068386742E-3</v>
      </c>
      <c r="BS77" s="35">
        <v>4.7569524689932098E-3</v>
      </c>
      <c r="BT77" s="35">
        <v>7.2262367982212101E-3</v>
      </c>
      <c r="BU77" s="35">
        <v>2.0933241988276802E-3</v>
      </c>
      <c r="BV77" s="35">
        <v>1.36351551521137E-2</v>
      </c>
      <c r="BW77" s="35">
        <v>9.8358812949641498E-3</v>
      </c>
      <c r="BX77" s="35">
        <v>5.7141796998201296E-3</v>
      </c>
      <c r="BY77" s="35">
        <v>8.0429448984487006E-3</v>
      </c>
      <c r="BZ77" s="35">
        <v>7.42977399579092E-3</v>
      </c>
      <c r="CA77" s="35">
        <v>7.3386496158107696E-3</v>
      </c>
      <c r="CB77" s="35">
        <v>4.9770083851772302E-3</v>
      </c>
      <c r="CC77" s="35">
        <v>3.5886669896465499E-3</v>
      </c>
      <c r="CD77" s="35">
        <v>7.0086356403427103E-3</v>
      </c>
      <c r="CE77" s="35">
        <v>1.7168829785345199E-2</v>
      </c>
      <c r="CF77" s="35">
        <v>1.34403909931913E-3</v>
      </c>
      <c r="CG77" s="35">
        <v>1.19057995014555E-2</v>
      </c>
      <c r="CH77" s="35">
        <v>8.9750215331609907E-3</v>
      </c>
      <c r="CI77" s="35">
        <v>4.9341824452373596E-3</v>
      </c>
      <c r="CJ77" s="35">
        <v>1.2844036697247801E-2</v>
      </c>
      <c r="CK77" s="35">
        <v>1.0114734299516899E-2</v>
      </c>
      <c r="CL77" s="35">
        <v>1.4613328019394999E-3</v>
      </c>
      <c r="CM77" s="35">
        <v>3.6480010612367502E-3</v>
      </c>
      <c r="CN77" s="35">
        <v>8.7233796487518108E-3</v>
      </c>
      <c r="CO77" s="35">
        <v>6.2894111866349496E-3</v>
      </c>
      <c r="CP77" s="35">
        <v>2.49027490681808E-3</v>
      </c>
      <c r="CQ77" s="35">
        <v>4.3999220678010396E-3</v>
      </c>
      <c r="CR77" s="35">
        <v>7.2418085123580099E-3</v>
      </c>
      <c r="CS77" s="35">
        <v>8.9711286931681792E-3</v>
      </c>
      <c r="CT77" s="35">
        <v>4.58088118339428E-3</v>
      </c>
      <c r="CU77" s="35">
        <v>8.3916526805789503E-3</v>
      </c>
      <c r="CV77" s="35">
        <v>5.7467654817233704E-3</v>
      </c>
      <c r="CW77" s="35">
        <v>8.2118212757984494E-3</v>
      </c>
      <c r="CX77" s="35">
        <v>8.4236605760297199E-3</v>
      </c>
      <c r="CY77" s="35">
        <v>6.6642098151221702E-3</v>
      </c>
      <c r="CZ77" s="35">
        <v>5.1709936239665603E-3</v>
      </c>
      <c r="DA77" s="35">
        <v>1.3809429867824E-2</v>
      </c>
      <c r="DB77" s="35">
        <v>2.3500531381441801E-3</v>
      </c>
      <c r="DC77" s="35">
        <v>-5.3610895406486199E-3</v>
      </c>
      <c r="DD77" s="35">
        <v>5.8103745965016902E-3</v>
      </c>
      <c r="DE77" s="35">
        <v>3.4332457606875998E-3</v>
      </c>
      <c r="DF77" s="35">
        <v>3.40662283181103E-3</v>
      </c>
      <c r="DG77" s="35">
        <v>6.5825562260011204E-3</v>
      </c>
      <c r="DH77" s="35">
        <v>2.29766551292454E-3</v>
      </c>
      <c r="DI77" s="35">
        <v>7.0094487957561603E-3</v>
      </c>
      <c r="DJ77" s="35">
        <v>-4.1880691104366798E-3</v>
      </c>
      <c r="DK77" s="35">
        <v>6.4330827508389801E-3</v>
      </c>
      <c r="DL77" s="35">
        <v>6.5375655212580597E-3</v>
      </c>
      <c r="DM77" s="35">
        <v>3.2113874061536801E-3</v>
      </c>
      <c r="DN77" s="35">
        <v>2.9703969661576402E-3</v>
      </c>
      <c r="DO77" s="35">
        <v>8.4103684747760497E-3</v>
      </c>
      <c r="DP77" s="35">
        <v>9.0815773716175201E-3</v>
      </c>
      <c r="DQ77" s="35">
        <v>1.22917814606027E-2</v>
      </c>
      <c r="DR77" s="35">
        <v>9.7419363843178602E-3</v>
      </c>
      <c r="DS77" s="35">
        <v>3.84259195267256E-3</v>
      </c>
      <c r="DT77" s="35">
        <v>7.16006884681586E-3</v>
      </c>
      <c r="DU77" s="35">
        <v>4.5252580490806604E-3</v>
      </c>
      <c r="DV77" s="35">
        <v>1.7012357776688999E-3</v>
      </c>
      <c r="DW77" s="35">
        <v>5.2580807325988098E-3</v>
      </c>
      <c r="DX77" s="35">
        <v>6.4064442882629802E-3</v>
      </c>
      <c r="DY77" s="35">
        <v>6.4731003733446996E-3</v>
      </c>
      <c r="DZ77" s="35">
        <v>6.4848420153715801E-3</v>
      </c>
      <c r="EA77" s="35">
        <v>9.4524724910511893E-3</v>
      </c>
      <c r="EB77" s="35">
        <v>8.5891020842361297E-3</v>
      </c>
      <c r="EC77" s="35">
        <v>1.85293696368347E-2</v>
      </c>
      <c r="ED77" s="35">
        <v>1.11480439785221E-2</v>
      </c>
      <c r="EE77" s="35">
        <v>7.1056491174834599E-3</v>
      </c>
      <c r="EF77" s="35">
        <v>9.0516483792402198E-3</v>
      </c>
      <c r="EG77" s="35">
        <v>7.4898911353034102E-3</v>
      </c>
      <c r="EH77" s="35">
        <v>8.5085888585647602E-3</v>
      </c>
      <c r="EI77" s="35">
        <v>8.6817035241104606E-3</v>
      </c>
      <c r="EJ77" s="35">
        <v>9.1532625189680895E-3</v>
      </c>
      <c r="EK77" s="35">
        <v>9.7318625269160498E-3</v>
      </c>
      <c r="EL77" s="35">
        <v>1.3164478543687101E-2</v>
      </c>
      <c r="EM77" s="35">
        <v>9.0189668755804604E-3</v>
      </c>
      <c r="EN77" s="35">
        <v>1.0441673464631099E-2</v>
      </c>
      <c r="EO77" s="35">
        <v>7.1852005628214597E-3</v>
      </c>
      <c r="EP77" s="35">
        <v>8.4164481443735895E-3</v>
      </c>
      <c r="EQ77" s="35">
        <v>6.9608466569768303E-3</v>
      </c>
      <c r="ER77" s="35">
        <v>7.4089109915760299E-3</v>
      </c>
      <c r="ES77" s="35">
        <v>5.2051850359326997E-3</v>
      </c>
      <c r="ET77" s="35">
        <v>8.5524337687501503E-3</v>
      </c>
      <c r="EU77" s="35">
        <v>7.9940817295483003E-3</v>
      </c>
      <c r="EV77" s="35">
        <v>6.8900548794514904E-3</v>
      </c>
      <c r="EW77" s="35">
        <v>8.0178416013925204E-3</v>
      </c>
      <c r="EX77" s="35">
        <v>8.4289368315399998E-3</v>
      </c>
      <c r="EY77" s="35">
        <v>1.02420856610801E-2</v>
      </c>
      <c r="EZ77" s="35">
        <v>7.5003972668044004E-3</v>
      </c>
      <c r="FA77" s="35">
        <v>-4.7632566795998699E-3</v>
      </c>
      <c r="FB77" s="35">
        <v>-8.3888008452193095E-3</v>
      </c>
      <c r="FC77" s="35">
        <v>1.81128537333874E-4</v>
      </c>
      <c r="FD77" s="35">
        <v>3.0573221267029501E-3</v>
      </c>
      <c r="FE77" s="35">
        <v>7.6890399320306297E-3</v>
      </c>
      <c r="FF77" s="35">
        <v>6.3656675519581096E-3</v>
      </c>
      <c r="FG77" s="35">
        <v>7.6658847184987201E-3</v>
      </c>
      <c r="FH77" s="35">
        <v>3.97006859280813E-3</v>
      </c>
      <c r="FI77" s="35">
        <v>8.1364775056416098E-3</v>
      </c>
      <c r="FJ77" s="35">
        <v>8.9846798373516296E-3</v>
      </c>
      <c r="FK77" s="35">
        <v>9.0471489777432801E-3</v>
      </c>
      <c r="FL77" s="35">
        <v>3.4795062126835598E-3</v>
      </c>
      <c r="FM77" s="35">
        <v>-1.3367237203131301E-3</v>
      </c>
      <c r="FN77" s="35">
        <v>3.4620184372609101E-3</v>
      </c>
      <c r="FO77" s="35">
        <v>2.2064428130139598E-3</v>
      </c>
      <c r="FP77" s="35">
        <v>1.9213833960451999E-3</v>
      </c>
      <c r="FQ77" s="35">
        <v>1.2385137834598501E-3</v>
      </c>
      <c r="FR77" s="35">
        <v>-4.9878296955352397E-5</v>
      </c>
      <c r="FS77" s="35">
        <v>1.9752790829916699E-3</v>
      </c>
      <c r="FT77" s="35">
        <v>3.23585929488135E-3</v>
      </c>
      <c r="FU77" s="35">
        <v>1.5214068795776199E-2</v>
      </c>
      <c r="FV77" s="35">
        <v>-2.5807712986949398E-3</v>
      </c>
      <c r="FW77" s="35">
        <v>4.4202252256666501E-3</v>
      </c>
      <c r="FX77" s="35">
        <v>4.6739915302198599E-3</v>
      </c>
      <c r="FY77" s="35">
        <v>1.3403133225202699E-3</v>
      </c>
      <c r="FZ77" s="35">
        <v>-1.6101029107944401E-3</v>
      </c>
      <c r="GA77" s="35">
        <v>1.9624415882175698E-3</v>
      </c>
      <c r="GB77" s="35">
        <v>1.53197265719696E-3</v>
      </c>
      <c r="GC77" s="35">
        <v>-7.9385824789679504E-4</v>
      </c>
      <c r="GD77" s="35">
        <v>-2.4997335555317899E-3</v>
      </c>
      <c r="GE77" s="35">
        <v>5.3810962283760101E-3</v>
      </c>
      <c r="GF77" s="35">
        <v>3.8837952988686202E-3</v>
      </c>
      <c r="GG77" s="35">
        <v>4.8215265280195903E-3</v>
      </c>
      <c r="GH77" s="35">
        <v>4.8175462120485504E-3</v>
      </c>
      <c r="GI77" s="35">
        <v>3.2598438706357099E-3</v>
      </c>
      <c r="GJ77" s="35">
        <v>4.41784238278475E-3</v>
      </c>
      <c r="GK77" s="35">
        <v>7.1888006053726396E-3</v>
      </c>
      <c r="GL77" s="35">
        <v>1.0133358377159901E-2</v>
      </c>
      <c r="GM77" s="35">
        <v>7.3076172147379399E-3</v>
      </c>
      <c r="GN77" s="35">
        <v>5.7962988601227804E-3</v>
      </c>
      <c r="GO77" s="35">
        <v>7.3320914354932896E-3</v>
      </c>
      <c r="GP77" s="35">
        <v>1.0667565499398599E-2</v>
      </c>
      <c r="GQ77" s="35">
        <v>-6.6520645737000502E-3</v>
      </c>
      <c r="GR77" s="35">
        <v>2.4953495757906699E-3</v>
      </c>
      <c r="GS77" s="35">
        <v>4.0369297610427504E-3</v>
      </c>
      <c r="GT77" s="35">
        <v>3.3806321331337802E-3</v>
      </c>
      <c r="GU77" s="35">
        <v>8.26587362197984E-4</v>
      </c>
      <c r="GV77" s="35">
        <v>6.4276929430036002E-3</v>
      </c>
      <c r="GW77" s="35">
        <v>6.0566056248829696E-3</v>
      </c>
      <c r="GX77" s="35">
        <v>1.0054261091605499E-2</v>
      </c>
      <c r="GY77" s="35">
        <v>1.0156071698179401E-2</v>
      </c>
      <c r="GZ77" s="35">
        <v>1.08273446936453E-2</v>
      </c>
      <c r="HA77" s="35">
        <v>1.0685579196217499E-2</v>
      </c>
      <c r="HB77" s="35">
        <v>1.3906845400109001E-2</v>
      </c>
      <c r="HC77">
        <v>1.4664060468276599E-2</v>
      </c>
      <c r="HD77">
        <v>1.1839505254193999E-2</v>
      </c>
      <c r="HE77">
        <v>7.78702924425789E-3</v>
      </c>
      <c r="HF77">
        <v>8.0106376078354895E-3</v>
      </c>
    </row>
    <row r="78" spans="1:214" x14ac:dyDescent="0.35">
      <c r="A78" s="35" t="s">
        <v>2199</v>
      </c>
      <c r="B78" s="35">
        <v>2.12315774113527E-2</v>
      </c>
      <c r="C78" s="35">
        <v>2.12315774113527E-2</v>
      </c>
      <c r="D78" s="35">
        <v>1.8075301850396502E-2</v>
      </c>
      <c r="E78" s="35">
        <v>1.8947368421052602E-2</v>
      </c>
      <c r="F78" s="35">
        <v>2.26584022038567E-2</v>
      </c>
      <c r="G78" s="35">
        <v>1.8115698026803101E-2</v>
      </c>
      <c r="H78" s="35">
        <v>1.4089165233496501E-2</v>
      </c>
      <c r="I78" s="35">
        <v>1.0892961972474E-2</v>
      </c>
      <c r="J78" s="35">
        <v>2.23899858046199E-2</v>
      </c>
      <c r="K78" s="35">
        <v>1.1801830230356599E-2</v>
      </c>
      <c r="L78" s="35">
        <v>1.5219560878243501E-2</v>
      </c>
      <c r="M78" s="35">
        <v>1.37625952322438E-2</v>
      </c>
      <c r="N78" s="35">
        <v>1.9696969696969501E-2</v>
      </c>
      <c r="O78" s="35">
        <v>1.7771173848439799E-2</v>
      </c>
      <c r="P78" s="35">
        <v>1.3431441252044001E-2</v>
      </c>
      <c r="Q78" s="35">
        <v>1.8958165264492299E-2</v>
      </c>
      <c r="R78" s="35">
        <v>2.9010914437595601E-2</v>
      </c>
      <c r="S78" s="35">
        <v>3.4787865464937402E-2</v>
      </c>
      <c r="T78" s="35">
        <v>3.6486271177439002E-2</v>
      </c>
      <c r="U78" s="35">
        <v>2.9411764705882502E-2</v>
      </c>
      <c r="V78" s="35">
        <v>2.0109507217521201E-2</v>
      </c>
      <c r="W78" s="35">
        <v>1.9810676295501001E-2</v>
      </c>
      <c r="X78" s="35">
        <v>1.2775119617225E-2</v>
      </c>
      <c r="Y78" s="35">
        <v>1.28029479850709E-2</v>
      </c>
      <c r="Z78" s="35">
        <v>1.1288366452094399E-2</v>
      </c>
      <c r="AA78" s="35">
        <v>1.2130996309963201E-2</v>
      </c>
      <c r="AB78" s="35">
        <v>7.4283370550973799E-3</v>
      </c>
      <c r="AC78" s="35">
        <v>1.19424590608883E-2</v>
      </c>
      <c r="AD78" s="35">
        <v>1.88645507375951E-2</v>
      </c>
      <c r="AE78" s="35">
        <v>1.79010179010177E-2</v>
      </c>
      <c r="AF78" s="35">
        <v>1.7025862068965399E-2</v>
      </c>
      <c r="AG78" s="35">
        <v>1.6867980504344099E-2</v>
      </c>
      <c r="AH78" s="35">
        <v>1.41291209936232E-2</v>
      </c>
      <c r="AI78" s="35">
        <v>1.66858457997698E-2</v>
      </c>
      <c r="AJ78" s="35">
        <v>1.52397121836849E-2</v>
      </c>
      <c r="AK78" s="35">
        <v>1.43340633087798E-2</v>
      </c>
      <c r="AL78" s="35">
        <v>2.3788027477919398E-2</v>
      </c>
      <c r="AM78" s="35">
        <v>2.2890226601740799E-2</v>
      </c>
      <c r="AN78" s="35">
        <v>3.3885598620586203E-2</v>
      </c>
      <c r="AO78" s="35">
        <v>1.95417301138423E-2</v>
      </c>
      <c r="AP78" s="35">
        <v>2.6030368763557701E-2</v>
      </c>
      <c r="AQ78" s="35">
        <v>2.7449485322150101E-2</v>
      </c>
      <c r="AR78" s="35">
        <v>2.8841288581548299E-2</v>
      </c>
      <c r="AS78" s="35">
        <v>2.7213114754098398E-2</v>
      </c>
      <c r="AT78" s="35">
        <v>3.25247366741142E-2</v>
      </c>
      <c r="AU78" s="35">
        <v>2.15153482333303E-2</v>
      </c>
      <c r="AV78" s="35">
        <v>1.35875321531245E-2</v>
      </c>
      <c r="AW78" s="35">
        <v>1.5793873529587499E-2</v>
      </c>
      <c r="AX78" s="35">
        <v>1.68415483643416E-2</v>
      </c>
      <c r="AY78" s="35">
        <v>1.6071222106601901E-2</v>
      </c>
      <c r="AZ78" s="35">
        <v>1.5703231679563098E-2</v>
      </c>
      <c r="BA78" s="35">
        <v>1.2715662110687901E-2</v>
      </c>
      <c r="BB78" s="35">
        <v>7.1906632003981797E-3</v>
      </c>
      <c r="BC78" s="35">
        <v>1.09561205997035E-2</v>
      </c>
      <c r="BD78" s="35">
        <v>9.6694461797539599E-3</v>
      </c>
      <c r="BE78" s="35">
        <v>7.6130524843300903E-3</v>
      </c>
      <c r="BF78" s="35">
        <v>1.44970098248611E-2</v>
      </c>
      <c r="BG78" s="35">
        <v>9.5265664885917402E-3</v>
      </c>
      <c r="BH78" s="35">
        <v>9.3323948802170893E-3</v>
      </c>
      <c r="BI78" s="35">
        <v>9.9176115085617394E-3</v>
      </c>
      <c r="BJ78" s="35">
        <v>1.1789376774160599E-2</v>
      </c>
      <c r="BK78" s="35">
        <v>9.8574461631786292E-3</v>
      </c>
      <c r="BL78" s="35">
        <v>8.2845272062870307E-3</v>
      </c>
      <c r="BM78" s="35">
        <v>9.2590294154153395E-3</v>
      </c>
      <c r="BN78" s="35">
        <v>4.1566235427221701E-3</v>
      </c>
      <c r="BO78" s="35">
        <v>4.4088470864869196E-3</v>
      </c>
      <c r="BP78" s="35">
        <v>8.6570585509790892E-3</v>
      </c>
      <c r="BQ78" s="35">
        <v>1.2716986606063499E-2</v>
      </c>
      <c r="BR78" s="35">
        <v>1.4300038197096999E-2</v>
      </c>
      <c r="BS78" s="35">
        <v>1.22155012121354E-2</v>
      </c>
      <c r="BT78" s="35">
        <v>1.1975073245593699E-2</v>
      </c>
      <c r="BU78" s="35">
        <v>5.9511500195308402E-3</v>
      </c>
      <c r="BV78" s="35">
        <v>5.1393330287803404E-3</v>
      </c>
      <c r="BW78" s="35">
        <v>9.7488921713440001E-3</v>
      </c>
      <c r="BX78" s="35">
        <v>8.4169779898277692E-3</v>
      </c>
      <c r="BY78" s="35">
        <v>1.14488484199249E-2</v>
      </c>
      <c r="BZ78" s="35">
        <v>1.31506365702434E-2</v>
      </c>
      <c r="CA78" s="35">
        <v>1.35679595792408E-2</v>
      </c>
      <c r="CB78" s="35">
        <v>9.3682853459389204E-3</v>
      </c>
      <c r="CC78" s="35">
        <v>1.2921491825613101E-2</v>
      </c>
      <c r="CD78" s="35">
        <v>1.4143706786037E-2</v>
      </c>
      <c r="CE78" s="35">
        <v>1.0319960212201501E-2</v>
      </c>
      <c r="CF78" s="35">
        <v>1.35988841941175E-2</v>
      </c>
      <c r="CG78" s="35">
        <v>1.5743570026509199E-2</v>
      </c>
      <c r="CH78" s="35">
        <v>4.20360593684621E-3</v>
      </c>
      <c r="CI78" s="35">
        <v>6.0508669602825603E-3</v>
      </c>
      <c r="CJ78" s="35">
        <v>8.2427875608841496E-3</v>
      </c>
      <c r="CK78" s="35">
        <v>8.7230338946586699E-3</v>
      </c>
      <c r="CL78" s="35">
        <v>7.1352399418322899E-3</v>
      </c>
      <c r="CM78" s="35">
        <v>1.1936160791637101E-2</v>
      </c>
      <c r="CN78" s="35">
        <v>7.3816182485779702E-3</v>
      </c>
      <c r="CO78" s="35">
        <v>6.8176238409094498E-3</v>
      </c>
      <c r="CP78" s="35">
        <v>5.8148259303723001E-3</v>
      </c>
      <c r="CQ78" s="35">
        <v>5.8931035768901002E-3</v>
      </c>
      <c r="CR78" s="35">
        <v>2.8551299640327001E-3</v>
      </c>
      <c r="CS78" s="35">
        <v>5.0469570361606503E-3</v>
      </c>
      <c r="CT78" s="35">
        <v>8.1670192219258607E-3</v>
      </c>
      <c r="CU78" s="35">
        <v>5.5647795070152802E-3</v>
      </c>
      <c r="CV78" s="35">
        <v>8.7455093079797895E-3</v>
      </c>
      <c r="CW78" s="35">
        <v>8.4898194114684192E-3</v>
      </c>
      <c r="CX78" s="35">
        <v>5.5825069558392802E-3</v>
      </c>
      <c r="CY78" s="35">
        <v>7.5912098047215002E-3</v>
      </c>
      <c r="CZ78" s="35">
        <v>4.1190656410077199E-3</v>
      </c>
      <c r="DA78" s="35">
        <v>3.82167838297431E-3</v>
      </c>
      <c r="DB78" s="35">
        <v>9.98934702502563E-3</v>
      </c>
      <c r="DC78" s="35">
        <v>1.3660021095223099E-3</v>
      </c>
      <c r="DD78" s="35">
        <v>6.3199336924990596E-3</v>
      </c>
      <c r="DE78" s="35">
        <v>7.1725179312949203E-3</v>
      </c>
      <c r="DF78" s="35">
        <v>6.62736813411491E-3</v>
      </c>
      <c r="DG78" s="35">
        <v>3.2326309554033799E-3</v>
      </c>
      <c r="DH78" s="35">
        <v>4.3525204129832903E-3</v>
      </c>
      <c r="DI78" s="35">
        <v>7.8274599388585796E-3</v>
      </c>
      <c r="DJ78" s="35">
        <v>1.34999999999996E-3</v>
      </c>
      <c r="DK78" s="35">
        <v>4.4273564021903898E-3</v>
      </c>
      <c r="DL78" s="35">
        <v>7.4900160737070296E-3</v>
      </c>
      <c r="DM78" s="35">
        <v>8.3554005822463803E-3</v>
      </c>
      <c r="DN78" s="35">
        <v>7.6826463535974998E-3</v>
      </c>
      <c r="DO78" s="35">
        <v>1.35323254232897E-2</v>
      </c>
      <c r="DP78" s="35">
        <v>1.20100935892931E-2</v>
      </c>
      <c r="DQ78" s="35">
        <v>1.14888110343085E-2</v>
      </c>
      <c r="DR78" s="35">
        <v>1.2778107155116099E-2</v>
      </c>
      <c r="DS78" s="35">
        <v>1.0614206707439299E-2</v>
      </c>
      <c r="DT78" s="35">
        <v>1.07313801408493E-2</v>
      </c>
      <c r="DU78" s="35">
        <v>1.2487557687087101E-2</v>
      </c>
      <c r="DV78" s="35">
        <v>1.19462567402508E-2</v>
      </c>
      <c r="DW78" s="35">
        <v>3.9154498351388102E-3</v>
      </c>
      <c r="DX78" s="35">
        <v>2.6245564646199E-3</v>
      </c>
      <c r="DY78" s="35">
        <v>1.9449847179771099E-3</v>
      </c>
      <c r="DZ78" s="35">
        <v>6.0863473158769797E-3</v>
      </c>
      <c r="EA78" s="35">
        <v>8.9945017481249893E-3</v>
      </c>
      <c r="EB78" s="35">
        <v>7.1889692455895399E-3</v>
      </c>
      <c r="EC78" s="35">
        <v>8.3510585145107896E-3</v>
      </c>
      <c r="ED78" s="35">
        <v>1.42420295599976E-2</v>
      </c>
      <c r="EE78" s="35">
        <v>7.2583121632563397E-4</v>
      </c>
      <c r="EF78" s="35">
        <v>6.7090690992272998E-3</v>
      </c>
      <c r="EG78" s="35">
        <v>7.8420505715275403E-3</v>
      </c>
      <c r="EH78" s="35">
        <v>1.2647612763090999E-2</v>
      </c>
      <c r="EI78" s="35">
        <v>1.4281641574238601E-2</v>
      </c>
      <c r="EJ78" s="35">
        <v>1.61953073762264E-2</v>
      </c>
      <c r="EK78" s="35">
        <v>1.7227980980730299E-2</v>
      </c>
      <c r="EL78" s="35">
        <v>8.9860289262084798E-3</v>
      </c>
      <c r="EM78" s="35">
        <v>1.2794353545075399E-2</v>
      </c>
      <c r="EN78" s="35">
        <v>1.5977800866678701E-2</v>
      </c>
      <c r="EO78" s="35">
        <v>1.6337627676689299E-2</v>
      </c>
      <c r="EP78" s="35">
        <v>7.11717570834303E-3</v>
      </c>
      <c r="EQ78" s="35">
        <v>1.53521864681443E-2</v>
      </c>
      <c r="ER78" s="35">
        <v>1.00320401281604E-2</v>
      </c>
      <c r="ES78" s="35">
        <v>1.0573964286138699E-2</v>
      </c>
      <c r="ET78" s="35">
        <v>1.9092629821653401E-2</v>
      </c>
      <c r="EU78" s="35">
        <v>1.0774892424120001E-2</v>
      </c>
      <c r="EV78" s="35">
        <v>1.08768846228471E-2</v>
      </c>
      <c r="EW78" s="35">
        <v>1.45082985209439E-2</v>
      </c>
      <c r="EX78" s="35">
        <v>1.6025819375660801E-2</v>
      </c>
      <c r="EY78" s="35">
        <v>1.39219015280136E-2</v>
      </c>
      <c r="EZ78" s="35">
        <v>1.34174534926432E-2</v>
      </c>
      <c r="FA78" s="35">
        <v>-1.18966399454206E-2</v>
      </c>
      <c r="FB78" s="35">
        <v>-1.2956889483450499E-2</v>
      </c>
      <c r="FC78" s="35">
        <v>2.1969374036789899E-3</v>
      </c>
      <c r="FD78" s="35">
        <v>5.1149500501681501E-3</v>
      </c>
      <c r="FE78" s="35">
        <v>7.3458404314188401E-3</v>
      </c>
      <c r="FF78" s="35">
        <v>9.9097352377259806E-3</v>
      </c>
      <c r="FG78" s="35">
        <v>6.6660978263188798E-3</v>
      </c>
      <c r="FH78" s="35">
        <v>5.2339934098302203E-3</v>
      </c>
      <c r="FI78" s="35">
        <v>8.4425097758149496E-3</v>
      </c>
      <c r="FJ78" s="35">
        <v>1.01590752315057E-2</v>
      </c>
      <c r="FK78" s="35">
        <v>1.2043455768235799E-2</v>
      </c>
      <c r="FL78" s="35">
        <v>5.1628601222730702E-3</v>
      </c>
      <c r="FM78" s="35">
        <v>-1.1696620185316399E-3</v>
      </c>
      <c r="FN78" s="35">
        <v>1.2188912875239301E-2</v>
      </c>
      <c r="FO78" s="35">
        <v>1.00602609631739E-5</v>
      </c>
      <c r="FP78" s="35">
        <v>5.91537393613795E-3</v>
      </c>
      <c r="FQ78" s="35">
        <v>1.21812181218122E-2</v>
      </c>
      <c r="FR78" s="35">
        <v>1.1491186467472899E-2</v>
      </c>
      <c r="FS78" s="35">
        <v>5.2846997684892196E-3</v>
      </c>
      <c r="FT78" s="35">
        <v>7.9193874378109506E-3</v>
      </c>
      <c r="FU78" s="35">
        <v>5.6976486353601504E-3</v>
      </c>
      <c r="FV78" s="35">
        <v>7.9276826626277792E-3</v>
      </c>
      <c r="FW78" s="35">
        <v>3.3953112368634302E-3</v>
      </c>
      <c r="FX78" s="35">
        <v>5.5733540596387696E-3</v>
      </c>
      <c r="FY78" s="35">
        <v>-3.3933452728818198E-4</v>
      </c>
      <c r="FZ78" s="35">
        <v>-8.2788013653421998E-3</v>
      </c>
      <c r="GA78" s="35">
        <v>6.5319084201718204E-3</v>
      </c>
      <c r="GB78" s="35">
        <v>1.0012941254262701E-3</v>
      </c>
      <c r="GC78" s="35">
        <v>-3.3405996093196499E-3</v>
      </c>
      <c r="GD78" s="35">
        <v>-7.43265634616297E-3</v>
      </c>
      <c r="GE78" s="35">
        <v>7.6981780024802902E-3</v>
      </c>
      <c r="GF78" s="35">
        <v>3.2943002925112101E-3</v>
      </c>
      <c r="GG78" s="35">
        <v>4.8969193753833897E-3</v>
      </c>
      <c r="GH78" s="35">
        <v>9.1921430181025592E-3</v>
      </c>
      <c r="GI78" s="35">
        <v>2.8097466576109099E-3</v>
      </c>
      <c r="GJ78" s="35">
        <v>9.0179524052513803E-3</v>
      </c>
      <c r="GK78" s="35">
        <v>1.24589681583713E-2</v>
      </c>
      <c r="GL78" s="35">
        <v>1.2187590816623101E-2</v>
      </c>
      <c r="GM78" s="35">
        <v>1.09013584079531E-2</v>
      </c>
      <c r="GN78" s="35">
        <v>9.1684491741295098E-3</v>
      </c>
      <c r="GO78" s="35">
        <v>5.14502823169338E-3</v>
      </c>
      <c r="GP78" s="35">
        <v>-2.7387191894091599E-3</v>
      </c>
      <c r="GQ78" s="35">
        <v>7.3964237457664296E-3</v>
      </c>
      <c r="GR78" s="35">
        <v>2.6215630089621001E-3</v>
      </c>
      <c r="GS78" s="35">
        <v>3.70923747806606E-3</v>
      </c>
      <c r="GT78" s="35">
        <v>1.06192392574322E-2</v>
      </c>
      <c r="GU78" s="35">
        <v>-5.7376768403394297E-4</v>
      </c>
      <c r="GV78" s="35">
        <v>8.8513774045671009E-3</v>
      </c>
      <c r="GW78" s="35">
        <v>1.11943467699469E-2</v>
      </c>
      <c r="GX78" s="35">
        <v>2.1242104555839299E-2</v>
      </c>
      <c r="GY78" s="35">
        <v>2.05781963235598E-2</v>
      </c>
      <c r="GZ78" s="35">
        <v>1.6988080943209E-2</v>
      </c>
      <c r="HA78" s="35">
        <v>2.18867625500219E-2</v>
      </c>
      <c r="HB78" s="35">
        <v>2.5411571298960201E-2</v>
      </c>
      <c r="HC78">
        <v>3.5512803061239898E-2</v>
      </c>
      <c r="HD78">
        <v>7.1861535090920201E-3</v>
      </c>
      <c r="HE78">
        <v>9.5566802500108797E-3</v>
      </c>
      <c r="HF78">
        <v>1.43645139048476E-3</v>
      </c>
    </row>
    <row r="79" spans="1:214" x14ac:dyDescent="0.35">
      <c r="A79" s="35" t="s">
        <v>2200</v>
      </c>
      <c r="B79" s="35">
        <v>1.9913023575188999E-2</v>
      </c>
      <c r="C79" s="35">
        <v>1.9913023575188999E-2</v>
      </c>
      <c r="D79" s="35">
        <v>1.7654099341711402E-2</v>
      </c>
      <c r="E79" s="35">
        <v>1.6833284328138898E-2</v>
      </c>
      <c r="F79" s="35">
        <v>2.4651196414371399E-2</v>
      </c>
      <c r="G79" s="35">
        <v>1.8696204317764999E-2</v>
      </c>
      <c r="H79" s="35">
        <v>1.5097998476348899E-2</v>
      </c>
      <c r="I79" s="35">
        <v>9.0741625162038507E-3</v>
      </c>
      <c r="J79" s="35">
        <v>2.5152129817444399E-2</v>
      </c>
      <c r="K79" s="35">
        <v>1.3124917557050499E-2</v>
      </c>
      <c r="L79" s="35">
        <v>1.5558882885228701E-2</v>
      </c>
      <c r="M79" s="35">
        <v>1.2435897435897601E-2</v>
      </c>
      <c r="N79" s="35">
        <v>1.9754337090034199E-2</v>
      </c>
      <c r="O79" s="35">
        <v>1.68881162299763E-2</v>
      </c>
      <c r="P79" s="35">
        <v>1.1600928074246E-2</v>
      </c>
      <c r="Q79" s="35">
        <v>1.6779333655238898E-2</v>
      </c>
      <c r="R79" s="35">
        <v>2.42787605366259E-2</v>
      </c>
      <c r="S79" s="35">
        <v>2.68907563025211E-2</v>
      </c>
      <c r="T79" s="35">
        <v>2.8726226084993398E-2</v>
      </c>
      <c r="U79" s="35">
        <v>2.6113671274961399E-2</v>
      </c>
      <c r="V79" s="35">
        <v>1.99957228400343E-2</v>
      </c>
      <c r="W79" s="35">
        <v>2.4111542090365898E-2</v>
      </c>
      <c r="X79" s="35">
        <v>1.5354693417954699E-2</v>
      </c>
      <c r="Y79" s="35">
        <v>1.45680008065328E-2</v>
      </c>
      <c r="Z79" s="35">
        <v>1.30173398916877E-2</v>
      </c>
      <c r="AA79" s="35">
        <v>1.3046250429153101E-2</v>
      </c>
      <c r="AB79" s="35">
        <v>8.7630113773904394E-3</v>
      </c>
      <c r="AC79" s="35">
        <v>1.31983106162412E-2</v>
      </c>
      <c r="AD79" s="35">
        <v>2.0321159585050302E-2</v>
      </c>
      <c r="AE79" s="35">
        <v>1.9870009285051001E-2</v>
      </c>
      <c r="AF79" s="35">
        <v>1.7889657683903801E-2</v>
      </c>
      <c r="AG79" s="35">
        <v>1.83354948347569E-2</v>
      </c>
      <c r="AH79" s="35">
        <v>1.4536032673137E-2</v>
      </c>
      <c r="AI79" s="35">
        <v>1.6015929356765699E-2</v>
      </c>
      <c r="AJ79" s="35">
        <v>1.4314928425357899E-2</v>
      </c>
      <c r="AK79" s="35">
        <v>1.33988575268817E-2</v>
      </c>
      <c r="AL79" s="35">
        <v>2.4536825962614601E-2</v>
      </c>
      <c r="AM79" s="35">
        <v>2.18455439135887E-2</v>
      </c>
      <c r="AN79" s="35">
        <v>3.5116196207292602E-2</v>
      </c>
      <c r="AO79" s="35">
        <v>1.7211045666641198E-2</v>
      </c>
      <c r="AP79" s="35">
        <v>2.5718153105730199E-2</v>
      </c>
      <c r="AQ79" s="35">
        <v>2.7126099706744799E-2</v>
      </c>
      <c r="AR79" s="35">
        <v>2.7801570306923699E-2</v>
      </c>
      <c r="AS79" s="35">
        <v>2.65981457689504E-2</v>
      </c>
      <c r="AT79" s="35">
        <v>3.3519364112971399E-2</v>
      </c>
      <c r="AU79" s="35">
        <v>2.0912423092027701E-2</v>
      </c>
      <c r="AV79" s="35">
        <v>1.1957044398140699E-2</v>
      </c>
      <c r="AW79" s="35">
        <v>1.53319817536746E-2</v>
      </c>
      <c r="AX79" s="35">
        <v>1.7534007238237701E-2</v>
      </c>
      <c r="AY79" s="35">
        <v>1.5944073097442901E-2</v>
      </c>
      <c r="AZ79" s="35">
        <v>1.65992635963059E-2</v>
      </c>
      <c r="BA79" s="35">
        <v>1.5021968887305399E-2</v>
      </c>
      <c r="BB79" s="35">
        <v>8.5697572389587008E-3</v>
      </c>
      <c r="BC79" s="35">
        <v>1.36589043876694E-2</v>
      </c>
      <c r="BD79" s="35">
        <v>1.17010928649082E-2</v>
      </c>
      <c r="BE79" s="35">
        <v>9.3600656052936805E-3</v>
      </c>
      <c r="BF79" s="35">
        <v>1.7537961562167099E-2</v>
      </c>
      <c r="BG79" s="35">
        <v>1.09030837004405E-2</v>
      </c>
      <c r="BH79" s="35">
        <v>1.07310164505936E-2</v>
      </c>
      <c r="BI79" s="35">
        <v>1.1802748585286999E-2</v>
      </c>
      <c r="BJ79" s="35">
        <v>1.3209758176201E-2</v>
      </c>
      <c r="BK79" s="35">
        <v>1.1434128903375E-2</v>
      </c>
      <c r="BL79" s="35">
        <v>9.2777878843004497E-3</v>
      </c>
      <c r="BM79" s="35">
        <v>1.0067978164589601E-2</v>
      </c>
      <c r="BN79" s="35">
        <v>3.6709409335409201E-3</v>
      </c>
      <c r="BO79" s="35">
        <v>2.9971298671609401E-3</v>
      </c>
      <c r="BP79" s="35">
        <v>8.5593456405581598E-3</v>
      </c>
      <c r="BQ79" s="35">
        <v>1.3182012202777E-2</v>
      </c>
      <c r="BR79" s="35">
        <v>1.61825931800159E-2</v>
      </c>
      <c r="BS79" s="35">
        <v>1.3169125716376E-2</v>
      </c>
      <c r="BT79" s="35">
        <v>1.2685040317727899E-2</v>
      </c>
      <c r="BU79" s="35">
        <v>6.1085757748620103E-3</v>
      </c>
      <c r="BV79" s="35">
        <v>4.4413995133361101E-3</v>
      </c>
      <c r="BW79" s="35">
        <v>1.0772161723545901E-2</v>
      </c>
      <c r="BX79" s="35">
        <v>8.8888888888889496E-3</v>
      </c>
      <c r="BY79" s="35">
        <v>1.29621514403671E-2</v>
      </c>
      <c r="BZ79" s="35">
        <v>1.5164279696714401E-2</v>
      </c>
      <c r="CA79" s="35">
        <v>1.48704721318829E-2</v>
      </c>
      <c r="CB79" s="35">
        <v>9.8346888260254506E-3</v>
      </c>
      <c r="CC79" s="35">
        <v>1.46849626857506E-2</v>
      </c>
      <c r="CD79" s="35">
        <v>1.5852816840652199E-2</v>
      </c>
      <c r="CE79" s="35">
        <v>1.0679632263954599E-2</v>
      </c>
      <c r="CF79" s="35">
        <v>1.4537204319146299E-2</v>
      </c>
      <c r="CG79" s="35">
        <v>1.8925746469540702E-2</v>
      </c>
      <c r="CH79" s="35">
        <v>4.7553243375060301E-3</v>
      </c>
      <c r="CI79" s="35">
        <v>6.2699728975366097E-3</v>
      </c>
      <c r="CJ79" s="35">
        <v>9.5473548802056402E-3</v>
      </c>
      <c r="CK79" s="35">
        <v>1.13683875206563E-2</v>
      </c>
      <c r="CL79" s="35">
        <v>9.4491909130280903E-3</v>
      </c>
      <c r="CM79" s="35">
        <v>1.35925738133313E-2</v>
      </c>
      <c r="CN79" s="35">
        <v>8.5618085618086592E-3</v>
      </c>
      <c r="CO79" s="35">
        <v>7.3063716138877001E-3</v>
      </c>
      <c r="CP79" s="35">
        <v>5.4731738726967504E-3</v>
      </c>
      <c r="CQ79" s="35">
        <v>5.91426203571155E-3</v>
      </c>
      <c r="CR79" s="35">
        <v>3.2580608920345102E-3</v>
      </c>
      <c r="CS79" s="35">
        <v>5.1138484509145599E-3</v>
      </c>
      <c r="CT79" s="35">
        <v>8.3744940023024999E-3</v>
      </c>
      <c r="CU79" s="35">
        <v>5.8189853604639899E-3</v>
      </c>
      <c r="CV79" s="35">
        <v>8.7329049266764401E-3</v>
      </c>
      <c r="CW79" s="35">
        <v>8.5484046607862095E-3</v>
      </c>
      <c r="CX79" s="35">
        <v>4.6068851337977001E-3</v>
      </c>
      <c r="CY79" s="35">
        <v>7.6847290640393896E-3</v>
      </c>
      <c r="CZ79" s="35">
        <v>3.8041739254097702E-3</v>
      </c>
      <c r="DA79" s="35">
        <v>3.4001558404759299E-3</v>
      </c>
      <c r="DB79" s="35">
        <v>1.1013060360042499E-2</v>
      </c>
      <c r="DC79" s="35">
        <v>1.4314642832204999E-3</v>
      </c>
      <c r="DD79" s="35">
        <v>6.62413276156615E-3</v>
      </c>
      <c r="DE79" s="35">
        <v>8.1044574515982699E-3</v>
      </c>
      <c r="DF79" s="35">
        <v>6.8540213694301402E-3</v>
      </c>
      <c r="DG79" s="35">
        <v>2.3885486154948698E-3</v>
      </c>
      <c r="DH79" s="35">
        <v>4.7827344986639498E-3</v>
      </c>
      <c r="DI79" s="35">
        <v>8.1647863942813093E-3</v>
      </c>
      <c r="DJ79" s="35">
        <v>1.57940721822714E-3</v>
      </c>
      <c r="DK79" s="35">
        <v>5.3178996812615099E-3</v>
      </c>
      <c r="DL79" s="35">
        <v>7.8095015602317498E-3</v>
      </c>
      <c r="DM79" s="35">
        <v>9.0073681596158899E-3</v>
      </c>
      <c r="DN79" s="35">
        <v>8.5495331396971998E-3</v>
      </c>
      <c r="DO79" s="35">
        <v>1.5001627074519901E-2</v>
      </c>
      <c r="DP79" s="35">
        <v>1.3850149081466E-2</v>
      </c>
      <c r="DQ79" s="35">
        <v>1.2206305537109099E-2</v>
      </c>
      <c r="DR79" s="35">
        <v>1.3964822393701899E-2</v>
      </c>
      <c r="DS79" s="35">
        <v>1.0444910032043399E-2</v>
      </c>
      <c r="DT79" s="35">
        <v>1.1724348223814501E-2</v>
      </c>
      <c r="DU79" s="35">
        <v>1.40749559215783E-2</v>
      </c>
      <c r="DV79" s="35">
        <v>1.33446272272004E-2</v>
      </c>
      <c r="DW79" s="35">
        <v>4.2380959364138899E-3</v>
      </c>
      <c r="DX79" s="35">
        <v>2.5116822429906999E-3</v>
      </c>
      <c r="DY79" s="35">
        <v>1.1215987880905901E-3</v>
      </c>
      <c r="DZ79" s="35">
        <v>6.4892548996784401E-3</v>
      </c>
      <c r="EA79" s="35">
        <v>9.8445970365015293E-3</v>
      </c>
      <c r="EB79" s="35">
        <v>8.1882730187814393E-3</v>
      </c>
      <c r="EC79" s="35">
        <v>9.9534276140171903E-3</v>
      </c>
      <c r="ED79" s="35">
        <v>1.5675744070632099E-2</v>
      </c>
      <c r="EE79" s="35">
        <v>6.5057305797022703E-4</v>
      </c>
      <c r="EF79" s="35">
        <v>8.0369617241426994E-3</v>
      </c>
      <c r="EG79" s="35">
        <v>9.0569766165331505E-3</v>
      </c>
      <c r="EH79" s="35">
        <v>1.41163031061307E-2</v>
      </c>
      <c r="EI79" s="35">
        <v>1.3289526619284101E-2</v>
      </c>
      <c r="EJ79" s="35">
        <v>1.3644605021108799E-2</v>
      </c>
      <c r="EK79" s="35">
        <v>1.5641320242323099E-2</v>
      </c>
      <c r="EL79" s="35">
        <v>9.1014269186271406E-3</v>
      </c>
      <c r="EM79" s="35">
        <v>1.14015643710668E-2</v>
      </c>
      <c r="EN79" s="35">
        <v>1.45100953484565E-2</v>
      </c>
      <c r="EO79" s="35">
        <v>1.68973865541002E-2</v>
      </c>
      <c r="EP79" s="35">
        <v>7.3498888970282604E-3</v>
      </c>
      <c r="EQ79" s="35">
        <v>1.37441217821301E-2</v>
      </c>
      <c r="ER79" s="35">
        <v>9.0863441811530592E-3</v>
      </c>
      <c r="ES79" s="35">
        <v>7.4998222790929603E-3</v>
      </c>
      <c r="ET79" s="35">
        <v>1.7604515787616799E-2</v>
      </c>
      <c r="EU79" s="35">
        <v>1.0828364073406401E-2</v>
      </c>
      <c r="EV79" s="35">
        <v>1.11811041626177E-2</v>
      </c>
      <c r="EW79" s="35">
        <v>1.51616222144335E-2</v>
      </c>
      <c r="EX79" s="35">
        <v>1.7608143627210901E-2</v>
      </c>
      <c r="EY79" s="35">
        <v>1.5453819129026301E-2</v>
      </c>
      <c r="EZ79" s="35">
        <v>1.35264763259719E-2</v>
      </c>
      <c r="FA79" s="35">
        <v>-1.9077799991492599E-2</v>
      </c>
      <c r="FB79" s="35">
        <v>-1.7573339693415201E-2</v>
      </c>
      <c r="FC79" s="35">
        <v>4.9215965394333603E-3</v>
      </c>
      <c r="FD79" s="35">
        <v>8.5870842346844594E-3</v>
      </c>
      <c r="FE79" s="35">
        <v>9.2760944593843798E-3</v>
      </c>
      <c r="FF79" s="35">
        <v>1.15424860573241E-2</v>
      </c>
      <c r="FG79" s="35">
        <v>7.18772328331774E-3</v>
      </c>
      <c r="FH79" s="35">
        <v>5.7176134258034601E-3</v>
      </c>
      <c r="FI79" s="35">
        <v>9.3383165763014607E-3</v>
      </c>
      <c r="FJ79" s="35">
        <v>1.10981308411215E-2</v>
      </c>
      <c r="FK79" s="35">
        <v>1.24721465709332E-2</v>
      </c>
      <c r="FL79" s="35">
        <v>3.7903102552345699E-3</v>
      </c>
      <c r="FM79" s="35">
        <v>-3.54253580600294E-3</v>
      </c>
      <c r="FN79" s="35">
        <v>1.32629777524242E-2</v>
      </c>
      <c r="FO79" s="35">
        <v>-1.7492711370261599E-3</v>
      </c>
      <c r="FP79" s="35">
        <v>6.0526103770543998E-3</v>
      </c>
      <c r="FQ79" s="35">
        <v>1.4414847292711501E-2</v>
      </c>
      <c r="FR79" s="35">
        <v>1.3085052843482501E-2</v>
      </c>
      <c r="FS79" s="35">
        <v>5.3281123676494103E-3</v>
      </c>
      <c r="FT79" s="35">
        <v>8.4487937215385108E-3</v>
      </c>
      <c r="FU79" s="35">
        <v>5.3227263119464104E-3</v>
      </c>
      <c r="FV79" s="35">
        <v>8.4005504797584098E-3</v>
      </c>
      <c r="FW79" s="35">
        <v>3.1559493910817702E-3</v>
      </c>
      <c r="FX79" s="35">
        <v>5.7251908396946903E-3</v>
      </c>
      <c r="FY79" s="35">
        <v>-7.7967948597512703E-4</v>
      </c>
      <c r="FZ79" s="35">
        <v>-9.9745231313045392E-3</v>
      </c>
      <c r="GA79" s="35">
        <v>6.9983857183553199E-3</v>
      </c>
      <c r="GB79" s="35">
        <v>6.0350599262592997E-4</v>
      </c>
      <c r="GC79" s="35">
        <v>-3.9392711405981098E-3</v>
      </c>
      <c r="GD79" s="35">
        <v>-8.5246894307096106E-3</v>
      </c>
      <c r="GE79" s="35">
        <v>7.6055424078174099E-3</v>
      </c>
      <c r="GF79" s="35">
        <v>3.8450975006867299E-3</v>
      </c>
      <c r="GG79" s="35">
        <v>4.9153261946317502E-3</v>
      </c>
      <c r="GH79" s="35">
        <v>9.7356265725336791E-3</v>
      </c>
      <c r="GI79" s="35">
        <v>2.2500534620140101E-3</v>
      </c>
      <c r="GJ79" s="35">
        <v>9.0356695579571992E-3</v>
      </c>
      <c r="GK79" s="35">
        <v>1.39653761641643E-2</v>
      </c>
      <c r="GL79" s="35">
        <v>1.28300449731613E-2</v>
      </c>
      <c r="GM79" s="35">
        <v>1.0196682273528899E-2</v>
      </c>
      <c r="GN79" s="35">
        <v>9.5709044504705999E-3</v>
      </c>
      <c r="GO79" s="35">
        <v>3.9851828444024103E-3</v>
      </c>
      <c r="GP79" s="35">
        <v>-4.2141708050640299E-3</v>
      </c>
      <c r="GQ79" s="35">
        <v>6.3919082655803398E-3</v>
      </c>
      <c r="GR79" s="35">
        <v>2.14618485107576E-3</v>
      </c>
      <c r="GS79" s="35">
        <v>4.2222376989240499E-3</v>
      </c>
      <c r="GT79" s="35">
        <v>1.2431406205300401E-2</v>
      </c>
      <c r="GU79" s="35">
        <v>-2.6544050279575499E-4</v>
      </c>
      <c r="GV79" s="35">
        <v>8.5391757168795691E-3</v>
      </c>
      <c r="GW79" s="35">
        <v>1.2645113075675301E-2</v>
      </c>
      <c r="GX79" s="35">
        <v>2.2441757099008801E-2</v>
      </c>
      <c r="GY79" s="35">
        <v>1.95623287783591E-2</v>
      </c>
      <c r="GZ79" s="35">
        <v>1.5792056507083499E-2</v>
      </c>
      <c r="HA79" s="35">
        <v>2.04013748752634E-2</v>
      </c>
      <c r="HB79" s="35">
        <v>2.43942192763229E-2</v>
      </c>
      <c r="HC79">
        <v>3.6057127703905699E-2</v>
      </c>
      <c r="HD79">
        <v>4.0806177967589504E-3</v>
      </c>
      <c r="HE79">
        <v>8.9000888552244195E-3</v>
      </c>
      <c r="HF79">
        <v>-5.8473621899446404E-4</v>
      </c>
    </row>
    <row r="80" spans="1:214" x14ac:dyDescent="0.35">
      <c r="A80" s="35" t="s">
        <v>2201</v>
      </c>
      <c r="B80" s="35">
        <v>2.51411589895989E-2</v>
      </c>
      <c r="C80" s="35">
        <v>2.51411589895989E-2</v>
      </c>
      <c r="D80" s="35">
        <v>1.9364564007421099E-2</v>
      </c>
      <c r="E80" s="35">
        <v>2.5366852462745899E-2</v>
      </c>
      <c r="F80" s="35">
        <v>1.6862658087419598E-2</v>
      </c>
      <c r="G80" s="35">
        <v>1.59829805804057E-2</v>
      </c>
      <c r="H80" s="35">
        <v>1.0899328859060401E-2</v>
      </c>
      <c r="I80" s="35">
        <v>1.7261525387720401E-2</v>
      </c>
      <c r="J80" s="35">
        <v>1.27917297551299E-2</v>
      </c>
      <c r="K80" s="35">
        <v>7.0110320651612899E-3</v>
      </c>
      <c r="L80" s="35">
        <v>1.38732466468721E-2</v>
      </c>
      <c r="M80" s="35">
        <v>1.8682150971976799E-2</v>
      </c>
      <c r="N80" s="35">
        <v>1.9281288723668001E-2</v>
      </c>
      <c r="O80" s="35">
        <v>2.1056214744213299E-2</v>
      </c>
      <c r="P80" s="35">
        <v>2.03838643615755E-2</v>
      </c>
      <c r="Q80" s="35">
        <v>2.68378063010501E-2</v>
      </c>
      <c r="R80" s="35">
        <v>4.6363636363636399E-2</v>
      </c>
      <c r="S80" s="35">
        <v>6.2858384013900995E-2</v>
      </c>
      <c r="T80" s="35">
        <v>6.3922834838762405E-2</v>
      </c>
      <c r="U80" s="35">
        <v>4.15658253620683E-2</v>
      </c>
      <c r="V80" s="35">
        <v>2.1244421495223698E-2</v>
      </c>
      <c r="W80" s="35">
        <v>4.9478132110223304E-3</v>
      </c>
      <c r="X80" s="35">
        <v>3.16250988284339E-3</v>
      </c>
      <c r="Y80" s="35">
        <v>6.0901339829475499E-3</v>
      </c>
      <c r="Z80" s="35">
        <v>4.91382993875522E-3</v>
      </c>
      <c r="AA80" s="35">
        <v>8.5748706682728902E-3</v>
      </c>
      <c r="AB80" s="35">
        <v>2.17818999437891E-3</v>
      </c>
      <c r="AC80" s="35">
        <v>6.8008132931360902E-3</v>
      </c>
      <c r="AD80" s="35">
        <v>1.2952646239554401E-2</v>
      </c>
      <c r="AE80" s="35">
        <v>9.8652550529356696E-3</v>
      </c>
      <c r="AF80" s="35">
        <v>1.3444977705163501E-2</v>
      </c>
      <c r="AG80" s="35">
        <v>1.0680459461274799E-2</v>
      </c>
      <c r="AH80" s="35">
        <v>1.23953210155523E-2</v>
      </c>
      <c r="AI80" s="35">
        <v>1.9661907106515601E-2</v>
      </c>
      <c r="AJ80" s="35">
        <v>1.9121813031161401E-2</v>
      </c>
      <c r="AK80" s="35">
        <v>1.78785772948384E-2</v>
      </c>
      <c r="AL80" s="35">
        <v>2.0636792452830299E-2</v>
      </c>
      <c r="AM80" s="35">
        <v>2.7151935297515601E-2</v>
      </c>
      <c r="AN80" s="35">
        <v>2.9187141081049101E-2</v>
      </c>
      <c r="AO80" s="35">
        <v>2.83594109526E-2</v>
      </c>
      <c r="AP80" s="35">
        <v>2.7325613917324101E-2</v>
      </c>
      <c r="AQ80" s="35">
        <v>2.8695107674715899E-2</v>
      </c>
      <c r="AR80" s="35">
        <v>3.2870186581977198E-2</v>
      </c>
      <c r="AS80" s="35">
        <v>2.9594895841340601E-2</v>
      </c>
      <c r="AT80" s="35">
        <v>2.8321138818376401E-2</v>
      </c>
      <c r="AU80" s="35">
        <v>2.39109390125847E-2</v>
      </c>
      <c r="AV80" s="35">
        <v>2.0492578235794499E-2</v>
      </c>
      <c r="AW80" s="35">
        <v>1.7811233352634799E-2</v>
      </c>
      <c r="AX80" s="35">
        <v>1.40178408884035E-2</v>
      </c>
      <c r="AY80" s="35">
        <v>1.6719030520646199E-2</v>
      </c>
      <c r="AZ80" s="35">
        <v>1.1808851120185501E-2</v>
      </c>
      <c r="BA80" s="35">
        <v>2.5305410122164998E-3</v>
      </c>
      <c r="BB80" s="35">
        <v>9.3567760466539696E-4</v>
      </c>
      <c r="BC80" s="35">
        <v>-1.3478553881607299E-3</v>
      </c>
      <c r="BD80" s="35">
        <v>5.6599255502098899E-4</v>
      </c>
      <c r="BE80" s="35">
        <v>-2.82836194330227E-4</v>
      </c>
      <c r="BF80" s="35">
        <v>1.0881392818280499E-3</v>
      </c>
      <c r="BG80" s="35">
        <v>3.5434782608694299E-3</v>
      </c>
      <c r="BH80" s="35">
        <v>3.22769317418703E-3</v>
      </c>
      <c r="BI80" s="35">
        <v>2.0297115218517198E-3</v>
      </c>
      <c r="BJ80" s="35">
        <v>5.5596259104426799E-3</v>
      </c>
      <c r="BK80" s="35">
        <v>3.0858906223212301E-3</v>
      </c>
      <c r="BL80" s="35">
        <v>4.1018629294138397E-3</v>
      </c>
      <c r="BM80" s="35">
        <v>5.9574468085106204E-3</v>
      </c>
      <c r="BN80" s="35">
        <v>6.2182741116749698E-3</v>
      </c>
      <c r="BO80" s="35">
        <v>1.02787236725943E-2</v>
      </c>
      <c r="BP80" s="35">
        <v>9.1130391361338194E-3</v>
      </c>
      <c r="BQ80" s="35">
        <v>1.08245190820808E-2</v>
      </c>
      <c r="BR80" s="35">
        <v>6.4047648186675897E-3</v>
      </c>
      <c r="BS80" s="35">
        <v>8.4110255370895004E-3</v>
      </c>
      <c r="BT80" s="35">
        <v>8.9036277761027592E-3</v>
      </c>
      <c r="BU80" s="35">
        <v>5.29901589704762E-3</v>
      </c>
      <c r="BV80" s="35">
        <v>8.0453392517438899E-3</v>
      </c>
      <c r="BW80" s="35">
        <v>5.5238844112444098E-3</v>
      </c>
      <c r="BX80" s="35">
        <v>6.45148677445206E-3</v>
      </c>
      <c r="BY80" s="35">
        <v>5.2835026514637101E-3</v>
      </c>
      <c r="BZ80" s="35">
        <v>4.8306378374200999E-3</v>
      </c>
      <c r="CA80" s="35">
        <v>8.1149164471279196E-3</v>
      </c>
      <c r="CB80" s="35">
        <v>7.4201239866476002E-3</v>
      </c>
      <c r="CC80" s="35">
        <v>5.5099026773204303E-3</v>
      </c>
      <c r="CD80" s="35">
        <v>7.1932962997835999E-3</v>
      </c>
      <c r="CE80" s="35">
        <v>8.8245741955990092E-3</v>
      </c>
      <c r="CF80" s="35">
        <v>9.7110769287791499E-3</v>
      </c>
      <c r="CG80" s="35">
        <v>2.66138061413668E-3</v>
      </c>
      <c r="CH80" s="35">
        <v>1.9770081276999601E-3</v>
      </c>
      <c r="CI80" s="35">
        <v>5.1520023384976597E-3</v>
      </c>
      <c r="CJ80" s="35">
        <v>2.6536769784435399E-3</v>
      </c>
      <c r="CK80" s="35">
        <v>-2.5016314988035599E-3</v>
      </c>
      <c r="CL80" s="35">
        <v>-2.61694471704299E-3</v>
      </c>
      <c r="CM80" s="35">
        <v>4.7374366823367299E-3</v>
      </c>
      <c r="CN80" s="35">
        <v>2.03111965470959E-3</v>
      </c>
      <c r="CO80" s="35">
        <v>4.5607557823867896E-3</v>
      </c>
      <c r="CP80" s="35">
        <v>7.4406370482469298E-3</v>
      </c>
      <c r="CQ80" s="35">
        <v>5.8298610490172802E-3</v>
      </c>
      <c r="CR80" s="35">
        <v>1.01342341541466E-3</v>
      </c>
      <c r="CS80" s="35">
        <v>4.6712372562254202E-3</v>
      </c>
      <c r="CT80" s="35">
        <v>7.3013347476356101E-3</v>
      </c>
      <c r="CU80" s="35">
        <v>4.3350064937344203E-3</v>
      </c>
      <c r="CV80" s="35">
        <v>8.7549148099605994E-3</v>
      </c>
      <c r="CW80" s="35">
        <v>8.3324671725046907E-3</v>
      </c>
      <c r="CX80" s="35">
        <v>9.9816173312487991E-3</v>
      </c>
      <c r="CY80" s="35">
        <v>7.1443151663605998E-3</v>
      </c>
      <c r="CZ80" s="35">
        <v>5.5229023104985701E-3</v>
      </c>
      <c r="DA80" s="35">
        <v>5.7613168724279804E-3</v>
      </c>
      <c r="DB80" s="35">
        <v>5.3609004976786804E-3</v>
      </c>
      <c r="DC80" s="35">
        <v>1.1129752985929999E-3</v>
      </c>
      <c r="DD80" s="35">
        <v>4.9613380678989998E-3</v>
      </c>
      <c r="DE80" s="35">
        <v>3.2361925204327201E-3</v>
      </c>
      <c r="DF80" s="35">
        <v>5.6450683826796402E-3</v>
      </c>
      <c r="DG80" s="35">
        <v>6.8244304791831301E-3</v>
      </c>
      <c r="DH80" s="35">
        <v>2.5357195104109801E-3</v>
      </c>
      <c r="DI80" s="35">
        <v>6.4367592457479396E-3</v>
      </c>
      <c r="DJ80" s="35">
        <v>3.3830589296646201E-4</v>
      </c>
      <c r="DK80" s="35">
        <v>6.2806989290598004E-4</v>
      </c>
      <c r="DL80" s="35">
        <v>6.1640969517495802E-3</v>
      </c>
      <c r="DM80" s="35">
        <v>5.6464641617479704E-3</v>
      </c>
      <c r="DN80" s="35">
        <v>4.0082710354700799E-3</v>
      </c>
      <c r="DO80" s="35">
        <v>7.4142137448116596E-3</v>
      </c>
      <c r="DP80" s="35">
        <v>4.2144991350840898E-3</v>
      </c>
      <c r="DQ80" s="35">
        <v>8.5189013122866104E-3</v>
      </c>
      <c r="DR80" s="35">
        <v>7.9190087264371396E-3</v>
      </c>
      <c r="DS80" s="35">
        <v>1.13846438254868E-2</v>
      </c>
      <c r="DT80" s="35">
        <v>6.5497859895509202E-3</v>
      </c>
      <c r="DU80" s="35">
        <v>5.8867147894250396E-3</v>
      </c>
      <c r="DV80" s="35">
        <v>6.16819617872721E-3</v>
      </c>
      <c r="DW80" s="35">
        <v>2.5717703349283898E-3</v>
      </c>
      <c r="DX80" s="35">
        <v>3.1318976316887502E-3</v>
      </c>
      <c r="DY80" s="35">
        <v>5.3670720466236803E-3</v>
      </c>
      <c r="DZ80" s="35">
        <v>4.4067846738535801E-3</v>
      </c>
      <c r="EA80" s="35">
        <v>5.4327822028532599E-3</v>
      </c>
      <c r="EB80" s="35">
        <v>3.07512080831729E-3</v>
      </c>
      <c r="EC80" s="35">
        <v>1.7226277372262E-3</v>
      </c>
      <c r="ED80" s="35">
        <v>8.2922848232243104E-3</v>
      </c>
      <c r="EE80" s="35">
        <v>1.0406579270672001E-3</v>
      </c>
      <c r="EF80" s="35">
        <v>1.2705929915244299E-3</v>
      </c>
      <c r="EG80" s="35">
        <v>2.7686850188184402E-3</v>
      </c>
      <c r="EH80" s="35">
        <v>6.5143300881520504E-3</v>
      </c>
      <c r="EI80" s="35">
        <v>1.8373528403245999E-2</v>
      </c>
      <c r="EJ80" s="35">
        <v>2.6922753163668899E-2</v>
      </c>
      <c r="EK80" s="35">
        <v>2.4017377761383699E-2</v>
      </c>
      <c r="EL80" s="35">
        <v>8.4450670402240694E-3</v>
      </c>
      <c r="EM80" s="35">
        <v>1.8812509922210102E-2</v>
      </c>
      <c r="EN80" s="35">
        <v>2.2269835086352399E-2</v>
      </c>
      <c r="EO80" s="35">
        <v>1.39472848523341E-2</v>
      </c>
      <c r="EP80" s="35">
        <v>6.2137479172670301E-3</v>
      </c>
      <c r="EQ80" s="35">
        <v>2.20371269562618E-2</v>
      </c>
      <c r="ER80" s="35">
        <v>1.39239118517707E-2</v>
      </c>
      <c r="ES80" s="35">
        <v>2.34645328719723E-2</v>
      </c>
      <c r="ET80" s="35">
        <v>2.5227446146622E-2</v>
      </c>
      <c r="EU80" s="35">
        <v>1.0454118670849799E-2</v>
      </c>
      <c r="EV80" s="35">
        <v>9.6320554806394992E-3</v>
      </c>
      <c r="EW80" s="35">
        <v>1.1762461137861099E-2</v>
      </c>
      <c r="EX80" s="35">
        <v>9.4736258250596207E-3</v>
      </c>
      <c r="EY80" s="35">
        <v>7.6923922240903497E-3</v>
      </c>
      <c r="EZ80" s="35">
        <v>1.29227145334192E-2</v>
      </c>
      <c r="FA80" s="35">
        <v>1.8323930924594199E-2</v>
      </c>
      <c r="FB80" s="35">
        <v>6.2377095976149403E-3</v>
      </c>
      <c r="FC80" s="35">
        <v>-8.7837269899974108E-3</v>
      </c>
      <c r="FD80" s="35">
        <v>-9.0099639601441996E-3</v>
      </c>
      <c r="FE80" s="35">
        <v>-7.7013584340557305E-4</v>
      </c>
      <c r="FF80" s="35">
        <v>2.8367124108843499E-3</v>
      </c>
      <c r="FG80" s="35">
        <v>4.3444381584705196E-3</v>
      </c>
      <c r="FH80" s="35">
        <v>3.1459241152087501E-3</v>
      </c>
      <c r="FI80" s="35">
        <v>4.4921916385904899E-3</v>
      </c>
      <c r="FJ80" s="35">
        <v>6.0436662799281402E-3</v>
      </c>
      <c r="FK80" s="35">
        <v>1.01066227734501E-2</v>
      </c>
      <c r="FL80" s="35">
        <v>1.13028947450362E-2</v>
      </c>
      <c r="FM80" s="35">
        <v>9.4010427357444897E-3</v>
      </c>
      <c r="FN80" s="35">
        <v>7.4934927606962196E-3</v>
      </c>
      <c r="FO80" s="35">
        <v>7.9726306653615797E-3</v>
      </c>
      <c r="FP80" s="35">
        <v>5.3865176864005297E-3</v>
      </c>
      <c r="FQ80" s="35">
        <v>1.9717776870449301E-3</v>
      </c>
      <c r="FR80" s="35">
        <v>4.05506137255873E-3</v>
      </c>
      <c r="FS80" s="35">
        <v>5.0978490046820202E-3</v>
      </c>
      <c r="FT80" s="35">
        <v>5.3871456991470001E-3</v>
      </c>
      <c r="FU80" s="35">
        <v>7.55252975461618E-3</v>
      </c>
      <c r="FV80" s="35">
        <v>5.6292292136579398E-3</v>
      </c>
      <c r="FW80" s="35">
        <v>4.5632522840430801E-3</v>
      </c>
      <c r="FX80" s="35">
        <v>4.8312433233566E-3</v>
      </c>
      <c r="FY80" s="35">
        <v>1.76230018484991E-3</v>
      </c>
      <c r="FZ80" s="35">
        <v>-2.9638694750133698E-4</v>
      </c>
      <c r="GA80" s="35">
        <v>4.3897400585299904E-3</v>
      </c>
      <c r="GB80" s="35">
        <v>2.8375277325487498E-3</v>
      </c>
      <c r="GC80" s="35">
        <v>-5.5070784948596497E-4</v>
      </c>
      <c r="GD80" s="35">
        <v>-2.4225496622680702E-3</v>
      </c>
      <c r="GE80" s="35">
        <v>8.1519151286593202E-3</v>
      </c>
      <c r="GF80" s="35">
        <v>7.5570081804610101E-4</v>
      </c>
      <c r="GG80" s="35">
        <v>4.8328330595985803E-3</v>
      </c>
      <c r="GH80" s="35">
        <v>6.7071223251358196E-3</v>
      </c>
      <c r="GI80" s="35">
        <v>5.3374141534785497E-3</v>
      </c>
      <c r="GJ80" s="35">
        <v>8.9567477260070697E-3</v>
      </c>
      <c r="GK80" s="35">
        <v>5.7495055425233997E-3</v>
      </c>
      <c r="GL80" s="35">
        <v>9.3935790725328001E-3</v>
      </c>
      <c r="GM80" s="35">
        <v>1.39909566225975E-2</v>
      </c>
      <c r="GN80" s="35">
        <v>7.3547153287281102E-3</v>
      </c>
      <c r="GO80" s="35">
        <v>1.0317235016500399E-2</v>
      </c>
      <c r="GP80" s="35">
        <v>3.9073818785286801E-3</v>
      </c>
      <c r="GQ80" s="35">
        <v>1.17989714165763E-2</v>
      </c>
      <c r="GR80" s="35">
        <v>4.7371651351562098E-3</v>
      </c>
      <c r="GS80" s="35">
        <v>1.47123351315082E-3</v>
      </c>
      <c r="GT80" s="35">
        <v>2.59450171821296E-3</v>
      </c>
      <c r="GU80" s="35">
        <v>-1.9194186903395099E-3</v>
      </c>
      <c r="GV80" s="35">
        <v>1.0182180325898601E-2</v>
      </c>
      <c r="GW80" s="35">
        <v>4.5723415828120596E-3</v>
      </c>
      <c r="GX80" s="35">
        <v>1.56680936024771E-2</v>
      </c>
      <c r="GY80" s="35">
        <v>2.51803355156845E-2</v>
      </c>
      <c r="GZ80" s="35">
        <v>2.2628110857430699E-2</v>
      </c>
      <c r="HA80" s="35">
        <v>2.9023851519918601E-2</v>
      </c>
      <c r="HB80" s="35">
        <v>3.0313091147743599E-2</v>
      </c>
      <c r="HC80">
        <v>3.2838482925038097E-2</v>
      </c>
      <c r="HD80">
        <v>2.2543407123629702E-2</v>
      </c>
      <c r="HE80">
        <v>1.2665862484921599E-2</v>
      </c>
      <c r="HF80">
        <v>1.10289738289597E-2</v>
      </c>
    </row>
    <row r="81" spans="1:214" x14ac:dyDescent="0.35">
      <c r="A81" s="35" t="s">
        <v>786</v>
      </c>
      <c r="B81" s="35">
        <v>545.1</v>
      </c>
      <c r="C81" s="35">
        <v>549</v>
      </c>
      <c r="D81" s="35">
        <v>555.70000000000005</v>
      </c>
      <c r="E81" s="35">
        <v>556.29999999999995</v>
      </c>
      <c r="F81" s="35">
        <v>570.5</v>
      </c>
      <c r="G81" s="35">
        <v>580.4</v>
      </c>
      <c r="H81" s="35">
        <v>588.79999999999995</v>
      </c>
      <c r="I81" s="35">
        <v>598.4</v>
      </c>
      <c r="J81" s="35">
        <v>618.5</v>
      </c>
      <c r="K81" s="35">
        <v>630.4</v>
      </c>
      <c r="L81" s="35">
        <v>642.29999999999995</v>
      </c>
      <c r="M81" s="35">
        <v>664</v>
      </c>
      <c r="N81" s="35">
        <v>683.4</v>
      </c>
      <c r="O81" s="35">
        <v>700.2</v>
      </c>
      <c r="P81" s="35">
        <v>716.2</v>
      </c>
      <c r="Q81" s="35">
        <v>735.4</v>
      </c>
      <c r="R81" s="35">
        <v>748.2</v>
      </c>
      <c r="S81" s="35">
        <v>765.3</v>
      </c>
      <c r="T81" s="35">
        <v>783.2</v>
      </c>
      <c r="U81" s="35">
        <v>792.5</v>
      </c>
      <c r="V81" s="35">
        <v>792</v>
      </c>
      <c r="W81" s="35">
        <v>800.4</v>
      </c>
      <c r="X81" s="35">
        <v>821.3</v>
      </c>
      <c r="Y81" s="35">
        <v>845.8</v>
      </c>
      <c r="Z81" s="35">
        <v>871.3</v>
      </c>
      <c r="AA81" s="35">
        <v>889.4</v>
      </c>
      <c r="AB81" s="35">
        <v>908.5</v>
      </c>
      <c r="AC81" s="35">
        <v>930</v>
      </c>
      <c r="AD81" s="35">
        <v>950.1</v>
      </c>
      <c r="AE81" s="35">
        <v>981</v>
      </c>
      <c r="AF81" s="35">
        <v>1007.6</v>
      </c>
      <c r="AG81" s="35">
        <v>1038.2</v>
      </c>
      <c r="AH81" s="35">
        <v>1063.9000000000001</v>
      </c>
      <c r="AI81" s="35">
        <v>1106.0999999999999</v>
      </c>
      <c r="AJ81" s="35">
        <v>1138.0999999999999</v>
      </c>
      <c r="AK81" s="35">
        <v>1174.5</v>
      </c>
      <c r="AL81" s="35">
        <v>1208.5999999999999</v>
      </c>
      <c r="AM81" s="35">
        <v>1234.5</v>
      </c>
      <c r="AN81" s="35">
        <v>1269.5</v>
      </c>
      <c r="AO81" s="35">
        <v>1301</v>
      </c>
      <c r="AP81" s="35">
        <v>1333.9</v>
      </c>
      <c r="AQ81" s="35">
        <v>1354</v>
      </c>
      <c r="AR81" s="35">
        <v>1377.4</v>
      </c>
      <c r="AS81" s="35">
        <v>1428.8</v>
      </c>
      <c r="AT81" s="35">
        <v>1467.8</v>
      </c>
      <c r="AU81" s="35">
        <v>1496.8</v>
      </c>
      <c r="AV81" s="35">
        <v>1530.7</v>
      </c>
      <c r="AW81" s="35">
        <v>1550.7</v>
      </c>
      <c r="AX81" s="35">
        <v>1567.7</v>
      </c>
      <c r="AY81" s="35">
        <v>1581.9</v>
      </c>
      <c r="AZ81" s="35">
        <v>1596.6</v>
      </c>
      <c r="BA81" s="35">
        <v>1604.5</v>
      </c>
      <c r="BB81" s="35">
        <v>1622.6</v>
      </c>
      <c r="BC81" s="35">
        <v>1654.8</v>
      </c>
      <c r="BD81" s="35">
        <v>1691.6</v>
      </c>
      <c r="BE81" s="35">
        <v>1741.7</v>
      </c>
      <c r="BF81" s="35">
        <v>1784.2</v>
      </c>
      <c r="BG81" s="35">
        <v>1828.4</v>
      </c>
      <c r="BH81" s="35">
        <v>1867.3</v>
      </c>
      <c r="BI81" s="35">
        <v>1900.7</v>
      </c>
      <c r="BJ81" s="35">
        <v>1932.4</v>
      </c>
      <c r="BK81" s="35">
        <v>1963.8</v>
      </c>
      <c r="BL81" s="35">
        <v>1997.6</v>
      </c>
      <c r="BM81" s="35">
        <v>2037.2</v>
      </c>
      <c r="BN81" s="35">
        <v>2065.5</v>
      </c>
      <c r="BO81" s="35">
        <v>2083.6</v>
      </c>
      <c r="BP81" s="35">
        <v>2113.1</v>
      </c>
      <c r="BQ81" s="35">
        <v>2154.1999999999998</v>
      </c>
      <c r="BR81" s="35">
        <v>2194.3000000000002</v>
      </c>
      <c r="BS81" s="35">
        <v>2231.4</v>
      </c>
      <c r="BT81" s="35">
        <v>2272</v>
      </c>
      <c r="BU81" s="35">
        <v>2332.8000000000002</v>
      </c>
      <c r="BV81" s="35">
        <v>2367.1</v>
      </c>
      <c r="BW81" s="35">
        <v>2422.5</v>
      </c>
      <c r="BX81" s="35">
        <v>2463.6</v>
      </c>
      <c r="BY81" s="35">
        <v>2509.5</v>
      </c>
      <c r="BZ81" s="35">
        <v>2541.9</v>
      </c>
      <c r="CA81" s="35">
        <v>2564.6999999999998</v>
      </c>
      <c r="CB81" s="35">
        <v>2593.5</v>
      </c>
      <c r="CC81" s="35">
        <v>2637.3</v>
      </c>
      <c r="CD81" s="35">
        <v>2686.6</v>
      </c>
      <c r="CE81" s="35">
        <v>2741</v>
      </c>
      <c r="CF81" s="35">
        <v>2771.6</v>
      </c>
      <c r="CG81" s="35">
        <v>2774.8</v>
      </c>
      <c r="CH81" s="35">
        <v>2774.1</v>
      </c>
      <c r="CI81" s="35">
        <v>2802.8</v>
      </c>
      <c r="CJ81" s="35">
        <v>2830.9</v>
      </c>
      <c r="CK81" s="35">
        <v>2861.2</v>
      </c>
      <c r="CL81" s="35">
        <v>2915.9</v>
      </c>
      <c r="CM81" s="35">
        <v>2955</v>
      </c>
      <c r="CN81" s="35">
        <v>2979.4</v>
      </c>
      <c r="CO81" s="35">
        <v>3023.8</v>
      </c>
      <c r="CP81" s="35">
        <v>3019</v>
      </c>
      <c r="CQ81" s="35">
        <v>3069.8</v>
      </c>
      <c r="CR81" s="35">
        <v>3096.9</v>
      </c>
      <c r="CS81" s="35">
        <v>3144.9</v>
      </c>
      <c r="CT81" s="35">
        <v>3156.6</v>
      </c>
      <c r="CU81" s="35">
        <v>3227.4</v>
      </c>
      <c r="CV81" s="35">
        <v>3262.7</v>
      </c>
      <c r="CW81" s="35">
        <v>3315.7</v>
      </c>
      <c r="CX81" s="35">
        <v>3362.1</v>
      </c>
      <c r="CY81" s="35">
        <v>3399.3</v>
      </c>
      <c r="CZ81" s="35">
        <v>3443</v>
      </c>
      <c r="DA81" s="35">
        <v>3484.1</v>
      </c>
      <c r="DB81" s="35">
        <v>3528.3</v>
      </c>
      <c r="DC81" s="35">
        <v>3594</v>
      </c>
      <c r="DD81" s="35">
        <v>3651.3</v>
      </c>
      <c r="DE81" s="35">
        <v>3708.7</v>
      </c>
      <c r="DF81" s="35">
        <v>3780.5</v>
      </c>
      <c r="DG81" s="35">
        <v>3840</v>
      </c>
      <c r="DH81" s="35">
        <v>3907.4</v>
      </c>
      <c r="DI81" s="35">
        <v>3997.1</v>
      </c>
      <c r="DJ81" s="35">
        <v>4079.3</v>
      </c>
      <c r="DK81" s="35">
        <v>4149.8999999999996</v>
      </c>
      <c r="DL81" s="35">
        <v>4222</v>
      </c>
      <c r="DM81" s="35">
        <v>4293.5</v>
      </c>
      <c r="DN81" s="35">
        <v>4372.7</v>
      </c>
      <c r="DO81" s="35">
        <v>4416.8999999999996</v>
      </c>
      <c r="DP81" s="35">
        <v>4480.2</v>
      </c>
      <c r="DQ81" s="35">
        <v>4591</v>
      </c>
      <c r="DR81" s="35">
        <v>4758.7</v>
      </c>
      <c r="DS81" s="35">
        <v>4786.6000000000004</v>
      </c>
      <c r="DT81" s="35">
        <v>4878.8</v>
      </c>
      <c r="DU81" s="35">
        <v>4905.7</v>
      </c>
      <c r="DV81" s="35">
        <v>4987.2</v>
      </c>
      <c r="DW81" s="35">
        <v>4969.3</v>
      </c>
      <c r="DX81" s="35">
        <v>4944.1000000000004</v>
      </c>
      <c r="DY81" s="35">
        <v>4946</v>
      </c>
      <c r="DZ81" s="35">
        <v>4953.8999999999996</v>
      </c>
      <c r="EA81" s="35">
        <v>5006.3999999999996</v>
      </c>
      <c r="EB81" s="35">
        <v>5020.5</v>
      </c>
      <c r="EC81" s="35">
        <v>5035.5</v>
      </c>
      <c r="ED81" s="35">
        <v>5035.7</v>
      </c>
      <c r="EE81" s="35">
        <v>5109.8</v>
      </c>
      <c r="EF81" s="35">
        <v>5177.3999999999996</v>
      </c>
      <c r="EG81" s="35">
        <v>5264.9</v>
      </c>
      <c r="EH81" s="35">
        <v>5284</v>
      </c>
      <c r="EI81" s="35">
        <v>5390.8</v>
      </c>
      <c r="EJ81" s="35">
        <v>5502.5</v>
      </c>
      <c r="EK81" s="35">
        <v>5546.1</v>
      </c>
      <c r="EL81" s="35">
        <v>5586.1</v>
      </c>
      <c r="EM81" s="35">
        <v>5649.4</v>
      </c>
      <c r="EN81" s="35">
        <v>5749.8</v>
      </c>
      <c r="EO81" s="35">
        <v>5826.7</v>
      </c>
      <c r="EP81" s="35">
        <v>5983.1</v>
      </c>
      <c r="EQ81" s="35">
        <v>6024.2</v>
      </c>
      <c r="ER81" s="35">
        <v>6073</v>
      </c>
      <c r="ES81" s="35">
        <v>6193</v>
      </c>
      <c r="ET81" s="35">
        <v>6354.7</v>
      </c>
      <c r="EU81" s="35">
        <v>6381.4</v>
      </c>
      <c r="EV81" s="35">
        <v>6407.7</v>
      </c>
      <c r="EW81" s="35">
        <v>6485.3</v>
      </c>
      <c r="EX81" s="35">
        <v>6552.3</v>
      </c>
      <c r="EY81" s="35">
        <v>6544.1</v>
      </c>
      <c r="EZ81" s="35">
        <v>6558</v>
      </c>
      <c r="FA81" s="35">
        <v>6529.4</v>
      </c>
      <c r="FB81" s="35">
        <v>6234.6</v>
      </c>
      <c r="FC81" s="35">
        <v>6262.8</v>
      </c>
      <c r="FD81" s="35">
        <v>6245.2</v>
      </c>
      <c r="FE81" s="35">
        <v>6286.6</v>
      </c>
      <c r="FF81" s="35">
        <v>6240.2</v>
      </c>
      <c r="FG81" s="35">
        <v>6368.2</v>
      </c>
      <c r="FH81" s="35">
        <v>6430.5</v>
      </c>
      <c r="FI81" s="35">
        <v>6481.4</v>
      </c>
      <c r="FJ81" s="35">
        <v>6584.9</v>
      </c>
      <c r="FK81" s="35">
        <v>6615.9</v>
      </c>
      <c r="FL81" s="35">
        <v>6689.7</v>
      </c>
      <c r="FM81" s="35">
        <v>6645.7</v>
      </c>
      <c r="FN81" s="35">
        <v>6844.2</v>
      </c>
      <c r="FO81" s="35">
        <v>6884.3</v>
      </c>
      <c r="FP81" s="35">
        <v>6914.2</v>
      </c>
      <c r="FQ81" s="35">
        <v>7101.8</v>
      </c>
      <c r="FR81" s="35">
        <v>7052.2</v>
      </c>
      <c r="FS81" s="35">
        <v>7111.5</v>
      </c>
      <c r="FT81" s="35">
        <v>7121.5</v>
      </c>
      <c r="FU81" s="35">
        <v>7205.1</v>
      </c>
      <c r="FV81" s="35">
        <v>7367.7</v>
      </c>
      <c r="FW81" s="35">
        <v>7418.9</v>
      </c>
      <c r="FX81" s="35">
        <v>7512.6</v>
      </c>
      <c r="FY81" s="35">
        <v>7643.9</v>
      </c>
      <c r="FZ81" s="35">
        <v>7755.9</v>
      </c>
      <c r="GA81" s="35">
        <v>7840.7</v>
      </c>
      <c r="GB81" s="35">
        <v>7913.3</v>
      </c>
      <c r="GC81" s="35">
        <v>7968.5</v>
      </c>
      <c r="GD81" s="35">
        <v>8003.5</v>
      </c>
      <c r="GE81" s="35">
        <v>8050.2</v>
      </c>
      <c r="GF81" s="35">
        <v>8130.4</v>
      </c>
      <c r="GG81" s="35">
        <v>8224.9</v>
      </c>
      <c r="GH81" s="35">
        <v>8321.2999999999993</v>
      </c>
      <c r="GI81" s="35">
        <v>8412.7999999999993</v>
      </c>
      <c r="GJ81" s="35">
        <v>8529.1</v>
      </c>
      <c r="GK81" s="35">
        <v>8676.9</v>
      </c>
      <c r="GL81" s="35">
        <v>8772.9</v>
      </c>
      <c r="GM81" s="35">
        <v>8853.4</v>
      </c>
      <c r="GN81" s="35">
        <v>8979.9</v>
      </c>
      <c r="GO81" s="35">
        <v>9035.1</v>
      </c>
      <c r="GP81" s="35">
        <v>9233.6</v>
      </c>
      <c r="GQ81" s="35">
        <v>9284.7000000000007</v>
      </c>
      <c r="GR81" s="35">
        <v>9340.5</v>
      </c>
      <c r="GS81" s="35">
        <v>9487</v>
      </c>
      <c r="GT81" s="35">
        <v>9634.1</v>
      </c>
      <c r="GU81" s="35">
        <v>9002.7000000000007</v>
      </c>
      <c r="GV81" s="35">
        <v>9432.5</v>
      </c>
      <c r="GW81" s="35">
        <v>9791.5</v>
      </c>
      <c r="GX81" s="35">
        <v>9861.1</v>
      </c>
      <c r="GY81" s="35">
        <v>10148.700000000001</v>
      </c>
      <c r="GZ81" s="35">
        <v>10433.6</v>
      </c>
      <c r="HA81" s="35">
        <v>10759.7</v>
      </c>
      <c r="HB81" s="35">
        <v>10939.3</v>
      </c>
      <c r="HC81">
        <v>11071.9</v>
      </c>
      <c r="HD81">
        <v>11374.7</v>
      </c>
      <c r="HE81">
        <v>11563.1</v>
      </c>
      <c r="HF81">
        <v>11742.5</v>
      </c>
    </row>
    <row r="82" spans="1:214" x14ac:dyDescent="0.35">
      <c r="A82" s="35" t="s">
        <v>2202</v>
      </c>
      <c r="B82" s="35">
        <v>77.099999999999994</v>
      </c>
      <c r="C82" s="35">
        <v>76.7</v>
      </c>
      <c r="D82" s="35">
        <v>78.5</v>
      </c>
      <c r="E82" s="35">
        <v>78.900000000000006</v>
      </c>
      <c r="F82" s="35">
        <v>80.3</v>
      </c>
      <c r="G82" s="35">
        <v>82.8</v>
      </c>
      <c r="H82" s="35">
        <v>84.6</v>
      </c>
      <c r="I82" s="35">
        <v>87.9</v>
      </c>
      <c r="J82" s="35">
        <v>87.9</v>
      </c>
      <c r="K82" s="35">
        <v>91.3</v>
      </c>
      <c r="L82" s="35">
        <v>95.5</v>
      </c>
      <c r="M82" s="35">
        <v>105.6</v>
      </c>
      <c r="N82" s="35">
        <v>104.1</v>
      </c>
      <c r="O82" s="35">
        <v>109.9</v>
      </c>
      <c r="P82" s="35">
        <v>113.8</v>
      </c>
      <c r="Q82" s="35">
        <v>122.2</v>
      </c>
      <c r="R82" s="35">
        <v>115.7</v>
      </c>
      <c r="S82" s="35">
        <v>108.6</v>
      </c>
      <c r="T82" s="35">
        <v>111</v>
      </c>
      <c r="U82" s="35">
        <v>113.5</v>
      </c>
      <c r="V82" s="35">
        <v>112.7</v>
      </c>
      <c r="W82" s="35">
        <v>114.3</v>
      </c>
      <c r="X82" s="35">
        <v>120.7</v>
      </c>
      <c r="Y82" s="35">
        <v>125.2</v>
      </c>
      <c r="Z82" s="35">
        <v>126.4</v>
      </c>
      <c r="AA82" s="35">
        <v>128.6</v>
      </c>
      <c r="AB82" s="35">
        <v>132.69999999999999</v>
      </c>
      <c r="AC82" s="35">
        <v>136.19999999999999</v>
      </c>
      <c r="AD82" s="35">
        <v>138.6</v>
      </c>
      <c r="AE82" s="35">
        <v>140.5</v>
      </c>
      <c r="AF82" s="35">
        <v>142.4</v>
      </c>
      <c r="AG82" s="35">
        <v>156.5</v>
      </c>
      <c r="AH82" s="35">
        <v>158.5</v>
      </c>
      <c r="AI82" s="35">
        <v>166.1</v>
      </c>
      <c r="AJ82" s="35">
        <v>168.3</v>
      </c>
      <c r="AK82" s="35">
        <v>170.9</v>
      </c>
      <c r="AL82" s="35">
        <v>180.1</v>
      </c>
      <c r="AM82" s="35">
        <v>179.2</v>
      </c>
      <c r="AN82" s="35">
        <v>180.7</v>
      </c>
      <c r="AO82" s="35">
        <v>177.8</v>
      </c>
      <c r="AP82" s="35">
        <v>167.6</v>
      </c>
      <c r="AQ82" s="35">
        <v>160.30000000000001</v>
      </c>
      <c r="AR82" s="35">
        <v>173.4</v>
      </c>
      <c r="AS82" s="35">
        <v>185</v>
      </c>
      <c r="AT82" s="35">
        <v>188.2</v>
      </c>
      <c r="AU82" s="35">
        <v>176.4</v>
      </c>
      <c r="AV82" s="35">
        <v>182.3</v>
      </c>
      <c r="AW82" s="35">
        <v>171.8</v>
      </c>
      <c r="AX82" s="35">
        <v>165.2</v>
      </c>
      <c r="AY82" s="35">
        <v>169.4</v>
      </c>
      <c r="AZ82" s="35">
        <v>170.7</v>
      </c>
      <c r="BA82" s="35">
        <v>179.5</v>
      </c>
      <c r="BB82" s="35">
        <v>183.3</v>
      </c>
      <c r="BC82" s="35">
        <v>182.6</v>
      </c>
      <c r="BD82" s="35">
        <v>183.8</v>
      </c>
      <c r="BE82" s="35">
        <v>195.3</v>
      </c>
      <c r="BF82" s="35">
        <v>221.9</v>
      </c>
      <c r="BG82" s="35">
        <v>231.8</v>
      </c>
      <c r="BH82" s="35">
        <v>232.4</v>
      </c>
      <c r="BI82" s="35">
        <v>226.9</v>
      </c>
      <c r="BJ82" s="35">
        <v>240.7</v>
      </c>
      <c r="BK82" s="35">
        <v>238.5</v>
      </c>
      <c r="BL82" s="35">
        <v>240.7</v>
      </c>
      <c r="BM82" s="35">
        <v>244.3</v>
      </c>
      <c r="BN82" s="35">
        <v>245.6</v>
      </c>
      <c r="BO82" s="35">
        <v>251.6</v>
      </c>
      <c r="BP82" s="35">
        <v>264.39999999999998</v>
      </c>
      <c r="BQ82" s="35">
        <v>264.2</v>
      </c>
      <c r="BR82" s="35">
        <v>275.39999999999998</v>
      </c>
      <c r="BS82" s="35">
        <v>282.3</v>
      </c>
      <c r="BT82" s="35">
        <v>289.5</v>
      </c>
      <c r="BU82" s="35">
        <v>298.60000000000002</v>
      </c>
      <c r="BV82" s="35">
        <v>319.2</v>
      </c>
      <c r="BW82" s="35">
        <v>322.5</v>
      </c>
      <c r="BX82" s="35">
        <v>333.6</v>
      </c>
      <c r="BY82" s="35">
        <v>326.8</v>
      </c>
      <c r="BZ82" s="35">
        <v>348.1</v>
      </c>
      <c r="CA82" s="35">
        <v>339.5</v>
      </c>
      <c r="CB82" s="35">
        <v>337.2</v>
      </c>
      <c r="CC82" s="35">
        <v>339.7</v>
      </c>
      <c r="CD82" s="35">
        <v>345.6</v>
      </c>
      <c r="CE82" s="35">
        <v>351.1</v>
      </c>
      <c r="CF82" s="35">
        <v>358.9</v>
      </c>
      <c r="CG82" s="35">
        <v>357</v>
      </c>
      <c r="CH82" s="35">
        <v>347.5</v>
      </c>
      <c r="CI82" s="35">
        <v>353</v>
      </c>
      <c r="CJ82" s="35">
        <v>353.6</v>
      </c>
      <c r="CK82" s="35">
        <v>362.6</v>
      </c>
      <c r="CL82" s="35">
        <v>378.7</v>
      </c>
      <c r="CM82" s="35">
        <v>395.2</v>
      </c>
      <c r="CN82" s="35">
        <v>407.9</v>
      </c>
      <c r="CO82" s="35">
        <v>418.8</v>
      </c>
      <c r="CP82" s="35">
        <v>418.9</v>
      </c>
      <c r="CQ82" s="35">
        <v>429.6</v>
      </c>
      <c r="CR82" s="35">
        <v>423.4</v>
      </c>
      <c r="CS82" s="35">
        <v>440</v>
      </c>
      <c r="CT82" s="35">
        <v>450.2</v>
      </c>
      <c r="CU82" s="35">
        <v>454.1</v>
      </c>
      <c r="CV82" s="35">
        <v>456.8</v>
      </c>
      <c r="CW82" s="35">
        <v>465.5</v>
      </c>
      <c r="CX82" s="35">
        <v>467.4</v>
      </c>
      <c r="CY82" s="35">
        <v>472</v>
      </c>
      <c r="CZ82" s="35">
        <v>484.5</v>
      </c>
      <c r="DA82" s="35">
        <v>501</v>
      </c>
      <c r="DB82" s="35">
        <v>523.29999999999995</v>
      </c>
      <c r="DC82" s="35">
        <v>547.5</v>
      </c>
      <c r="DD82" s="35">
        <v>547.5</v>
      </c>
      <c r="DE82" s="35">
        <v>556.79999999999995</v>
      </c>
      <c r="DF82" s="35">
        <v>575.6</v>
      </c>
      <c r="DG82" s="35">
        <v>575.1</v>
      </c>
      <c r="DH82" s="35">
        <v>588.5</v>
      </c>
      <c r="DI82" s="35">
        <v>596.6</v>
      </c>
      <c r="DJ82" s="35">
        <v>617.4</v>
      </c>
      <c r="DK82" s="35">
        <v>629.6</v>
      </c>
      <c r="DL82" s="35">
        <v>645</v>
      </c>
      <c r="DM82" s="35">
        <v>668.7</v>
      </c>
      <c r="DN82" s="35">
        <v>681.9</v>
      </c>
      <c r="DO82" s="35">
        <v>690.1</v>
      </c>
      <c r="DP82" s="35">
        <v>699.8</v>
      </c>
      <c r="DQ82" s="35">
        <v>713.9</v>
      </c>
      <c r="DR82" s="35">
        <v>720.9</v>
      </c>
      <c r="DS82" s="35">
        <v>751.3</v>
      </c>
      <c r="DT82" s="35">
        <v>760.8</v>
      </c>
      <c r="DU82" s="35">
        <v>782.4</v>
      </c>
      <c r="DV82" s="35">
        <v>809.8</v>
      </c>
      <c r="DW82" s="35">
        <v>827.7</v>
      </c>
      <c r="DX82" s="35">
        <v>845.6</v>
      </c>
      <c r="DY82" s="35">
        <v>840.9</v>
      </c>
      <c r="DZ82" s="35">
        <v>859.5</v>
      </c>
      <c r="EA82" s="35">
        <v>864.5</v>
      </c>
      <c r="EB82" s="35">
        <v>872.9</v>
      </c>
      <c r="EC82" s="35">
        <v>883.3</v>
      </c>
      <c r="ED82" s="35">
        <v>876.3</v>
      </c>
      <c r="EE82" s="35">
        <v>892.4</v>
      </c>
      <c r="EF82" s="35">
        <v>905.3</v>
      </c>
      <c r="EG82" s="35">
        <v>916.1</v>
      </c>
      <c r="EH82" s="35">
        <v>946.5</v>
      </c>
      <c r="EI82" s="35">
        <v>963</v>
      </c>
      <c r="EJ82" s="35">
        <v>964.2</v>
      </c>
      <c r="EK82" s="35">
        <v>977.8</v>
      </c>
      <c r="EL82" s="35">
        <v>957.1</v>
      </c>
      <c r="EM82" s="35">
        <v>964.1</v>
      </c>
      <c r="EN82" s="35">
        <v>988.1</v>
      </c>
      <c r="EO82" s="35">
        <v>1007.2</v>
      </c>
      <c r="EP82" s="35">
        <v>1049.0999999999999</v>
      </c>
      <c r="EQ82" s="35">
        <v>1052.0999999999999</v>
      </c>
      <c r="ER82" s="35">
        <v>1049</v>
      </c>
      <c r="ES82" s="35">
        <v>1053.3</v>
      </c>
      <c r="ET82" s="35">
        <v>1017.5</v>
      </c>
      <c r="EU82" s="35">
        <v>997.9</v>
      </c>
      <c r="EV82" s="35">
        <v>986.8</v>
      </c>
      <c r="EW82" s="35">
        <v>979.8</v>
      </c>
      <c r="EX82" s="35">
        <v>964.1</v>
      </c>
      <c r="EY82" s="35">
        <v>967.2</v>
      </c>
      <c r="EZ82" s="35">
        <v>956.6</v>
      </c>
      <c r="FA82" s="35">
        <v>950.7</v>
      </c>
      <c r="FB82" s="35">
        <v>913.2</v>
      </c>
      <c r="FC82" s="35">
        <v>901.5</v>
      </c>
      <c r="FD82" s="35">
        <v>934.5</v>
      </c>
      <c r="FE82" s="35">
        <v>1001.3</v>
      </c>
      <c r="FF82" s="35">
        <v>1055.8</v>
      </c>
      <c r="FG82" s="35">
        <v>1102.7</v>
      </c>
      <c r="FH82" s="35">
        <v>1128</v>
      </c>
      <c r="FI82" s="35">
        <v>1142.7</v>
      </c>
      <c r="FJ82" s="35">
        <v>1179</v>
      </c>
      <c r="FK82" s="35">
        <v>1210.2</v>
      </c>
      <c r="FL82" s="35">
        <v>1251.5999999999999</v>
      </c>
      <c r="FM82" s="35">
        <v>1268.9000000000001</v>
      </c>
      <c r="FN82" s="35">
        <v>1321.8</v>
      </c>
      <c r="FO82" s="35">
        <v>1355.6</v>
      </c>
      <c r="FP82" s="35">
        <v>1344.9</v>
      </c>
      <c r="FQ82" s="35">
        <v>1363.2</v>
      </c>
      <c r="FR82" s="35">
        <v>1387.2</v>
      </c>
      <c r="FS82" s="35">
        <v>1410.6</v>
      </c>
      <c r="FT82" s="35">
        <v>1411</v>
      </c>
      <c r="FU82" s="35">
        <v>1400</v>
      </c>
      <c r="FV82" s="35">
        <v>1411.4</v>
      </c>
      <c r="FW82" s="35">
        <v>1450.6</v>
      </c>
      <c r="FX82" s="35">
        <v>1466.2</v>
      </c>
      <c r="FY82" s="35">
        <v>1454.4</v>
      </c>
      <c r="FZ82" s="35">
        <v>1434.9</v>
      </c>
      <c r="GA82" s="35">
        <v>1411.3</v>
      </c>
      <c r="GB82" s="35">
        <v>1423.2</v>
      </c>
      <c r="GC82" s="35">
        <v>1413.8</v>
      </c>
      <c r="GD82" s="35">
        <v>1410.1</v>
      </c>
      <c r="GE82" s="35">
        <v>1409.6</v>
      </c>
      <c r="GF82" s="35">
        <v>1431</v>
      </c>
      <c r="GG82" s="35">
        <v>1442.5</v>
      </c>
      <c r="GH82" s="35">
        <v>1485</v>
      </c>
      <c r="GI82" s="35">
        <v>1501.4</v>
      </c>
      <c r="GJ82" s="35">
        <v>1502.6</v>
      </c>
      <c r="GK82" s="35">
        <v>1529.4</v>
      </c>
      <c r="GL82" s="35">
        <v>1550.1</v>
      </c>
      <c r="GM82" s="35">
        <v>1557.3</v>
      </c>
      <c r="GN82" s="35">
        <v>1571.3</v>
      </c>
      <c r="GO82" s="35">
        <v>1596.1</v>
      </c>
      <c r="GP82" s="35">
        <v>1583.4</v>
      </c>
      <c r="GQ82" s="35">
        <v>1575.2</v>
      </c>
      <c r="GR82" s="35">
        <v>1615.3</v>
      </c>
      <c r="GS82" s="35">
        <v>1631.9</v>
      </c>
      <c r="GT82" s="35">
        <v>1643.2</v>
      </c>
      <c r="GU82" s="35">
        <v>1475.6</v>
      </c>
      <c r="GV82" s="35">
        <v>1751.6</v>
      </c>
      <c r="GW82" s="35">
        <v>1702</v>
      </c>
      <c r="GX82" s="35">
        <v>1655</v>
      </c>
      <c r="GY82" s="35">
        <v>1776.9</v>
      </c>
      <c r="GZ82" s="35">
        <v>1792.7</v>
      </c>
      <c r="HA82" s="35">
        <v>1789.8</v>
      </c>
      <c r="HB82" s="35">
        <v>1811.4</v>
      </c>
      <c r="HC82">
        <v>1835.4</v>
      </c>
      <c r="HD82">
        <v>1863.5</v>
      </c>
      <c r="HE82">
        <v>1882.9</v>
      </c>
      <c r="HF82">
        <v>1887.4</v>
      </c>
    </row>
    <row r="83" spans="1:214" x14ac:dyDescent="0.35">
      <c r="A83" s="35" t="s">
        <v>2203</v>
      </c>
      <c r="B83" s="35">
        <v>20.399999999999999</v>
      </c>
      <c r="C83" s="35">
        <v>20.2</v>
      </c>
      <c r="D83" s="35">
        <v>20.9</v>
      </c>
      <c r="E83" s="35">
        <v>21.2</v>
      </c>
      <c r="F83" s="35">
        <v>21.1</v>
      </c>
      <c r="G83" s="35">
        <v>21.7</v>
      </c>
      <c r="H83" s="35">
        <v>22</v>
      </c>
      <c r="I83" s="35">
        <v>22.5</v>
      </c>
      <c r="J83" s="35">
        <v>23.1</v>
      </c>
      <c r="K83" s="35">
        <v>20.2</v>
      </c>
      <c r="L83" s="35">
        <v>23.9</v>
      </c>
      <c r="M83" s="35">
        <v>23.8</v>
      </c>
      <c r="N83" s="35">
        <v>23.5</v>
      </c>
      <c r="O83" s="35">
        <v>23.3</v>
      </c>
      <c r="P83" s="35">
        <v>22.3</v>
      </c>
      <c r="Q83" s="35">
        <v>23.3</v>
      </c>
      <c r="R83" s="35">
        <v>23.5</v>
      </c>
      <c r="S83" s="35">
        <v>22.9</v>
      </c>
      <c r="T83" s="35">
        <v>23.3</v>
      </c>
      <c r="U83" s="35">
        <v>23</v>
      </c>
      <c r="V83" s="35">
        <v>22.7</v>
      </c>
      <c r="W83" s="35">
        <v>22.4</v>
      </c>
      <c r="X83" s="35">
        <v>22.2</v>
      </c>
      <c r="Y83" s="35">
        <v>21.9</v>
      </c>
      <c r="Z83" s="35">
        <v>21.6</v>
      </c>
      <c r="AA83" s="35">
        <v>20.5</v>
      </c>
      <c r="AB83" s="35">
        <v>20</v>
      </c>
      <c r="AC83" s="35">
        <v>19.100000000000001</v>
      </c>
      <c r="AD83" s="35">
        <v>16.399999999999999</v>
      </c>
      <c r="AE83" s="35">
        <v>16.3</v>
      </c>
      <c r="AF83" s="35">
        <v>15.6</v>
      </c>
      <c r="AG83" s="35">
        <v>15.1</v>
      </c>
      <c r="AH83" s="35">
        <v>15.9</v>
      </c>
      <c r="AI83" s="35">
        <v>15.6</v>
      </c>
      <c r="AJ83" s="35">
        <v>17.100000000000001</v>
      </c>
      <c r="AK83" s="35">
        <v>17.5</v>
      </c>
      <c r="AL83" s="35">
        <v>17.3</v>
      </c>
      <c r="AM83" s="35">
        <v>15.6</v>
      </c>
      <c r="AN83" s="35">
        <v>15.4</v>
      </c>
      <c r="AO83" s="35">
        <v>16.100000000000001</v>
      </c>
      <c r="AP83" s="35">
        <v>15.8</v>
      </c>
      <c r="AQ83" s="35">
        <v>17.100000000000001</v>
      </c>
      <c r="AR83" s="35">
        <v>19.899999999999999</v>
      </c>
      <c r="AS83" s="35">
        <v>23.2</v>
      </c>
      <c r="AT83" s="35">
        <v>24</v>
      </c>
      <c r="AU83" s="35">
        <v>23.3</v>
      </c>
      <c r="AV83" s="35">
        <v>23.1</v>
      </c>
      <c r="AW83" s="35">
        <v>24.7</v>
      </c>
      <c r="AX83" s="35">
        <v>23.5</v>
      </c>
      <c r="AY83" s="35">
        <v>21.1</v>
      </c>
      <c r="AZ83" s="35">
        <v>24.4</v>
      </c>
      <c r="BA83" s="35">
        <v>26.3</v>
      </c>
      <c r="BB83" s="35">
        <v>25.8</v>
      </c>
      <c r="BC83" s="35">
        <v>24.7</v>
      </c>
      <c r="BD83" s="35">
        <v>23.7</v>
      </c>
      <c r="BE83" s="35">
        <v>23.5</v>
      </c>
      <c r="BF83" s="35">
        <v>23.2</v>
      </c>
      <c r="BG83" s="35">
        <v>21.7</v>
      </c>
      <c r="BH83" s="35">
        <v>24.4</v>
      </c>
      <c r="BI83" s="35">
        <v>29.3</v>
      </c>
      <c r="BJ83" s="35">
        <v>26.9</v>
      </c>
      <c r="BK83" s="35">
        <v>25.3</v>
      </c>
      <c r="BL83" s="35">
        <v>27.1</v>
      </c>
      <c r="BM83" s="35">
        <v>25.6</v>
      </c>
      <c r="BN83" s="35">
        <v>22</v>
      </c>
      <c r="BO83" s="35">
        <v>21.1</v>
      </c>
      <c r="BP83" s="35">
        <v>16.600000000000001</v>
      </c>
      <c r="BQ83" s="35">
        <v>13.4</v>
      </c>
      <c r="BR83" s="35">
        <v>14.5</v>
      </c>
      <c r="BS83" s="35">
        <v>14.1</v>
      </c>
      <c r="BT83" s="35">
        <v>17.5</v>
      </c>
      <c r="BU83" s="35">
        <v>20.3</v>
      </c>
      <c r="BV83" s="35">
        <v>21.1</v>
      </c>
      <c r="BW83" s="35">
        <v>20.3</v>
      </c>
      <c r="BX83" s="35">
        <v>21.2</v>
      </c>
      <c r="BY83" s="35">
        <v>27.4</v>
      </c>
      <c r="BZ83" s="35">
        <v>23.1</v>
      </c>
      <c r="CA83" s="35">
        <v>21.2</v>
      </c>
      <c r="CB83" s="35">
        <v>20</v>
      </c>
      <c r="CC83" s="35">
        <v>21.8</v>
      </c>
      <c r="CD83" s="35">
        <v>23.1</v>
      </c>
      <c r="CE83" s="35">
        <v>26.7</v>
      </c>
      <c r="CF83" s="35">
        <v>31.6</v>
      </c>
      <c r="CG83" s="35">
        <v>31.3</v>
      </c>
      <c r="CH83" s="35">
        <v>33</v>
      </c>
      <c r="CI83" s="35">
        <v>35.5</v>
      </c>
      <c r="CJ83" s="35">
        <v>39.4</v>
      </c>
      <c r="CK83" s="35">
        <v>46.4</v>
      </c>
      <c r="CL83" s="35">
        <v>50</v>
      </c>
      <c r="CM83" s="35">
        <v>57.3</v>
      </c>
      <c r="CN83" s="35">
        <v>64.3</v>
      </c>
      <c r="CO83" s="35">
        <v>70.7</v>
      </c>
      <c r="CP83" s="35">
        <v>80.7</v>
      </c>
      <c r="CQ83" s="35">
        <v>86.9</v>
      </c>
      <c r="CR83" s="35">
        <v>92.5</v>
      </c>
      <c r="CS83" s="35">
        <v>100.2</v>
      </c>
      <c r="CT83" s="35">
        <v>109</v>
      </c>
      <c r="CU83" s="35">
        <v>113.5</v>
      </c>
      <c r="CV83" s="35">
        <v>116.3</v>
      </c>
      <c r="CW83" s="35">
        <v>115.9</v>
      </c>
      <c r="CX83" s="35">
        <v>118.3</v>
      </c>
      <c r="CY83" s="35">
        <v>121.6</v>
      </c>
      <c r="CZ83" s="35">
        <v>125.7</v>
      </c>
      <c r="DA83" s="35">
        <v>134</v>
      </c>
      <c r="DB83" s="35">
        <v>139.5</v>
      </c>
      <c r="DC83" s="35">
        <v>141.6</v>
      </c>
      <c r="DD83" s="35">
        <v>143.69999999999999</v>
      </c>
      <c r="DE83" s="35">
        <v>145.30000000000001</v>
      </c>
      <c r="DF83" s="35">
        <v>144.19999999999999</v>
      </c>
      <c r="DG83" s="35">
        <v>144.6</v>
      </c>
      <c r="DH83" s="35">
        <v>147.4</v>
      </c>
      <c r="DI83" s="35">
        <v>152.1</v>
      </c>
      <c r="DJ83" s="35">
        <v>156.80000000000001</v>
      </c>
      <c r="DK83" s="35">
        <v>162.6</v>
      </c>
      <c r="DL83" s="35">
        <v>168</v>
      </c>
      <c r="DM83" s="35">
        <v>173.4</v>
      </c>
      <c r="DN83" s="35">
        <v>176.1</v>
      </c>
      <c r="DO83" s="35">
        <v>179.6</v>
      </c>
      <c r="DP83" s="35">
        <v>179.4</v>
      </c>
      <c r="DQ83" s="35">
        <v>178.9</v>
      </c>
      <c r="DR83" s="35">
        <v>179.8</v>
      </c>
      <c r="DS83" s="35">
        <v>180.2</v>
      </c>
      <c r="DT83" s="35">
        <v>182.9</v>
      </c>
      <c r="DU83" s="35">
        <v>191</v>
      </c>
      <c r="DV83" s="35">
        <v>197.1</v>
      </c>
      <c r="DW83" s="35">
        <v>202.6</v>
      </c>
      <c r="DX83" s="35">
        <v>204.8</v>
      </c>
      <c r="DY83" s="35">
        <v>205.1</v>
      </c>
      <c r="DZ83" s="35">
        <v>207.3</v>
      </c>
      <c r="EA83" s="35">
        <v>208.9</v>
      </c>
      <c r="EB83" s="35">
        <v>207.7</v>
      </c>
      <c r="EC83" s="35">
        <v>209.9</v>
      </c>
      <c r="ED83" s="35">
        <v>218.7</v>
      </c>
      <c r="EE83" s="35">
        <v>223.2</v>
      </c>
      <c r="EF83" s="35">
        <v>227.5</v>
      </c>
      <c r="EG83" s="35">
        <v>239</v>
      </c>
      <c r="EH83" s="35">
        <v>243</v>
      </c>
      <c r="EI83" s="35">
        <v>243.4</v>
      </c>
      <c r="EJ83" s="35">
        <v>241.8</v>
      </c>
      <c r="EK83" s="35">
        <v>242.9</v>
      </c>
      <c r="EL83" s="35">
        <v>233.7</v>
      </c>
      <c r="EM83" s="35">
        <v>231.2</v>
      </c>
      <c r="EN83" s="35">
        <v>213.6</v>
      </c>
      <c r="EO83" s="35">
        <v>206</v>
      </c>
      <c r="EP83" s="35">
        <v>194.5</v>
      </c>
      <c r="EQ83" s="35">
        <v>183.4</v>
      </c>
      <c r="ER83" s="35">
        <v>177.8</v>
      </c>
      <c r="ES83" s="35">
        <v>168.7</v>
      </c>
      <c r="ET83" s="35">
        <v>162.5</v>
      </c>
      <c r="EU83" s="35">
        <v>180.3</v>
      </c>
      <c r="EV83" s="35">
        <v>193.6</v>
      </c>
      <c r="EW83" s="35">
        <v>208.7</v>
      </c>
      <c r="EX83" s="35">
        <v>249.2</v>
      </c>
      <c r="EY83" s="35">
        <v>280.89999999999998</v>
      </c>
      <c r="EZ83" s="35">
        <v>305.3</v>
      </c>
      <c r="FA83" s="35">
        <v>325.7</v>
      </c>
      <c r="FB83" s="35">
        <v>326.60000000000002</v>
      </c>
      <c r="FC83" s="35">
        <v>335.9</v>
      </c>
      <c r="FD83" s="35">
        <v>355.8</v>
      </c>
      <c r="FE83" s="35">
        <v>372</v>
      </c>
      <c r="FF83" s="35">
        <v>404.9</v>
      </c>
      <c r="FG83" s="35">
        <v>428.9</v>
      </c>
      <c r="FH83" s="35">
        <v>442.6</v>
      </c>
      <c r="FI83" s="35">
        <v>458.3</v>
      </c>
      <c r="FJ83" s="35">
        <v>489.1</v>
      </c>
      <c r="FK83" s="35">
        <v>501.4</v>
      </c>
      <c r="FL83" s="35">
        <v>510.1</v>
      </c>
      <c r="FM83" s="35">
        <v>525.6</v>
      </c>
      <c r="FN83" s="35">
        <v>526.70000000000005</v>
      </c>
      <c r="FO83" s="35">
        <v>532.4</v>
      </c>
      <c r="FP83" s="35">
        <v>536.1</v>
      </c>
      <c r="FQ83" s="35">
        <v>542.79999999999995</v>
      </c>
      <c r="FR83" s="35">
        <v>560.79999999999995</v>
      </c>
      <c r="FS83" s="35">
        <v>573.1</v>
      </c>
      <c r="FT83" s="35">
        <v>585.1</v>
      </c>
      <c r="FU83" s="35">
        <v>590.70000000000005</v>
      </c>
      <c r="FV83" s="35">
        <v>598.1</v>
      </c>
      <c r="FW83" s="35">
        <v>602.6</v>
      </c>
      <c r="FX83" s="35">
        <v>604.6</v>
      </c>
      <c r="FY83" s="35">
        <v>605.5</v>
      </c>
      <c r="FZ83" s="35">
        <v>596.20000000000005</v>
      </c>
      <c r="GA83" s="35">
        <v>611.29999999999995</v>
      </c>
      <c r="GB83" s="35">
        <v>614.9</v>
      </c>
      <c r="GC83" s="35">
        <v>615.6</v>
      </c>
      <c r="GD83" s="35">
        <v>619.79999999999995</v>
      </c>
      <c r="GE83" s="35">
        <v>626.70000000000005</v>
      </c>
      <c r="GF83" s="35">
        <v>627.6</v>
      </c>
      <c r="GG83" s="35">
        <v>632.5</v>
      </c>
      <c r="GH83" s="35">
        <v>643</v>
      </c>
      <c r="GI83" s="35">
        <v>643.29999999999995</v>
      </c>
      <c r="GJ83" s="35">
        <v>652.29999999999995</v>
      </c>
      <c r="GK83" s="35">
        <v>663.8</v>
      </c>
      <c r="GL83" s="35">
        <v>668.6</v>
      </c>
      <c r="GM83" s="35">
        <v>674.5</v>
      </c>
      <c r="GN83" s="35">
        <v>688.2</v>
      </c>
      <c r="GO83" s="35">
        <v>688.6</v>
      </c>
      <c r="GP83" s="35">
        <v>689.6</v>
      </c>
      <c r="GQ83" s="35">
        <v>696.1</v>
      </c>
      <c r="GR83" s="35">
        <v>699.1</v>
      </c>
      <c r="GS83" s="35">
        <v>708</v>
      </c>
      <c r="GT83" s="35">
        <v>722.6</v>
      </c>
      <c r="GU83" s="35">
        <v>717.9</v>
      </c>
      <c r="GV83" s="35">
        <v>722.6</v>
      </c>
      <c r="GW83" s="35">
        <v>716.3</v>
      </c>
      <c r="GX83" s="35">
        <v>719.4</v>
      </c>
      <c r="GY83" s="35">
        <v>713.5</v>
      </c>
      <c r="GZ83" s="35">
        <v>722.7</v>
      </c>
      <c r="HA83" s="35">
        <v>739.6</v>
      </c>
      <c r="HB83" s="35">
        <v>744.9</v>
      </c>
      <c r="HC83">
        <v>775.9</v>
      </c>
      <c r="HD83">
        <v>794.9</v>
      </c>
      <c r="HE83">
        <v>811.8</v>
      </c>
      <c r="HF83">
        <v>841.7</v>
      </c>
    </row>
    <row r="84" spans="1:214" x14ac:dyDescent="0.35">
      <c r="A84" s="35" t="s">
        <v>2204</v>
      </c>
      <c r="B84" s="35">
        <v>109.2</v>
      </c>
      <c r="C84" s="35">
        <v>113.1</v>
      </c>
      <c r="D84" s="35">
        <v>117.5</v>
      </c>
      <c r="E84" s="35">
        <v>120</v>
      </c>
      <c r="F84" s="35">
        <v>122.8</v>
      </c>
      <c r="G84" s="35">
        <v>124.2</v>
      </c>
      <c r="H84" s="35">
        <v>126.1</v>
      </c>
      <c r="I84" s="35">
        <v>127.4</v>
      </c>
      <c r="J84" s="35">
        <v>131</v>
      </c>
      <c r="K84" s="35">
        <v>134.1</v>
      </c>
      <c r="L84" s="35">
        <v>138.4</v>
      </c>
      <c r="M84" s="35">
        <v>142.80000000000001</v>
      </c>
      <c r="N84" s="35">
        <v>146.6</v>
      </c>
      <c r="O84" s="35">
        <v>151.6</v>
      </c>
      <c r="P84" s="35">
        <v>158.80000000000001</v>
      </c>
      <c r="Q84" s="35">
        <v>164.6</v>
      </c>
      <c r="R84" s="35">
        <v>170.5</v>
      </c>
      <c r="S84" s="35">
        <v>177.6</v>
      </c>
      <c r="T84" s="35">
        <v>183.9</v>
      </c>
      <c r="U84" s="35">
        <v>190.4</v>
      </c>
      <c r="V84" s="35">
        <v>196.4</v>
      </c>
      <c r="W84" s="35">
        <v>198.5</v>
      </c>
      <c r="X84" s="35">
        <v>202.5</v>
      </c>
      <c r="Y84" s="35">
        <v>206.5</v>
      </c>
      <c r="Z84" s="35">
        <v>210.5</v>
      </c>
      <c r="AA84" s="35">
        <v>217.1</v>
      </c>
      <c r="AB84" s="35">
        <v>222.8</v>
      </c>
      <c r="AC84" s="35">
        <v>229.7</v>
      </c>
      <c r="AD84" s="35">
        <v>238.8</v>
      </c>
      <c r="AE84" s="35">
        <v>246.6</v>
      </c>
      <c r="AF84" s="35">
        <v>255.4</v>
      </c>
      <c r="AG84" s="35">
        <v>265.5</v>
      </c>
      <c r="AH84" s="35">
        <v>273.3</v>
      </c>
      <c r="AI84" s="35">
        <v>281.3</v>
      </c>
      <c r="AJ84" s="35">
        <v>289.8</v>
      </c>
      <c r="AK84" s="35">
        <v>298.89999999999998</v>
      </c>
      <c r="AL84" s="35">
        <v>308.8</v>
      </c>
      <c r="AM84" s="35">
        <v>318.8</v>
      </c>
      <c r="AN84" s="35">
        <v>330.4</v>
      </c>
      <c r="AO84" s="35">
        <v>350.4</v>
      </c>
      <c r="AP84" s="35">
        <v>377.5</v>
      </c>
      <c r="AQ84" s="35">
        <v>391.2</v>
      </c>
      <c r="AR84" s="35">
        <v>397</v>
      </c>
      <c r="AS84" s="35">
        <v>421.9</v>
      </c>
      <c r="AT84" s="35">
        <v>440.5</v>
      </c>
      <c r="AU84" s="35">
        <v>469</v>
      </c>
      <c r="AV84" s="35">
        <v>508.5</v>
      </c>
      <c r="AW84" s="35">
        <v>525.4</v>
      </c>
      <c r="AX84" s="35">
        <v>544.1</v>
      </c>
      <c r="AY84" s="35">
        <v>559.9</v>
      </c>
      <c r="AZ84" s="35">
        <v>560.79999999999995</v>
      </c>
      <c r="BA84" s="35">
        <v>563.20000000000005</v>
      </c>
      <c r="BB84" s="35">
        <v>574.29999999999995</v>
      </c>
      <c r="BC84" s="35">
        <v>584.4</v>
      </c>
      <c r="BD84" s="35">
        <v>609.20000000000005</v>
      </c>
      <c r="BE84" s="35">
        <v>630.20000000000005</v>
      </c>
      <c r="BF84" s="35">
        <v>645.6</v>
      </c>
      <c r="BG84" s="35">
        <v>671.4</v>
      </c>
      <c r="BH84" s="35">
        <v>698.4</v>
      </c>
      <c r="BI84" s="35">
        <v>707.7</v>
      </c>
      <c r="BJ84" s="35">
        <v>718.6</v>
      </c>
      <c r="BK84" s="35">
        <v>723.8</v>
      </c>
      <c r="BL84" s="35">
        <v>724.1</v>
      </c>
      <c r="BM84" s="35">
        <v>738.7</v>
      </c>
      <c r="BN84" s="35">
        <v>762.3</v>
      </c>
      <c r="BO84" s="35">
        <v>770.2</v>
      </c>
      <c r="BP84" s="35">
        <v>770.3</v>
      </c>
      <c r="BQ84" s="35">
        <v>769.8</v>
      </c>
      <c r="BR84" s="35">
        <v>771.1</v>
      </c>
      <c r="BS84" s="35">
        <v>781</v>
      </c>
      <c r="BT84" s="35">
        <v>796.9</v>
      </c>
      <c r="BU84" s="35">
        <v>815.4</v>
      </c>
      <c r="BV84" s="35">
        <v>824</v>
      </c>
      <c r="BW84" s="35">
        <v>833.7</v>
      </c>
      <c r="BX84" s="35">
        <v>860.5</v>
      </c>
      <c r="BY84" s="35">
        <v>887.5</v>
      </c>
      <c r="BZ84" s="35">
        <v>933.6</v>
      </c>
      <c r="CA84" s="35">
        <v>961.5</v>
      </c>
      <c r="CB84" s="35">
        <v>975.6</v>
      </c>
      <c r="CC84" s="35">
        <v>986.6</v>
      </c>
      <c r="CD84" s="35">
        <v>999.5</v>
      </c>
      <c r="CE84" s="35">
        <v>1003.1</v>
      </c>
      <c r="CF84" s="35">
        <v>1010</v>
      </c>
      <c r="CG84" s="35">
        <v>1008.7</v>
      </c>
      <c r="CH84" s="35">
        <v>1003.9</v>
      </c>
      <c r="CI84" s="35">
        <v>1004.2</v>
      </c>
      <c r="CJ84" s="35">
        <v>1006.8</v>
      </c>
      <c r="CK84" s="35">
        <v>999.9</v>
      </c>
      <c r="CL84" s="35">
        <v>996.8</v>
      </c>
      <c r="CM84" s="35">
        <v>1000.4</v>
      </c>
      <c r="CN84" s="35">
        <v>997.1</v>
      </c>
      <c r="CO84" s="35">
        <v>1000.9</v>
      </c>
      <c r="CP84" s="35">
        <v>1007.7</v>
      </c>
      <c r="CQ84" s="35">
        <v>1007.4</v>
      </c>
      <c r="CR84" s="35">
        <v>1006.4</v>
      </c>
      <c r="CS84" s="35">
        <v>1006.7</v>
      </c>
      <c r="CT84" s="35">
        <v>1015.2</v>
      </c>
      <c r="CU84" s="35">
        <v>1035.9000000000001</v>
      </c>
      <c r="CV84" s="35">
        <v>1057.7</v>
      </c>
      <c r="CW84" s="35">
        <v>1090.4000000000001</v>
      </c>
      <c r="CX84" s="35">
        <v>1112.7</v>
      </c>
      <c r="CY84" s="35">
        <v>1130.9000000000001</v>
      </c>
      <c r="CZ84" s="35">
        <v>1144.3</v>
      </c>
      <c r="DA84" s="35">
        <v>1158.4000000000001</v>
      </c>
      <c r="DB84" s="35">
        <v>1170.8</v>
      </c>
      <c r="DC84" s="35">
        <v>1188.5</v>
      </c>
      <c r="DD84" s="35">
        <v>1210.7</v>
      </c>
      <c r="DE84" s="35">
        <v>1234.7</v>
      </c>
      <c r="DF84" s="35">
        <v>1251.4000000000001</v>
      </c>
      <c r="DG84" s="35">
        <v>1274.5</v>
      </c>
      <c r="DH84" s="35">
        <v>1294.9000000000001</v>
      </c>
      <c r="DI84" s="35">
        <v>1319.4</v>
      </c>
      <c r="DJ84" s="35">
        <v>1353.9</v>
      </c>
      <c r="DK84" s="35">
        <v>1379.1</v>
      </c>
      <c r="DL84" s="35">
        <v>1385.2</v>
      </c>
      <c r="DM84" s="35">
        <v>1365.3</v>
      </c>
      <c r="DN84" s="35">
        <v>1349.7</v>
      </c>
      <c r="DO84" s="35">
        <v>1347.3</v>
      </c>
      <c r="DP84" s="35">
        <v>1367.2</v>
      </c>
      <c r="DQ84" s="35">
        <v>1393</v>
      </c>
      <c r="DR84" s="35">
        <v>1432.6</v>
      </c>
      <c r="DS84" s="35">
        <v>1477.5</v>
      </c>
      <c r="DT84" s="35">
        <v>1512.9</v>
      </c>
      <c r="DU84" s="35">
        <v>1536.8</v>
      </c>
      <c r="DV84" s="35">
        <v>1528.9</v>
      </c>
      <c r="DW84" s="35">
        <v>1507</v>
      </c>
      <c r="DX84" s="35">
        <v>1474.9</v>
      </c>
      <c r="DY84" s="35">
        <v>1416</v>
      </c>
      <c r="DZ84" s="35">
        <v>1397</v>
      </c>
      <c r="EA84" s="35">
        <v>1408.1</v>
      </c>
      <c r="EB84" s="35">
        <v>1413.1</v>
      </c>
      <c r="EC84" s="35">
        <v>1436.3</v>
      </c>
      <c r="ED84" s="35">
        <v>1444.5</v>
      </c>
      <c r="EE84" s="35">
        <v>1436.1</v>
      </c>
      <c r="EF84" s="35">
        <v>1455.3</v>
      </c>
      <c r="EG84" s="35">
        <v>1473.4</v>
      </c>
      <c r="EH84" s="35">
        <v>1473.6</v>
      </c>
      <c r="EI84" s="35">
        <v>1490.5</v>
      </c>
      <c r="EJ84" s="35">
        <v>1507.5</v>
      </c>
      <c r="EK84" s="35">
        <v>1636.7</v>
      </c>
      <c r="EL84" s="35">
        <v>1598.1</v>
      </c>
      <c r="EM84" s="35">
        <v>1669.6</v>
      </c>
      <c r="EN84" s="35">
        <v>1713</v>
      </c>
      <c r="EO84" s="35">
        <v>1800.1</v>
      </c>
      <c r="EP84" s="35">
        <v>1882.7</v>
      </c>
      <c r="EQ84" s="35">
        <v>1988</v>
      </c>
      <c r="ER84" s="35">
        <v>2015.8</v>
      </c>
      <c r="ES84" s="35">
        <v>2040.4</v>
      </c>
      <c r="ET84" s="35">
        <v>2087.1</v>
      </c>
      <c r="EU84" s="35">
        <v>2212.3000000000002</v>
      </c>
      <c r="EV84" s="35">
        <v>2231.6</v>
      </c>
      <c r="EW84" s="35">
        <v>2246.9</v>
      </c>
      <c r="EX84" s="35">
        <v>2248.1999999999998</v>
      </c>
      <c r="EY84" s="35">
        <v>2204.1999999999998</v>
      </c>
      <c r="EZ84" s="35">
        <v>2222.5</v>
      </c>
      <c r="FA84" s="35">
        <v>2141.3000000000002</v>
      </c>
      <c r="FB84" s="35">
        <v>2006.9</v>
      </c>
      <c r="FC84" s="35">
        <v>1875.6</v>
      </c>
      <c r="FD84" s="35">
        <v>1783.9</v>
      </c>
      <c r="FE84" s="35">
        <v>1748.4</v>
      </c>
      <c r="FF84" s="35">
        <v>1763.3</v>
      </c>
      <c r="FG84" s="35">
        <v>1775.8</v>
      </c>
      <c r="FH84" s="35">
        <v>1780.5</v>
      </c>
      <c r="FI84" s="35">
        <v>1827.5</v>
      </c>
      <c r="FJ84" s="35">
        <v>1887.8</v>
      </c>
      <c r="FK84" s="35">
        <v>1915.4</v>
      </c>
      <c r="FL84" s="35">
        <v>1935.6</v>
      </c>
      <c r="FM84" s="35">
        <v>2009.8</v>
      </c>
      <c r="FN84" s="35">
        <v>2081.4</v>
      </c>
      <c r="FO84" s="35">
        <v>2136</v>
      </c>
      <c r="FP84" s="35">
        <v>2078.6</v>
      </c>
      <c r="FQ84" s="35">
        <v>2318.6999999999998</v>
      </c>
      <c r="FR84" s="35">
        <v>2026.1</v>
      </c>
      <c r="FS84" s="35">
        <v>2036.5</v>
      </c>
      <c r="FT84" s="35">
        <v>2074.1999999999998</v>
      </c>
      <c r="FU84" s="35">
        <v>2099</v>
      </c>
      <c r="FV84" s="35">
        <v>2167</v>
      </c>
      <c r="FW84" s="35">
        <v>2266.6999999999998</v>
      </c>
      <c r="FX84" s="35">
        <v>2336</v>
      </c>
      <c r="FY84" s="35">
        <v>2390.4</v>
      </c>
      <c r="FZ84" s="35">
        <v>2447.6</v>
      </c>
      <c r="GA84" s="35">
        <v>2469.6999999999998</v>
      </c>
      <c r="GB84" s="35">
        <v>2478.9</v>
      </c>
      <c r="GC84" s="35">
        <v>2503.1999999999998</v>
      </c>
      <c r="GD84" s="35">
        <v>2517</v>
      </c>
      <c r="GE84" s="35">
        <v>2524.3000000000002</v>
      </c>
      <c r="GF84" s="35">
        <v>2549.9</v>
      </c>
      <c r="GG84" s="35">
        <v>2579.4</v>
      </c>
      <c r="GH84" s="35">
        <v>2645.5</v>
      </c>
      <c r="GI84" s="35">
        <v>2711.5</v>
      </c>
      <c r="GJ84" s="35">
        <v>2723.3</v>
      </c>
      <c r="GK84" s="35">
        <v>2733.8</v>
      </c>
      <c r="GL84" s="35">
        <v>2758.1</v>
      </c>
      <c r="GM84" s="35">
        <v>2816.3</v>
      </c>
      <c r="GN84" s="35">
        <v>2878.4</v>
      </c>
      <c r="GO84" s="35">
        <v>2996.1</v>
      </c>
      <c r="GP84" s="35">
        <v>3047.7</v>
      </c>
      <c r="GQ84" s="35">
        <v>3121.8</v>
      </c>
      <c r="GR84" s="35">
        <v>3148.6</v>
      </c>
      <c r="GS84" s="35">
        <v>3158</v>
      </c>
      <c r="GT84" s="35">
        <v>3144.3</v>
      </c>
      <c r="GU84" s="35">
        <v>3076.3</v>
      </c>
      <c r="GV84" s="35">
        <v>3043.8</v>
      </c>
      <c r="GW84" s="35">
        <v>3117.4</v>
      </c>
      <c r="GX84" s="35">
        <v>3132</v>
      </c>
      <c r="GY84" s="35">
        <v>3196.3</v>
      </c>
      <c r="GZ84" s="35">
        <v>3222.9</v>
      </c>
      <c r="HA84" s="35">
        <v>3258.5</v>
      </c>
      <c r="HB84" s="35">
        <v>3269.9</v>
      </c>
      <c r="HC84">
        <v>3323</v>
      </c>
      <c r="HD84">
        <v>3358.8</v>
      </c>
      <c r="HE84">
        <v>3424</v>
      </c>
      <c r="HF84">
        <v>3454.1</v>
      </c>
    </row>
    <row r="85" spans="1:214" x14ac:dyDescent="0.35">
      <c r="A85" s="35" t="s">
        <v>788</v>
      </c>
      <c r="B85" s="35">
        <v>77.5</v>
      </c>
      <c r="C85" s="35">
        <v>81.099999999999994</v>
      </c>
      <c r="D85" s="35">
        <v>81.099999999999994</v>
      </c>
      <c r="E85" s="35">
        <v>76.900000000000006</v>
      </c>
      <c r="F85" s="35">
        <v>89.1</v>
      </c>
      <c r="G85" s="35">
        <v>90.8</v>
      </c>
      <c r="H85" s="35">
        <v>93.7</v>
      </c>
      <c r="I85" s="35">
        <v>97.6</v>
      </c>
      <c r="J85" s="35">
        <v>102.7</v>
      </c>
      <c r="K85" s="35">
        <v>104.3</v>
      </c>
      <c r="L85" s="35">
        <v>108.2</v>
      </c>
      <c r="M85" s="35">
        <v>115.5</v>
      </c>
      <c r="N85" s="35">
        <v>121</v>
      </c>
      <c r="O85" s="35">
        <v>117.2</v>
      </c>
      <c r="P85" s="35">
        <v>116.6</v>
      </c>
      <c r="Q85" s="35">
        <v>119.1</v>
      </c>
      <c r="R85" s="35">
        <v>111.1</v>
      </c>
      <c r="S85" s="35">
        <v>110.8</v>
      </c>
      <c r="T85" s="35">
        <v>107.3</v>
      </c>
      <c r="U85" s="35">
        <v>103.8</v>
      </c>
      <c r="V85" s="35">
        <v>103.9</v>
      </c>
      <c r="W85" s="35">
        <v>115.6</v>
      </c>
      <c r="X85" s="35">
        <v>135.4</v>
      </c>
      <c r="Y85" s="35">
        <v>142</v>
      </c>
      <c r="Z85" s="35">
        <v>159.1</v>
      </c>
      <c r="AA85" s="35">
        <v>156.6</v>
      </c>
      <c r="AB85" s="35">
        <v>158.4</v>
      </c>
      <c r="AC85" s="35">
        <v>157.1</v>
      </c>
      <c r="AD85" s="35">
        <v>165</v>
      </c>
      <c r="AE85" s="35">
        <v>185.7</v>
      </c>
      <c r="AF85" s="35">
        <v>199.9</v>
      </c>
      <c r="AG85" s="35">
        <v>196.1</v>
      </c>
      <c r="AH85" s="35">
        <v>187.5</v>
      </c>
      <c r="AI85" s="35">
        <v>220</v>
      </c>
      <c r="AJ85" s="35">
        <v>223.8</v>
      </c>
      <c r="AK85" s="35">
        <v>231.5</v>
      </c>
      <c r="AL85" s="35">
        <v>221.9</v>
      </c>
      <c r="AM85" s="35">
        <v>219.4</v>
      </c>
      <c r="AN85" s="35">
        <v>211.1</v>
      </c>
      <c r="AO85" s="35">
        <v>205.1</v>
      </c>
      <c r="AP85" s="35">
        <v>197.2</v>
      </c>
      <c r="AQ85" s="35">
        <v>170.2</v>
      </c>
      <c r="AR85" s="35">
        <v>179.7</v>
      </c>
      <c r="AS85" s="35">
        <v>205.2</v>
      </c>
      <c r="AT85" s="35">
        <v>214.2</v>
      </c>
      <c r="AU85" s="35">
        <v>213.3</v>
      </c>
      <c r="AV85" s="35">
        <v>230.4</v>
      </c>
      <c r="AW85" s="35">
        <v>213.3</v>
      </c>
      <c r="AX85" s="35">
        <v>190.2</v>
      </c>
      <c r="AY85" s="35">
        <v>202.6</v>
      </c>
      <c r="AZ85" s="35">
        <v>202.5</v>
      </c>
      <c r="BA85" s="35">
        <v>193.7</v>
      </c>
      <c r="BB85" s="35">
        <v>211.7</v>
      </c>
      <c r="BC85" s="35">
        <v>240.3</v>
      </c>
      <c r="BD85" s="35">
        <v>256.2</v>
      </c>
      <c r="BE85" s="35">
        <v>270.60000000000002</v>
      </c>
      <c r="BF85" s="35">
        <v>302</v>
      </c>
      <c r="BG85" s="35">
        <v>301.8</v>
      </c>
      <c r="BH85" s="35">
        <v>295.7</v>
      </c>
      <c r="BI85" s="35">
        <v>305.7</v>
      </c>
      <c r="BJ85" s="35">
        <v>312.3</v>
      </c>
      <c r="BK85" s="35">
        <v>311.60000000000002</v>
      </c>
      <c r="BL85" s="35">
        <v>333.1</v>
      </c>
      <c r="BM85" s="35">
        <v>308.5</v>
      </c>
      <c r="BN85" s="35">
        <v>298.8</v>
      </c>
      <c r="BO85" s="35">
        <v>288.10000000000002</v>
      </c>
      <c r="BP85" s="35">
        <v>276.2</v>
      </c>
      <c r="BQ85" s="35">
        <v>276.39999999999998</v>
      </c>
      <c r="BR85" s="35">
        <v>284.60000000000002</v>
      </c>
      <c r="BS85" s="35">
        <v>314.39999999999998</v>
      </c>
      <c r="BT85" s="35">
        <v>338.6</v>
      </c>
      <c r="BU85" s="35">
        <v>334.3</v>
      </c>
      <c r="BV85" s="35">
        <v>341.5</v>
      </c>
      <c r="BW85" s="35">
        <v>350.9</v>
      </c>
      <c r="BX85" s="35">
        <v>358.1</v>
      </c>
      <c r="BY85" s="35">
        <v>379.5</v>
      </c>
      <c r="BZ85" s="35">
        <v>359.7</v>
      </c>
      <c r="CA85" s="35">
        <v>351.9</v>
      </c>
      <c r="CB85" s="35">
        <v>350.1</v>
      </c>
      <c r="CC85" s="35">
        <v>327</v>
      </c>
      <c r="CD85" s="35">
        <v>340.5</v>
      </c>
      <c r="CE85" s="35">
        <v>358.8</v>
      </c>
      <c r="CF85" s="35">
        <v>336.8</v>
      </c>
      <c r="CG85" s="35">
        <v>330.6</v>
      </c>
      <c r="CH85" s="35">
        <v>370.8</v>
      </c>
      <c r="CI85" s="35">
        <v>378</v>
      </c>
      <c r="CJ85" s="35">
        <v>380.7</v>
      </c>
      <c r="CK85" s="35">
        <v>375</v>
      </c>
      <c r="CL85" s="35">
        <v>399.7</v>
      </c>
      <c r="CM85" s="35">
        <v>404</v>
      </c>
      <c r="CN85" s="35">
        <v>393.9</v>
      </c>
      <c r="CO85" s="35">
        <v>418.7</v>
      </c>
      <c r="CP85" s="35">
        <v>400.8</v>
      </c>
      <c r="CQ85" s="35">
        <v>439</v>
      </c>
      <c r="CR85" s="35">
        <v>446.2</v>
      </c>
      <c r="CS85" s="35">
        <v>504.6</v>
      </c>
      <c r="CT85" s="35">
        <v>509.3</v>
      </c>
      <c r="CU85" s="35">
        <v>530</v>
      </c>
      <c r="CV85" s="35">
        <v>562.20000000000005</v>
      </c>
      <c r="CW85" s="35">
        <v>585.79999999999995</v>
      </c>
      <c r="CX85" s="35">
        <v>579</v>
      </c>
      <c r="CY85" s="35">
        <v>595.70000000000005</v>
      </c>
      <c r="CZ85" s="35">
        <v>639.4</v>
      </c>
      <c r="DA85" s="35">
        <v>639</v>
      </c>
      <c r="DB85" s="35">
        <v>671.6</v>
      </c>
      <c r="DC85" s="35">
        <v>686.9</v>
      </c>
      <c r="DD85" s="35">
        <v>691.4</v>
      </c>
      <c r="DE85" s="35">
        <v>700.2</v>
      </c>
      <c r="DF85" s="35">
        <v>735.7</v>
      </c>
      <c r="DG85" s="35">
        <v>748.6</v>
      </c>
      <c r="DH85" s="35">
        <v>787.1</v>
      </c>
      <c r="DI85" s="35">
        <v>777.2</v>
      </c>
      <c r="DJ85" s="35">
        <v>704</v>
      </c>
      <c r="DK85" s="35">
        <v>703.4</v>
      </c>
      <c r="DL85" s="35">
        <v>721.5</v>
      </c>
      <c r="DM85" s="35">
        <v>693.8</v>
      </c>
      <c r="DN85" s="35">
        <v>732.4</v>
      </c>
      <c r="DO85" s="35">
        <v>723.4</v>
      </c>
      <c r="DP85" s="35">
        <v>705.2</v>
      </c>
      <c r="DQ85" s="35">
        <v>691.7</v>
      </c>
      <c r="DR85" s="35">
        <v>677.3</v>
      </c>
      <c r="DS85" s="35">
        <v>659.6</v>
      </c>
      <c r="DT85" s="35">
        <v>636.70000000000005</v>
      </c>
      <c r="DU85" s="35">
        <v>589.9</v>
      </c>
      <c r="DV85" s="35">
        <v>588.6</v>
      </c>
      <c r="DW85" s="35">
        <v>607.9</v>
      </c>
      <c r="DX85" s="35">
        <v>601.20000000000005</v>
      </c>
      <c r="DY85" s="35">
        <v>561.9</v>
      </c>
      <c r="DZ85" s="35">
        <v>694.1</v>
      </c>
      <c r="EA85" s="35">
        <v>737.7</v>
      </c>
      <c r="EB85" s="35">
        <v>759.1</v>
      </c>
      <c r="EC85" s="35">
        <v>828.9</v>
      </c>
      <c r="ED85" s="35">
        <v>844.2</v>
      </c>
      <c r="EE85" s="35">
        <v>872.2</v>
      </c>
      <c r="EF85" s="35">
        <v>919.9</v>
      </c>
      <c r="EG85" s="35">
        <v>953.1</v>
      </c>
      <c r="EH85" s="35">
        <v>1038.4000000000001</v>
      </c>
      <c r="EI85" s="35">
        <v>1083.9000000000001</v>
      </c>
      <c r="EJ85" s="35">
        <v>1125.2</v>
      </c>
      <c r="EK85" s="35">
        <v>1129.3</v>
      </c>
      <c r="EL85" s="35">
        <v>1219.8</v>
      </c>
      <c r="EM85" s="35">
        <v>1236.8</v>
      </c>
      <c r="EN85" s="35">
        <v>1244.4000000000001</v>
      </c>
      <c r="EO85" s="35">
        <v>1350.6</v>
      </c>
      <c r="EP85" s="35">
        <v>1399.2</v>
      </c>
      <c r="EQ85" s="35">
        <v>1404.9</v>
      </c>
      <c r="ER85" s="35">
        <v>1455.1</v>
      </c>
      <c r="ES85" s="35">
        <v>1366.9</v>
      </c>
      <c r="ET85" s="35">
        <v>1257.7</v>
      </c>
      <c r="EU85" s="35">
        <v>1285.5</v>
      </c>
      <c r="EV85" s="35">
        <v>1165.3</v>
      </c>
      <c r="EW85" s="35">
        <v>1073.0999999999999</v>
      </c>
      <c r="EX85" s="35">
        <v>988</v>
      </c>
      <c r="EY85" s="35">
        <v>963.5</v>
      </c>
      <c r="EZ85" s="35">
        <v>949.5</v>
      </c>
      <c r="FA85" s="35">
        <v>681.6</v>
      </c>
      <c r="FB85" s="35">
        <v>911.1</v>
      </c>
      <c r="FC85" s="35">
        <v>965.2</v>
      </c>
      <c r="FD85" s="35">
        <v>1087.0999999999999</v>
      </c>
      <c r="FE85" s="35">
        <v>1188.7</v>
      </c>
      <c r="FF85" s="35">
        <v>1253.4000000000001</v>
      </c>
      <c r="FG85" s="35">
        <v>1255.5</v>
      </c>
      <c r="FH85" s="35">
        <v>1428</v>
      </c>
      <c r="FI85" s="35">
        <v>1434.9</v>
      </c>
      <c r="FJ85" s="35">
        <v>1273.5999999999999</v>
      </c>
      <c r="FK85" s="35">
        <v>1392.8</v>
      </c>
      <c r="FL85" s="35">
        <v>1393.4</v>
      </c>
      <c r="FM85" s="35">
        <v>1529</v>
      </c>
      <c r="FN85" s="35">
        <v>1606.9</v>
      </c>
      <c r="FO85" s="35">
        <v>1605.9</v>
      </c>
      <c r="FP85" s="35">
        <v>1583</v>
      </c>
      <c r="FQ85" s="35">
        <v>1572.4</v>
      </c>
      <c r="FR85" s="35">
        <v>1596.1</v>
      </c>
      <c r="FS85" s="35">
        <v>1605.3</v>
      </c>
      <c r="FT85" s="35">
        <v>1602.5</v>
      </c>
      <c r="FU85" s="35">
        <v>1643.5</v>
      </c>
      <c r="FV85" s="35">
        <v>1561.5</v>
      </c>
      <c r="FW85" s="35">
        <v>1743.6</v>
      </c>
      <c r="FX85" s="35">
        <v>1769.4</v>
      </c>
      <c r="FY85" s="35">
        <v>1786.9</v>
      </c>
      <c r="FZ85" s="35">
        <v>1728.9</v>
      </c>
      <c r="GA85" s="35">
        <v>1721.5</v>
      </c>
      <c r="GB85" s="35">
        <v>1673.6</v>
      </c>
      <c r="GC85" s="35">
        <v>1537.1</v>
      </c>
      <c r="GD85" s="35">
        <v>1645.7</v>
      </c>
      <c r="GE85" s="35">
        <v>1600.3</v>
      </c>
      <c r="GF85" s="35">
        <v>1625.4</v>
      </c>
      <c r="GG85" s="35">
        <v>1599.7</v>
      </c>
      <c r="GH85" s="35">
        <v>1601.7</v>
      </c>
      <c r="GI85" s="35">
        <v>1630.8</v>
      </c>
      <c r="GJ85" s="35">
        <v>1635.8</v>
      </c>
      <c r="GK85" s="35">
        <v>1650.3</v>
      </c>
      <c r="GL85" s="35">
        <v>1706.2</v>
      </c>
      <c r="GM85" s="35">
        <v>1747.5</v>
      </c>
      <c r="GN85" s="35">
        <v>1825.6</v>
      </c>
      <c r="GO85" s="35">
        <v>1886.2</v>
      </c>
      <c r="GP85" s="35">
        <v>1806.1</v>
      </c>
      <c r="GQ85" s="35">
        <v>1872</v>
      </c>
      <c r="GR85" s="35">
        <v>1882</v>
      </c>
      <c r="GS85" s="35">
        <v>1933.8</v>
      </c>
      <c r="GT85" s="35">
        <v>1736.3</v>
      </c>
      <c r="GU85" s="35">
        <v>1597.1</v>
      </c>
      <c r="GV85" s="35">
        <v>2041.1</v>
      </c>
      <c r="GW85" s="35">
        <v>1947.4</v>
      </c>
      <c r="GX85" s="35">
        <v>2152.8000000000002</v>
      </c>
      <c r="GY85" s="35">
        <v>2407.1</v>
      </c>
      <c r="GZ85" s="35">
        <v>2431.8000000000002</v>
      </c>
      <c r="HA85" s="35">
        <v>2443.1999999999998</v>
      </c>
      <c r="HB85">
        <v>2432.6999999999998</v>
      </c>
      <c r="HC85">
        <v>2538.9</v>
      </c>
      <c r="HD85">
        <v>2553.1999999999998</v>
      </c>
      <c r="HE85">
        <v>2471.3000000000002</v>
      </c>
    </row>
    <row r="86" spans="1:214" x14ac:dyDescent="0.35">
      <c r="A86" s="35" t="s">
        <v>2205</v>
      </c>
      <c r="B86" s="35"/>
      <c r="C86" s="35"/>
      <c r="D86" s="35"/>
      <c r="E86" s="35"/>
      <c r="F86" s="35"/>
      <c r="G86" s="35"/>
      <c r="H86" s="35"/>
      <c r="I86" s="35"/>
      <c r="J86" s="35"/>
      <c r="K86" s="35"/>
      <c r="L86" s="35"/>
      <c r="M86" s="35"/>
      <c r="N86" s="35"/>
      <c r="O86" s="35"/>
      <c r="P86" s="35"/>
      <c r="Q86" s="35"/>
      <c r="R86" s="35"/>
      <c r="S86" s="35"/>
      <c r="T86" s="35"/>
      <c r="U86" s="35"/>
      <c r="V86" s="35"/>
      <c r="W86" s="35"/>
      <c r="X86" s="35"/>
      <c r="Y86" s="35"/>
      <c r="Z86" s="35"/>
      <c r="AA86" s="35"/>
      <c r="AB86" s="35"/>
      <c r="AC86" s="35"/>
      <c r="AD86" s="35"/>
      <c r="AE86" s="35"/>
      <c r="AF86" s="35"/>
      <c r="AG86" s="35"/>
      <c r="AH86" s="35"/>
      <c r="AI86" s="35"/>
      <c r="AJ86" s="35"/>
      <c r="AK86" s="35"/>
      <c r="AL86" s="35"/>
      <c r="AM86" s="35"/>
      <c r="AN86" s="35"/>
      <c r="AO86" s="35"/>
      <c r="AP86" s="35"/>
      <c r="AQ86" s="35"/>
      <c r="AR86" s="35"/>
      <c r="AS86" s="35"/>
      <c r="AT86" s="35"/>
      <c r="AU86" s="35"/>
      <c r="AV86" s="35"/>
      <c r="AW86" s="35"/>
      <c r="AX86" s="35"/>
      <c r="AY86" s="35"/>
      <c r="AZ86" s="35"/>
      <c r="BA86" s="35"/>
      <c r="BB86" s="35"/>
      <c r="BC86" s="35"/>
      <c r="BD86" s="35"/>
      <c r="BE86" s="35"/>
      <c r="BF86" s="35"/>
      <c r="BG86" s="35"/>
      <c r="BH86" s="35"/>
      <c r="BI86" s="35"/>
      <c r="BJ86" s="35"/>
      <c r="BK86" s="35"/>
      <c r="BL86" s="35"/>
      <c r="BM86" s="35"/>
      <c r="BN86" s="35"/>
      <c r="BO86" s="35"/>
      <c r="BP86" s="35"/>
      <c r="BQ86" s="35"/>
      <c r="BR86" s="35"/>
      <c r="BS86" s="35"/>
      <c r="BT86" s="35"/>
      <c r="BU86" s="35"/>
      <c r="BV86" s="35"/>
      <c r="BW86" s="35"/>
      <c r="BX86" s="35"/>
      <c r="BY86" s="35"/>
      <c r="BZ86" s="35"/>
      <c r="CA86" s="35"/>
      <c r="CB86" s="35"/>
      <c r="CC86" s="35"/>
      <c r="CD86" s="35"/>
      <c r="CE86" s="35"/>
      <c r="CF86" s="35"/>
      <c r="CG86" s="35"/>
      <c r="CH86" s="35"/>
      <c r="CI86" s="35"/>
      <c r="CJ86" s="35"/>
      <c r="CK86" s="35"/>
      <c r="CL86" s="35"/>
      <c r="CM86" s="35"/>
      <c r="CN86" s="35"/>
      <c r="CO86" s="35"/>
      <c r="CP86" s="35"/>
      <c r="CQ86" s="35"/>
      <c r="CR86" s="35"/>
      <c r="CS86" s="35"/>
      <c r="CT86" s="35"/>
      <c r="CU86" s="35"/>
      <c r="CV86" s="35"/>
      <c r="CW86" s="35"/>
      <c r="CX86" s="35"/>
      <c r="CY86" s="35"/>
      <c r="CZ86" s="35"/>
      <c r="DA86" s="35"/>
      <c r="DB86" s="35"/>
      <c r="DC86" s="35"/>
      <c r="DD86" s="35"/>
      <c r="DE86" s="35"/>
      <c r="DF86" s="35"/>
      <c r="DG86" s="35"/>
      <c r="DH86" s="35"/>
      <c r="DI86" s="35"/>
      <c r="DJ86" s="35"/>
      <c r="DK86" s="35"/>
      <c r="DL86" s="35"/>
      <c r="DM86" s="35"/>
      <c r="DN86" s="35"/>
      <c r="DO86" s="35"/>
      <c r="DP86" s="35"/>
      <c r="DQ86" s="35"/>
      <c r="DR86" s="35"/>
      <c r="DS86" s="35"/>
      <c r="DT86" s="35"/>
      <c r="DU86" s="35"/>
      <c r="DV86" s="35"/>
      <c r="DW86" s="35"/>
      <c r="DX86" s="35"/>
      <c r="DY86" s="35"/>
      <c r="DZ86" s="35"/>
      <c r="EA86" s="35"/>
      <c r="EB86" s="35"/>
      <c r="EC86" s="35"/>
      <c r="ED86" s="35"/>
      <c r="EE86" s="35"/>
      <c r="EF86" s="35"/>
      <c r="EG86" s="35"/>
      <c r="EH86" s="35"/>
      <c r="EI86" s="35"/>
      <c r="EJ86" s="35"/>
      <c r="EK86" s="35"/>
      <c r="EL86" s="35"/>
      <c r="EM86" s="35"/>
      <c r="EN86" s="35"/>
      <c r="EO86" s="35"/>
      <c r="EP86" s="35"/>
      <c r="EQ86" s="35"/>
      <c r="ER86" s="35"/>
      <c r="ES86" s="35"/>
      <c r="ET86" s="35"/>
      <c r="EU86" s="35"/>
      <c r="EV86" s="35"/>
      <c r="EW86" s="35"/>
      <c r="EX86" s="35"/>
      <c r="EY86" s="35"/>
      <c r="EZ86" s="35"/>
      <c r="FA86" s="35"/>
      <c r="FB86" s="35"/>
      <c r="FC86" s="35"/>
      <c r="FD86" s="35"/>
      <c r="FE86" s="35"/>
      <c r="FF86" s="35"/>
      <c r="FG86" s="35"/>
      <c r="FH86" s="35"/>
      <c r="FI86" s="35"/>
      <c r="FJ86" s="35"/>
      <c r="FK86" s="35"/>
      <c r="FL86" s="35"/>
      <c r="FM86" s="35"/>
      <c r="FN86" s="35"/>
      <c r="FO86" s="35"/>
      <c r="FP86" s="35"/>
      <c r="FQ86" s="35"/>
      <c r="FR86" s="35"/>
      <c r="FS86" s="35"/>
      <c r="FT86" s="35"/>
      <c r="FU86" s="35"/>
      <c r="FV86" s="35"/>
      <c r="FW86" s="35"/>
      <c r="FX86" s="35"/>
      <c r="FY86" s="35"/>
      <c r="FZ86" s="35"/>
      <c r="GA86" s="35"/>
      <c r="GB86" s="35"/>
      <c r="GC86" s="35"/>
      <c r="GD86" s="35"/>
      <c r="GE86" s="35"/>
      <c r="GF86" s="35"/>
      <c r="GG86" s="35"/>
      <c r="GH86" s="35"/>
      <c r="GI86" s="35"/>
      <c r="GJ86" s="35"/>
      <c r="GK86" s="35"/>
      <c r="GL86" s="35"/>
      <c r="GM86" s="35"/>
      <c r="GN86" s="35"/>
      <c r="GO86" s="35"/>
      <c r="GP86" s="35"/>
      <c r="GQ86" s="35"/>
      <c r="GR86" s="35"/>
      <c r="GS86" s="35"/>
      <c r="GT86" s="35"/>
      <c r="GU86" s="35"/>
      <c r="GV86" s="35"/>
      <c r="GW86" s="35"/>
      <c r="GX86" s="35">
        <v>0</v>
      </c>
      <c r="GY86" s="35">
        <v>21.4</v>
      </c>
      <c r="GZ86" s="35">
        <v>57</v>
      </c>
      <c r="HA86" s="35">
        <v>35.5</v>
      </c>
      <c r="HB86" s="35">
        <v>0</v>
      </c>
      <c r="HC86">
        <v>0</v>
      </c>
      <c r="HD86">
        <v>0</v>
      </c>
      <c r="HE86">
        <v>0</v>
      </c>
    </row>
    <row r="87" spans="1:214" x14ac:dyDescent="0.35">
      <c r="A87" s="35" t="s">
        <v>2206</v>
      </c>
      <c r="B87" s="35"/>
      <c r="C87" s="35"/>
      <c r="D87" s="35"/>
      <c r="E87" s="35"/>
      <c r="F87" s="35"/>
      <c r="G87" s="35"/>
      <c r="H87" s="35"/>
      <c r="I87" s="35"/>
      <c r="J87" s="35"/>
      <c r="K87" s="35"/>
      <c r="L87" s="35"/>
      <c r="M87" s="35"/>
      <c r="N87" s="35"/>
      <c r="O87" s="35"/>
      <c r="P87" s="35"/>
      <c r="Q87" s="35"/>
      <c r="R87" s="35"/>
      <c r="S87" s="35"/>
      <c r="T87" s="35"/>
      <c r="U87" s="35"/>
      <c r="V87" s="35"/>
      <c r="W87" s="35"/>
      <c r="X87" s="35"/>
      <c r="Y87" s="35"/>
      <c r="Z87" s="35"/>
      <c r="AA87" s="35"/>
      <c r="AB87" s="35"/>
      <c r="AC87" s="35"/>
      <c r="AD87" s="35"/>
      <c r="AE87" s="35"/>
      <c r="AF87" s="35"/>
      <c r="AG87" s="35"/>
      <c r="AH87" s="35"/>
      <c r="AI87" s="35"/>
      <c r="AJ87" s="35"/>
      <c r="AK87" s="35"/>
      <c r="AL87" s="35"/>
      <c r="AM87" s="35"/>
      <c r="AN87" s="35"/>
      <c r="AO87" s="35"/>
      <c r="AP87" s="35"/>
      <c r="AQ87" s="35"/>
      <c r="AR87" s="35"/>
      <c r="AS87" s="35"/>
      <c r="AT87" s="35"/>
      <c r="AU87" s="35"/>
      <c r="AV87" s="35"/>
      <c r="AW87" s="35"/>
      <c r="AX87" s="35"/>
      <c r="AY87" s="35"/>
      <c r="AZ87" s="35"/>
      <c r="BA87" s="35"/>
      <c r="BB87" s="35"/>
      <c r="BC87" s="35"/>
      <c r="BD87" s="35"/>
      <c r="BE87" s="35"/>
      <c r="BF87" s="35"/>
      <c r="BG87" s="35"/>
      <c r="BH87" s="35"/>
      <c r="BI87" s="35"/>
      <c r="BJ87" s="35"/>
      <c r="BK87" s="35"/>
      <c r="BL87" s="35"/>
      <c r="BM87" s="35"/>
      <c r="BN87" s="35"/>
      <c r="BO87" s="35"/>
      <c r="BP87" s="35"/>
      <c r="BQ87" s="35"/>
      <c r="BR87" s="35"/>
      <c r="BS87" s="35"/>
      <c r="BT87" s="35"/>
      <c r="BU87" s="35"/>
      <c r="BV87" s="35"/>
      <c r="BW87" s="35"/>
      <c r="BX87" s="35"/>
      <c r="BY87" s="35"/>
      <c r="BZ87" s="35"/>
      <c r="CA87" s="35"/>
      <c r="CB87" s="35"/>
      <c r="CC87" s="35"/>
      <c r="CD87" s="35"/>
      <c r="CE87" s="35"/>
      <c r="CF87" s="35"/>
      <c r="CG87" s="35"/>
      <c r="CH87" s="35"/>
      <c r="CI87" s="35"/>
      <c r="CJ87" s="35"/>
      <c r="CK87" s="35"/>
      <c r="CL87" s="35"/>
      <c r="CM87" s="35"/>
      <c r="CN87" s="35"/>
      <c r="CO87" s="35"/>
      <c r="CP87" s="35"/>
      <c r="CQ87" s="35"/>
      <c r="CR87" s="35"/>
      <c r="CS87" s="35"/>
      <c r="CT87" s="35"/>
      <c r="CU87" s="35"/>
      <c r="CV87" s="35"/>
      <c r="CW87" s="35"/>
      <c r="CX87" s="35"/>
      <c r="CY87" s="35"/>
      <c r="CZ87" s="35"/>
      <c r="DA87" s="35"/>
      <c r="DB87" s="35"/>
      <c r="DC87" s="35"/>
      <c r="DD87" s="35"/>
      <c r="DE87" s="35"/>
      <c r="DF87" s="35"/>
      <c r="DG87" s="35"/>
      <c r="DH87" s="35"/>
      <c r="DI87" s="35"/>
      <c r="DJ87" s="35"/>
      <c r="DK87" s="35"/>
      <c r="DL87" s="35"/>
      <c r="DM87" s="35"/>
      <c r="DN87" s="35"/>
      <c r="DO87" s="35"/>
      <c r="DP87" s="35"/>
      <c r="DQ87" s="35"/>
      <c r="DR87" s="35"/>
      <c r="DS87" s="35"/>
      <c r="DT87" s="35"/>
      <c r="DU87" s="35"/>
      <c r="DV87" s="35"/>
      <c r="DW87" s="35"/>
      <c r="DX87" s="35"/>
      <c r="DY87" s="35"/>
      <c r="DZ87" s="35"/>
      <c r="EA87" s="35"/>
      <c r="EB87" s="35"/>
      <c r="EC87" s="35"/>
      <c r="ED87" s="35"/>
      <c r="EE87" s="35"/>
      <c r="EF87" s="35"/>
      <c r="EG87" s="35"/>
      <c r="EH87" s="35"/>
      <c r="EI87" s="35"/>
      <c r="EJ87" s="35"/>
      <c r="EK87" s="35"/>
      <c r="EL87" s="35"/>
      <c r="EM87" s="35"/>
      <c r="EN87" s="35"/>
      <c r="EO87" s="35"/>
      <c r="EP87" s="35"/>
      <c r="EQ87" s="35"/>
      <c r="ER87" s="35"/>
      <c r="ES87" s="35"/>
      <c r="ET87" s="35"/>
      <c r="EU87" s="35"/>
      <c r="EV87" s="35"/>
      <c r="EW87" s="35"/>
      <c r="EX87" s="35"/>
      <c r="EY87" s="35"/>
      <c r="EZ87" s="35"/>
      <c r="FA87" s="35"/>
      <c r="FB87" s="35"/>
      <c r="FC87" s="35"/>
      <c r="FD87" s="35"/>
      <c r="FE87" s="35"/>
      <c r="FF87" s="35"/>
      <c r="FG87" s="35"/>
      <c r="FH87" s="35"/>
      <c r="FI87" s="35"/>
      <c r="FJ87" s="35"/>
      <c r="FK87" s="35"/>
      <c r="FL87" s="35"/>
      <c r="FM87" s="35"/>
      <c r="FN87" s="35"/>
      <c r="FO87" s="35"/>
      <c r="FP87" s="35"/>
      <c r="FQ87" s="35"/>
      <c r="FR87" s="35"/>
      <c r="FS87" s="35"/>
      <c r="FT87" s="35"/>
      <c r="FU87" s="35"/>
      <c r="FV87" s="35"/>
      <c r="FW87" s="35"/>
      <c r="FX87" s="35"/>
      <c r="FY87" s="35"/>
      <c r="FZ87" s="35"/>
      <c r="GA87" s="35"/>
      <c r="GB87" s="35"/>
      <c r="GC87" s="35"/>
      <c r="GD87" s="35"/>
      <c r="GE87" s="35"/>
      <c r="GF87" s="35"/>
      <c r="GG87" s="35"/>
      <c r="GH87" s="35"/>
      <c r="GI87" s="35"/>
      <c r="GJ87" s="35"/>
      <c r="GK87" s="35"/>
      <c r="GL87" s="35"/>
      <c r="GM87" s="35"/>
      <c r="GN87" s="35"/>
      <c r="GO87" s="35"/>
      <c r="GP87" s="35"/>
      <c r="GQ87" s="35"/>
      <c r="GR87" s="35"/>
      <c r="GS87" s="35"/>
      <c r="GT87" s="35"/>
      <c r="GU87" s="35">
        <v>60.3</v>
      </c>
      <c r="GV87" s="35">
        <v>18.5</v>
      </c>
      <c r="GW87" s="35">
        <v>0</v>
      </c>
      <c r="GX87" s="35">
        <v>0.3</v>
      </c>
      <c r="GY87" s="35">
        <v>11.3</v>
      </c>
      <c r="GZ87" s="35">
        <v>10.4</v>
      </c>
      <c r="HA87" s="35">
        <v>5.3</v>
      </c>
      <c r="HB87" s="35">
        <v>2.4</v>
      </c>
      <c r="HC87">
        <v>0.3</v>
      </c>
      <c r="HD87">
        <v>0</v>
      </c>
      <c r="HE87">
        <v>0</v>
      </c>
    </row>
    <row r="88" spans="1:214" ht="19.399999999999999" customHeight="1" x14ac:dyDescent="0.35">
      <c r="A88" s="35" t="s">
        <v>2207</v>
      </c>
      <c r="B88" s="35">
        <v>27088</v>
      </c>
      <c r="C88" s="35">
        <v>34148</v>
      </c>
      <c r="D88" s="35">
        <v>31952</v>
      </c>
      <c r="E88" s="35">
        <v>32332</v>
      </c>
      <c r="F88" s="35">
        <v>32820</v>
      </c>
      <c r="G88" s="35">
        <v>38700</v>
      </c>
      <c r="H88" s="35">
        <v>37216</v>
      </c>
      <c r="I88" s="35">
        <v>37732</v>
      </c>
      <c r="J88" s="35">
        <v>38284</v>
      </c>
      <c r="K88" s="35">
        <v>38748</v>
      </c>
      <c r="L88" s="35">
        <v>39284</v>
      </c>
      <c r="M88" s="35">
        <v>47476</v>
      </c>
      <c r="N88" s="35">
        <v>49096</v>
      </c>
      <c r="O88" s="35">
        <v>50332</v>
      </c>
      <c r="P88" s="35">
        <v>51216</v>
      </c>
      <c r="Q88" s="35">
        <v>52016</v>
      </c>
      <c r="R88" s="35">
        <v>52464</v>
      </c>
      <c r="S88" s="35">
        <v>56916</v>
      </c>
      <c r="T88" s="35">
        <v>59804</v>
      </c>
      <c r="U88" s="35">
        <v>61244</v>
      </c>
      <c r="V88" s="35">
        <v>62000</v>
      </c>
      <c r="W88" s="35">
        <v>62888</v>
      </c>
      <c r="X88" s="35">
        <v>69012</v>
      </c>
      <c r="Y88" s="35">
        <v>69680</v>
      </c>
      <c r="Z88" s="35">
        <v>70960</v>
      </c>
      <c r="AA88" s="35">
        <v>71416</v>
      </c>
      <c r="AB88" s="35">
        <v>76996</v>
      </c>
      <c r="AC88" s="35">
        <v>78632</v>
      </c>
      <c r="AD88" s="35">
        <v>79228</v>
      </c>
      <c r="AE88" s="35">
        <v>80364</v>
      </c>
      <c r="AF88" s="35">
        <v>86256</v>
      </c>
      <c r="AG88" s="35">
        <v>87108</v>
      </c>
      <c r="AH88" s="35">
        <v>87776</v>
      </c>
      <c r="AI88" s="35">
        <v>87912</v>
      </c>
      <c r="AJ88" s="35">
        <v>94276</v>
      </c>
      <c r="AK88" s="35">
        <v>95556</v>
      </c>
      <c r="AL88" s="35">
        <v>96528</v>
      </c>
      <c r="AM88" s="35">
        <v>97848</v>
      </c>
      <c r="AN88" s="35">
        <v>107624</v>
      </c>
      <c r="AO88" s="35">
        <v>108324</v>
      </c>
      <c r="AP88" s="35">
        <v>109348</v>
      </c>
      <c r="AQ88" s="35">
        <v>109988</v>
      </c>
      <c r="AR88" s="35">
        <v>126932</v>
      </c>
      <c r="AS88" s="35">
        <v>128076</v>
      </c>
      <c r="AT88" s="35">
        <v>130716</v>
      </c>
      <c r="AU88" s="35">
        <v>131096</v>
      </c>
      <c r="AV88" s="35">
        <v>146284</v>
      </c>
      <c r="AW88" s="35">
        <v>146480</v>
      </c>
      <c r="AX88" s="35">
        <v>146772</v>
      </c>
      <c r="AY88" s="35">
        <v>147528</v>
      </c>
      <c r="AZ88" s="35">
        <v>157636</v>
      </c>
      <c r="BA88" s="35">
        <v>162896</v>
      </c>
      <c r="BB88" s="35">
        <v>162144</v>
      </c>
      <c r="BC88" s="35">
        <v>164008</v>
      </c>
      <c r="BD88" s="35">
        <v>163980</v>
      </c>
      <c r="BE88" s="35">
        <v>167572</v>
      </c>
      <c r="BF88" s="35">
        <v>170936</v>
      </c>
      <c r="BG88" s="35">
        <v>172680</v>
      </c>
      <c r="BH88" s="35">
        <v>172444</v>
      </c>
      <c r="BI88" s="35">
        <v>176048</v>
      </c>
      <c r="BJ88" s="35">
        <v>181540</v>
      </c>
      <c r="BK88" s="35">
        <v>181976</v>
      </c>
      <c r="BL88" s="35">
        <v>185252</v>
      </c>
      <c r="BM88" s="35">
        <v>184332</v>
      </c>
      <c r="BN88" s="35">
        <v>191100</v>
      </c>
      <c r="BO88" s="35">
        <v>192104</v>
      </c>
      <c r="BP88" s="35">
        <v>195880</v>
      </c>
      <c r="BQ88" s="35">
        <v>195440</v>
      </c>
      <c r="BR88" s="35">
        <v>198912</v>
      </c>
      <c r="BS88" s="35">
        <v>201652</v>
      </c>
      <c r="BT88" s="35">
        <v>201436</v>
      </c>
      <c r="BU88" s="35">
        <v>201980</v>
      </c>
      <c r="BV88" s="35">
        <v>213484</v>
      </c>
      <c r="BW88" s="35">
        <v>213536</v>
      </c>
      <c r="BX88" s="35">
        <v>214156</v>
      </c>
      <c r="BY88" s="35">
        <v>214488</v>
      </c>
      <c r="BZ88" s="35">
        <v>225904</v>
      </c>
      <c r="CA88" s="35">
        <v>226768</v>
      </c>
      <c r="CB88" s="35">
        <v>227804</v>
      </c>
      <c r="CC88" s="35">
        <v>229044</v>
      </c>
      <c r="CD88" s="35">
        <v>241024</v>
      </c>
      <c r="CE88" s="35">
        <v>243792</v>
      </c>
      <c r="CF88" s="35">
        <v>244712</v>
      </c>
      <c r="CG88" s="35">
        <v>247012</v>
      </c>
      <c r="CH88" s="35">
        <v>261292</v>
      </c>
      <c r="CI88" s="35">
        <v>263620</v>
      </c>
      <c r="CJ88" s="35">
        <v>265076</v>
      </c>
      <c r="CK88" s="35">
        <v>266828</v>
      </c>
      <c r="CL88" s="35">
        <v>278568</v>
      </c>
      <c r="CM88" s="35">
        <v>281744</v>
      </c>
      <c r="CN88" s="35">
        <v>282848</v>
      </c>
      <c r="CO88" s="35">
        <v>283944</v>
      </c>
      <c r="CP88" s="35">
        <v>295568</v>
      </c>
      <c r="CQ88" s="35">
        <v>297064</v>
      </c>
      <c r="CR88" s="35">
        <v>298552</v>
      </c>
      <c r="CS88" s="35">
        <v>300556</v>
      </c>
      <c r="CT88" s="35">
        <v>308800</v>
      </c>
      <c r="CU88" s="35">
        <v>311776</v>
      </c>
      <c r="CV88" s="35">
        <v>312956</v>
      </c>
      <c r="CW88" s="35">
        <v>315112</v>
      </c>
      <c r="CX88" s="35">
        <v>324784</v>
      </c>
      <c r="CY88" s="35">
        <v>327504</v>
      </c>
      <c r="CZ88" s="35">
        <v>328632</v>
      </c>
      <c r="DA88" s="35">
        <v>329780</v>
      </c>
      <c r="DB88" s="35">
        <v>339100</v>
      </c>
      <c r="DC88" s="35">
        <v>341412</v>
      </c>
      <c r="DD88" s="35">
        <v>342632</v>
      </c>
      <c r="DE88" s="35">
        <v>344876</v>
      </c>
      <c r="DF88" s="35">
        <v>353920</v>
      </c>
      <c r="DG88" s="35">
        <v>355872</v>
      </c>
      <c r="DH88" s="35">
        <v>357524</v>
      </c>
      <c r="DI88" s="35">
        <v>359052</v>
      </c>
      <c r="DJ88" s="35">
        <v>366632</v>
      </c>
      <c r="DK88" s="35">
        <v>368208</v>
      </c>
      <c r="DL88" s="35">
        <v>370704</v>
      </c>
      <c r="DM88" s="35">
        <v>371184</v>
      </c>
      <c r="DN88" s="35">
        <v>376964</v>
      </c>
      <c r="DO88" s="35">
        <v>378944</v>
      </c>
      <c r="DP88" s="35">
        <v>380800</v>
      </c>
      <c r="DQ88" s="35">
        <v>382748</v>
      </c>
      <c r="DR88" s="35">
        <v>392512</v>
      </c>
      <c r="DS88" s="35">
        <v>404664</v>
      </c>
      <c r="DT88" s="35">
        <v>403872</v>
      </c>
      <c r="DU88" s="35">
        <v>404524</v>
      </c>
      <c r="DV88" s="35">
        <v>420812</v>
      </c>
      <c r="DW88" s="35">
        <v>422668</v>
      </c>
      <c r="DX88" s="35">
        <v>428384</v>
      </c>
      <c r="DY88" s="35">
        <v>428472</v>
      </c>
      <c r="DZ88" s="35">
        <v>442872</v>
      </c>
      <c r="EA88" s="35">
        <v>445487</v>
      </c>
      <c r="EB88" s="35">
        <v>448080</v>
      </c>
      <c r="EC88" s="35">
        <v>451196</v>
      </c>
      <c r="ED88" s="35">
        <v>458142</v>
      </c>
      <c r="EE88" s="35">
        <v>463083</v>
      </c>
      <c r="EF88" s="35">
        <v>464765</v>
      </c>
      <c r="EG88" s="35">
        <v>468133</v>
      </c>
      <c r="EH88" s="35">
        <v>479685</v>
      </c>
      <c r="EI88" s="35">
        <v>484798</v>
      </c>
      <c r="EJ88" s="35">
        <v>486184</v>
      </c>
      <c r="EK88" s="35">
        <v>491380</v>
      </c>
      <c r="EL88" s="35">
        <v>506486</v>
      </c>
      <c r="EM88" s="35">
        <v>512872</v>
      </c>
      <c r="EN88" s="35">
        <v>514043</v>
      </c>
      <c r="EO88" s="35">
        <v>517512</v>
      </c>
      <c r="EP88" s="35">
        <v>538042</v>
      </c>
      <c r="EQ88" s="35">
        <v>543660</v>
      </c>
      <c r="ER88" s="35">
        <v>546105</v>
      </c>
      <c r="ES88" s="35">
        <v>548576</v>
      </c>
      <c r="ET88" s="35">
        <v>568277</v>
      </c>
      <c r="EU88" s="35">
        <v>575021</v>
      </c>
      <c r="EV88" s="35">
        <v>578227</v>
      </c>
      <c r="EW88" s="35">
        <v>581089</v>
      </c>
      <c r="EX88" s="35">
        <v>597326</v>
      </c>
      <c r="EY88" s="35">
        <v>602859</v>
      </c>
      <c r="EZ88" s="35">
        <v>608868</v>
      </c>
      <c r="FA88" s="35">
        <v>613115</v>
      </c>
      <c r="FB88" s="35">
        <v>651871</v>
      </c>
      <c r="FC88" s="35">
        <v>662422</v>
      </c>
      <c r="FD88" s="35">
        <v>667932</v>
      </c>
      <c r="FE88" s="35">
        <v>675654</v>
      </c>
      <c r="FF88" s="35">
        <v>678854</v>
      </c>
      <c r="FG88" s="35">
        <v>689251</v>
      </c>
      <c r="FH88" s="35">
        <v>693594</v>
      </c>
      <c r="FI88" s="35">
        <v>698996</v>
      </c>
      <c r="FJ88" s="35">
        <v>703143</v>
      </c>
      <c r="FK88" s="35">
        <v>712039</v>
      </c>
      <c r="FL88" s="35">
        <v>716021</v>
      </c>
      <c r="FM88" s="35">
        <v>721840</v>
      </c>
      <c r="FN88" s="35">
        <v>753212</v>
      </c>
      <c r="FO88" s="35">
        <v>759410</v>
      </c>
      <c r="FP88" s="35">
        <v>765124</v>
      </c>
      <c r="FQ88" s="35">
        <v>770811</v>
      </c>
      <c r="FR88" s="35">
        <v>789992</v>
      </c>
      <c r="FS88" s="35">
        <v>795240</v>
      </c>
      <c r="FT88" s="35">
        <v>802336</v>
      </c>
      <c r="FU88" s="35">
        <v>808608</v>
      </c>
      <c r="FV88" s="35">
        <v>824825</v>
      </c>
      <c r="FW88" s="35">
        <v>831664</v>
      </c>
      <c r="FX88" s="35">
        <v>836478</v>
      </c>
      <c r="FY88" s="35">
        <v>845592</v>
      </c>
      <c r="FZ88" s="35">
        <v>861827</v>
      </c>
      <c r="GA88" s="35">
        <v>868501</v>
      </c>
      <c r="GB88" s="35">
        <v>873921</v>
      </c>
      <c r="GC88" s="35">
        <v>882925</v>
      </c>
      <c r="GD88" s="35">
        <v>886054</v>
      </c>
      <c r="GE88" s="35">
        <v>893200</v>
      </c>
      <c r="GF88" s="35">
        <v>899396</v>
      </c>
      <c r="GG88" s="35">
        <v>907237</v>
      </c>
      <c r="GH88" s="35">
        <v>916306</v>
      </c>
      <c r="GI88" s="35">
        <v>922033</v>
      </c>
      <c r="GJ88" s="35">
        <v>929279</v>
      </c>
      <c r="GK88" s="35">
        <v>936668</v>
      </c>
      <c r="GL88" s="35">
        <v>960827</v>
      </c>
      <c r="GM88" s="35">
        <v>968287</v>
      </c>
      <c r="GN88" s="35">
        <v>976649</v>
      </c>
      <c r="GO88" s="35">
        <v>983886</v>
      </c>
      <c r="GP88" s="35">
        <v>1019209</v>
      </c>
      <c r="GQ88" s="35">
        <v>1026622</v>
      </c>
      <c r="GR88" s="35">
        <v>1034357</v>
      </c>
      <c r="GS88" s="35">
        <v>1042782</v>
      </c>
      <c r="GT88" s="35">
        <v>1068228</v>
      </c>
      <c r="GU88" s="35">
        <v>1074912</v>
      </c>
      <c r="GV88" s="35">
        <v>1080340</v>
      </c>
      <c r="GW88" s="35">
        <v>1088233</v>
      </c>
      <c r="GX88" s="35">
        <v>1105676</v>
      </c>
      <c r="GY88" s="35">
        <v>1109371</v>
      </c>
      <c r="GZ88" s="35">
        <v>1116815</v>
      </c>
      <c r="HA88" s="35">
        <v>1126539</v>
      </c>
      <c r="HB88" s="35">
        <v>1198712</v>
      </c>
      <c r="HC88">
        <v>1206892</v>
      </c>
      <c r="HD88">
        <v>1214637</v>
      </c>
      <c r="HE88">
        <v>1225640</v>
      </c>
      <c r="HF88">
        <v>1338680</v>
      </c>
    </row>
    <row r="89" spans="1:214" x14ac:dyDescent="0.35">
      <c r="A89" s="35" t="s">
        <v>2208</v>
      </c>
      <c r="B89" s="35"/>
      <c r="C89" s="35"/>
      <c r="D89" s="35"/>
      <c r="E89" s="35"/>
      <c r="F89" s="35"/>
      <c r="G89" s="35"/>
      <c r="H89" s="35"/>
      <c r="I89" s="35"/>
      <c r="J89" s="35"/>
      <c r="K89" s="35"/>
      <c r="L89" s="35"/>
      <c r="M89" s="35"/>
      <c r="N89" s="35"/>
      <c r="O89" s="35"/>
      <c r="P89" s="35"/>
      <c r="Q89" s="35"/>
      <c r="R89" s="35"/>
      <c r="S89" s="35"/>
      <c r="T89" s="35"/>
      <c r="U89" s="35"/>
      <c r="V89" s="35"/>
      <c r="W89" s="35"/>
      <c r="X89" s="35"/>
      <c r="Y89" s="35"/>
      <c r="Z89" s="35"/>
      <c r="AA89" s="35"/>
      <c r="AB89" s="35"/>
      <c r="AC89" s="35"/>
      <c r="AD89" s="35"/>
      <c r="AE89" s="35"/>
      <c r="AF89" s="35"/>
      <c r="AG89" s="35"/>
      <c r="AH89" s="35"/>
      <c r="AI89" s="35"/>
      <c r="AJ89" s="35"/>
      <c r="AK89" s="35"/>
      <c r="AL89" s="35"/>
      <c r="AM89" s="35"/>
      <c r="AN89" s="35"/>
      <c r="AO89" s="35"/>
      <c r="AP89" s="35"/>
      <c r="AQ89" s="35"/>
      <c r="AR89" s="35"/>
      <c r="AS89" s="35"/>
      <c r="AT89" s="35"/>
      <c r="AU89" s="35"/>
      <c r="AV89" s="35"/>
      <c r="AW89" s="35"/>
      <c r="AX89" s="35"/>
      <c r="AY89" s="35"/>
      <c r="AZ89" s="35"/>
      <c r="BA89" s="35"/>
      <c r="BB89" s="35"/>
      <c r="BC89" s="35"/>
      <c r="BD89" s="35"/>
      <c r="BE89" s="35"/>
      <c r="BF89" s="35"/>
      <c r="BG89" s="35"/>
      <c r="BH89" s="35"/>
      <c r="BI89" s="35"/>
      <c r="BJ89" s="35"/>
      <c r="BK89" s="35"/>
      <c r="BL89" s="35"/>
      <c r="BM89" s="35"/>
      <c r="BN89" s="35"/>
      <c r="BO89" s="35"/>
      <c r="BP89" s="35"/>
      <c r="BQ89" s="35"/>
      <c r="BR89" s="35"/>
      <c r="BS89" s="35"/>
      <c r="BT89" s="35"/>
      <c r="BU89" s="35"/>
      <c r="BV89" s="35"/>
      <c r="BW89" s="35"/>
      <c r="BX89" s="35"/>
      <c r="BY89" s="35"/>
      <c r="BZ89" s="35"/>
      <c r="CA89" s="35"/>
      <c r="CB89" s="35"/>
      <c r="CC89" s="35"/>
      <c r="CD89" s="35"/>
      <c r="CE89" s="35"/>
      <c r="CF89" s="35"/>
      <c r="CG89" s="35"/>
      <c r="CH89" s="35"/>
      <c r="CI89" s="35"/>
      <c r="CJ89" s="35"/>
      <c r="CK89" s="35"/>
      <c r="CL89" s="35"/>
      <c r="CM89" s="35"/>
      <c r="CN89" s="35"/>
      <c r="CO89" s="35"/>
      <c r="CP89" s="35"/>
      <c r="CQ89" s="35"/>
      <c r="CR89" s="35"/>
      <c r="CS89" s="35"/>
      <c r="CT89" s="35"/>
      <c r="CU89" s="35"/>
      <c r="CV89" s="35"/>
      <c r="CW89" s="35"/>
      <c r="CX89" s="35"/>
      <c r="CY89" s="35"/>
      <c r="CZ89" s="35"/>
      <c r="DA89" s="35"/>
      <c r="DB89" s="35"/>
      <c r="DC89" s="35"/>
      <c r="DD89" s="35"/>
      <c r="DE89" s="35"/>
      <c r="DF89" s="35"/>
      <c r="DG89" s="35"/>
      <c r="DH89" s="35"/>
      <c r="DI89" s="35"/>
      <c r="DJ89" s="35"/>
      <c r="DK89" s="35"/>
      <c r="DL89" s="35"/>
      <c r="DM89" s="35"/>
      <c r="DN89" s="35"/>
      <c r="DO89" s="35"/>
      <c r="DP89" s="35"/>
      <c r="DQ89" s="35"/>
      <c r="DR89" s="35"/>
      <c r="DS89" s="35"/>
      <c r="DT89" s="35"/>
      <c r="DU89" s="35"/>
      <c r="DV89" s="35"/>
      <c r="DW89" s="35"/>
      <c r="DX89" s="35"/>
      <c r="DY89" s="35"/>
      <c r="DZ89" s="35"/>
      <c r="EA89" s="35"/>
      <c r="EB89" s="35"/>
      <c r="EC89" s="35"/>
      <c r="ED89" s="35"/>
      <c r="EE89" s="35"/>
      <c r="EF89" s="35"/>
      <c r="EG89" s="35"/>
      <c r="EH89" s="35"/>
      <c r="EI89" s="35"/>
      <c r="EJ89" s="35"/>
      <c r="EK89" s="35"/>
      <c r="EL89" s="35"/>
      <c r="EM89" s="35"/>
      <c r="EN89" s="35"/>
      <c r="EO89" s="35"/>
      <c r="EP89" s="35"/>
      <c r="EQ89" s="35"/>
      <c r="ER89" s="35"/>
      <c r="ES89" s="35"/>
      <c r="ET89" s="35"/>
      <c r="EU89" s="35"/>
      <c r="EV89" s="35"/>
      <c r="EW89" s="35"/>
      <c r="EX89" s="35"/>
      <c r="EY89" s="35"/>
      <c r="EZ89" s="35"/>
      <c r="FA89" s="35"/>
      <c r="FB89" s="35"/>
      <c r="FC89" s="35"/>
      <c r="FD89" s="35"/>
      <c r="FE89" s="35"/>
      <c r="FF89" s="35"/>
      <c r="FG89" s="35"/>
      <c r="FH89" s="35"/>
      <c r="FI89" s="35"/>
      <c r="FJ89" s="35"/>
      <c r="FK89" s="35"/>
      <c r="FL89" s="35"/>
      <c r="FM89" s="35"/>
      <c r="FN89" s="35"/>
      <c r="FO89" s="35"/>
      <c r="FP89" s="35"/>
      <c r="FQ89" s="35"/>
      <c r="FR89" s="35"/>
      <c r="FS89" s="35"/>
      <c r="FT89" s="35"/>
      <c r="FU89" s="35"/>
      <c r="FV89" s="35"/>
      <c r="FW89" s="35"/>
      <c r="FX89" s="35"/>
      <c r="FY89" s="35"/>
      <c r="FZ89" s="35"/>
      <c r="GA89" s="35"/>
      <c r="GB89" s="35"/>
      <c r="GC89" s="35"/>
      <c r="GD89" s="35"/>
      <c r="GE89" s="35"/>
      <c r="GF89" s="35"/>
      <c r="GG89" s="35"/>
      <c r="GH89" s="35"/>
      <c r="GI89" s="35"/>
      <c r="GJ89" s="35"/>
      <c r="GK89" s="35"/>
      <c r="GL89" s="35"/>
      <c r="GM89" s="35"/>
      <c r="GN89" s="35"/>
      <c r="GO89" s="35"/>
      <c r="GP89" s="35"/>
      <c r="GQ89" s="35"/>
      <c r="GR89" s="35"/>
      <c r="GS89" s="35"/>
      <c r="GT89" s="35"/>
      <c r="GU89" s="35"/>
      <c r="GV89" s="35"/>
      <c r="GW89" s="35"/>
      <c r="GX89" s="35">
        <v>34.4</v>
      </c>
      <c r="GY89" s="35">
        <v>34.4</v>
      </c>
      <c r="GZ89" s="35">
        <v>218.933333333333</v>
      </c>
      <c r="HA89" s="35">
        <v>223.13333333333301</v>
      </c>
      <c r="HB89" s="35">
        <v>94.3</v>
      </c>
      <c r="HC89">
        <v>94.3</v>
      </c>
      <c r="HD89">
        <v>94.3</v>
      </c>
      <c r="HE89">
        <v>94.3</v>
      </c>
    </row>
  </sheetData>
  <pageMargins left="0.7" right="0.7" top="0.75" bottom="0.75" header="0.3" footer="0.3"/>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81"/>
  <sheetViews>
    <sheetView topLeftCell="A87" zoomScale="109" workbookViewId="0">
      <selection activeCell="E95" sqref="E95"/>
    </sheetView>
  </sheetViews>
  <sheetFormatPr defaultColWidth="11.453125" defaultRowHeight="14.5" x14ac:dyDescent="0.35"/>
  <cols>
    <col min="1" max="1" width="15.1796875" customWidth="1"/>
    <col min="2" max="2" width="28.453125" customWidth="1"/>
    <col min="3" max="3" width="25.1796875" customWidth="1"/>
    <col min="4" max="4" width="11.1796875" customWidth="1"/>
    <col min="5" max="5" width="15.1796875" customWidth="1"/>
    <col min="6" max="6" width="12.453125" customWidth="1"/>
    <col min="7" max="7" width="11.81640625" customWidth="1"/>
  </cols>
  <sheetData>
    <row r="1" spans="1:11" x14ac:dyDescent="0.35">
      <c r="A1" s="60" t="s">
        <v>85</v>
      </c>
      <c r="B1" s="60" t="s">
        <v>86</v>
      </c>
      <c r="C1" s="60" t="s">
        <v>87</v>
      </c>
      <c r="D1" s="60" t="s">
        <v>88</v>
      </c>
      <c r="E1" s="60" t="s">
        <v>89</v>
      </c>
      <c r="F1" s="60" t="s">
        <v>90</v>
      </c>
    </row>
    <row r="2" spans="1:11" x14ac:dyDescent="0.35">
      <c r="C2" s="56" t="str">
        <f>'Haver Pivoted'!A1</f>
        <v>name</v>
      </c>
      <c r="D2" s="61" t="s">
        <v>2212</v>
      </c>
      <c r="E2" s="61" t="s">
        <v>1897</v>
      </c>
      <c r="F2" s="61"/>
      <c r="H2" s="62"/>
    </row>
    <row r="3" spans="1:11" x14ac:dyDescent="0.35">
      <c r="B3" s="56" t="s">
        <v>91</v>
      </c>
      <c r="C3" s="56" t="str">
        <f>'Haver Pivoted'!A2</f>
        <v>gdp</v>
      </c>
      <c r="D3">
        <v>26138</v>
      </c>
      <c r="E3" s="56">
        <f>'Haver Pivoted'!HF2</f>
        <v>26465.9</v>
      </c>
      <c r="F3" s="56">
        <f>E3-D3</f>
        <v>327.90000000000146</v>
      </c>
      <c r="G3" s="63">
        <f>F3/D3</f>
        <v>1.2544953707246211E-2</v>
      </c>
      <c r="H3" s="64"/>
    </row>
    <row r="4" spans="1:11" x14ac:dyDescent="0.35">
      <c r="B4" s="56" t="s">
        <v>92</v>
      </c>
      <c r="C4" s="56" t="str">
        <f>'Haver Pivoted'!A3</f>
        <v>gdph</v>
      </c>
      <c r="D4">
        <v>20182.5</v>
      </c>
      <c r="E4" s="56">
        <f>'Haver Pivoted'!HF3</f>
        <v>20235.900000000001</v>
      </c>
      <c r="F4" s="56">
        <f t="shared" ref="F4:F67" si="0">E4-D4</f>
        <v>53.400000000001455</v>
      </c>
      <c r="G4" s="63">
        <f t="shared" ref="G4:G67" si="1">F4/D4</f>
        <v>2.6458565589001092E-3</v>
      </c>
      <c r="H4" s="64"/>
    </row>
    <row r="5" spans="1:11" x14ac:dyDescent="0.35">
      <c r="B5" s="56" t="s">
        <v>93</v>
      </c>
      <c r="C5" s="56" t="str">
        <f>'Haver Pivoted'!A4</f>
        <v>jgdp</v>
      </c>
      <c r="D5">
        <v>129.50200000000001</v>
      </c>
      <c r="E5" s="56">
        <f>'Haver Pivoted'!HF4</f>
        <v>130.79300000000001</v>
      </c>
      <c r="F5" s="56">
        <f t="shared" si="0"/>
        <v>1.2909999999999968</v>
      </c>
      <c r="G5" s="63">
        <f t="shared" si="1"/>
        <v>9.9689580083705022E-3</v>
      </c>
      <c r="H5" s="65"/>
    </row>
    <row r="6" spans="1:11" x14ac:dyDescent="0.35">
      <c r="B6" s="56" t="s">
        <v>94</v>
      </c>
      <c r="C6" s="56" t="str">
        <f>'Haver Pivoted'!A5</f>
        <v>c</v>
      </c>
      <c r="D6">
        <v>17749.900000000001</v>
      </c>
      <c r="E6" s="56">
        <f>'Haver Pivoted'!HF5</f>
        <v>18095.3</v>
      </c>
      <c r="F6" s="56">
        <f t="shared" si="0"/>
        <v>345.39999999999782</v>
      </c>
      <c r="G6" s="63">
        <f t="shared" si="1"/>
        <v>1.9459264559236827E-2</v>
      </c>
    </row>
    <row r="7" spans="1:11" x14ac:dyDescent="0.35">
      <c r="B7" s="56" t="s">
        <v>95</v>
      </c>
      <c r="C7" s="56" t="str">
        <f>'Haver Pivoted'!A6</f>
        <v>ch</v>
      </c>
      <c r="D7">
        <v>14214.9</v>
      </c>
      <c r="E7" s="56">
        <f>'Haver Pivoted'!HF6</f>
        <v>14344.5</v>
      </c>
      <c r="F7" s="56">
        <f t="shared" si="0"/>
        <v>129.60000000000036</v>
      </c>
      <c r="G7" s="63">
        <f t="shared" si="1"/>
        <v>9.1171939303125848E-3</v>
      </c>
      <c r="K7" s="65"/>
    </row>
    <row r="8" spans="1:11" x14ac:dyDescent="0.35">
      <c r="B8" s="56" t="s">
        <v>96</v>
      </c>
      <c r="C8" s="56" t="str">
        <f>'Haver Pivoted'!A7</f>
        <v>jc</v>
      </c>
      <c r="D8">
        <v>124.902</v>
      </c>
      <c r="E8" s="56">
        <f>'Haver Pivoted'!HF7</f>
        <v>126.182</v>
      </c>
      <c r="F8" s="56">
        <f t="shared" si="0"/>
        <v>1.2800000000000011</v>
      </c>
      <c r="G8" s="63">
        <f t="shared" si="1"/>
        <v>1.0248034459015877E-2</v>
      </c>
    </row>
    <row r="9" spans="1:11" x14ac:dyDescent="0.35">
      <c r="B9" s="56" t="s">
        <v>97</v>
      </c>
      <c r="C9" s="56" t="str">
        <f>'Haver Pivoted'!A8</f>
        <v>jgf</v>
      </c>
      <c r="D9">
        <v>123.336</v>
      </c>
      <c r="E9" s="56">
        <f>'Haver Pivoted'!HF8</f>
        <v>124.324</v>
      </c>
      <c r="F9" s="56">
        <f t="shared" si="0"/>
        <v>0.98799999999999955</v>
      </c>
      <c r="G9" s="63">
        <f t="shared" si="1"/>
        <v>8.0106376078355034E-3</v>
      </c>
    </row>
    <row r="10" spans="1:11" x14ac:dyDescent="0.35">
      <c r="B10" s="56" t="s">
        <v>98</v>
      </c>
      <c r="C10" s="56" t="str">
        <f>'Haver Pivoted'!A9</f>
        <v>jgs</v>
      </c>
      <c r="D10">
        <v>139.232</v>
      </c>
      <c r="E10" s="56">
        <f>'Haver Pivoted'!HF9</f>
        <v>139.43199999999999</v>
      </c>
      <c r="F10" s="56">
        <f t="shared" si="0"/>
        <v>0.19999999999998863</v>
      </c>
      <c r="G10" s="63">
        <f t="shared" si="1"/>
        <v>1.4364513904848643E-3</v>
      </c>
    </row>
    <row r="11" spans="1:11" x14ac:dyDescent="0.35">
      <c r="B11" s="56" t="s">
        <v>99</v>
      </c>
      <c r="C11" s="56" t="str">
        <f>'Haver Pivoted'!A10</f>
        <v>jgse</v>
      </c>
      <c r="D11">
        <v>138.524</v>
      </c>
      <c r="E11" s="56">
        <f>'Haver Pivoted'!HF10</f>
        <v>138.44300000000001</v>
      </c>
      <c r="F11" s="56">
        <f t="shared" si="0"/>
        <v>-8.0999999999988859E-2</v>
      </c>
      <c r="G11" s="63">
        <f t="shared" si="1"/>
        <v>-5.8473621899446198E-4</v>
      </c>
    </row>
    <row r="12" spans="1:11" x14ac:dyDescent="0.35">
      <c r="B12" s="56" t="s">
        <v>100</v>
      </c>
      <c r="C12" s="56" t="str">
        <f>'Haver Pivoted'!A11</f>
        <v>jgsi</v>
      </c>
      <c r="D12">
        <v>142.715</v>
      </c>
      <c r="E12" s="56">
        <f>'Haver Pivoted'!HF11</f>
        <v>144.28899999999999</v>
      </c>
      <c r="F12" s="56">
        <f t="shared" si="0"/>
        <v>1.5739999999999839</v>
      </c>
      <c r="G12" s="63">
        <f t="shared" si="1"/>
        <v>1.1028973828959702E-2</v>
      </c>
    </row>
    <row r="13" spans="1:11" x14ac:dyDescent="0.35">
      <c r="A13" s="56" t="s">
        <v>55</v>
      </c>
      <c r="B13" s="56" t="s">
        <v>55</v>
      </c>
      <c r="C13" s="56" t="str">
        <f>'Haver Pivoted'!A12</f>
        <v>yptmr</v>
      </c>
      <c r="D13">
        <v>941.6</v>
      </c>
      <c r="E13" s="56">
        <f>'Haver Pivoted'!HF12</f>
        <v>966.5</v>
      </c>
      <c r="F13" s="56">
        <f t="shared" si="0"/>
        <v>24.899999999999977</v>
      </c>
      <c r="G13" s="63">
        <f t="shared" si="1"/>
        <v>2.6444350042480858E-2</v>
      </c>
      <c r="I13" s="66"/>
    </row>
    <row r="14" spans="1:11" x14ac:dyDescent="0.35">
      <c r="A14" s="56" t="s">
        <v>54</v>
      </c>
      <c r="B14" s="56" t="s">
        <v>101</v>
      </c>
      <c r="C14" s="56" t="str">
        <f>'Haver Pivoted'!A13</f>
        <v>yptmd</v>
      </c>
      <c r="D14">
        <v>796.2</v>
      </c>
      <c r="E14" s="56">
        <f>'Haver Pivoted'!HF13</f>
        <v>813.1</v>
      </c>
      <c r="F14" s="56">
        <f t="shared" si="0"/>
        <v>16.899999999999977</v>
      </c>
      <c r="G14" s="63">
        <f t="shared" si="1"/>
        <v>2.1225822657623683E-2</v>
      </c>
    </row>
    <row r="15" spans="1:11" x14ac:dyDescent="0.35">
      <c r="A15" s="56" t="s">
        <v>53</v>
      </c>
      <c r="B15" s="56" t="s">
        <v>102</v>
      </c>
      <c r="C15" s="56" t="str">
        <f>'Haver Pivoted'!A14</f>
        <v>yptu</v>
      </c>
      <c r="D15">
        <v>20.399999999999999</v>
      </c>
      <c r="E15" s="56">
        <f>'Haver Pivoted'!HF14</f>
        <v>22.8</v>
      </c>
      <c r="F15" s="56">
        <f t="shared" si="0"/>
        <v>2.4000000000000021</v>
      </c>
      <c r="G15" s="63">
        <f t="shared" si="1"/>
        <v>0.11764705882352952</v>
      </c>
    </row>
    <row r="16" spans="1:11" x14ac:dyDescent="0.35">
      <c r="B16" s="56" t="s">
        <v>57</v>
      </c>
      <c r="C16" s="56" t="str">
        <f>'Haver Pivoted'!A15</f>
        <v>gtfp</v>
      </c>
      <c r="D16">
        <v>3928.7</v>
      </c>
      <c r="E16" s="56">
        <f>'Haver Pivoted'!HF15</f>
        <v>3966.4</v>
      </c>
      <c r="F16" s="56">
        <f t="shared" si="0"/>
        <v>37.700000000000273</v>
      </c>
      <c r="G16" s="63">
        <f t="shared" si="1"/>
        <v>9.5960495838318723E-3</v>
      </c>
    </row>
    <row r="17" spans="1:7" x14ac:dyDescent="0.35">
      <c r="B17" s="56" t="s">
        <v>103</v>
      </c>
      <c r="C17" s="56" t="str">
        <f>'Haver Pivoted'!A16</f>
        <v>ypog</v>
      </c>
      <c r="D17">
        <v>117</v>
      </c>
      <c r="E17" s="56">
        <f>'Haver Pivoted'!HF16</f>
        <v>117.8</v>
      </c>
      <c r="F17" s="56">
        <f t="shared" si="0"/>
        <v>0.79999999999999716</v>
      </c>
      <c r="G17" s="63">
        <f t="shared" si="1"/>
        <v>6.8376068376068133E-3</v>
      </c>
    </row>
    <row r="18" spans="1:7" x14ac:dyDescent="0.35">
      <c r="B18" s="56" t="s">
        <v>104</v>
      </c>
      <c r="C18" s="56" t="str">
        <f>'Haver Pivoted'!A17</f>
        <v>yptx</v>
      </c>
      <c r="D18">
        <v>3232.3</v>
      </c>
      <c r="E18" s="56">
        <f>'Haver Pivoted'!HF17</f>
        <v>2940</v>
      </c>
      <c r="F18" s="56">
        <f t="shared" si="0"/>
        <v>-292.30000000000018</v>
      </c>
      <c r="G18" s="63">
        <f t="shared" si="1"/>
        <v>-9.0430962472542828E-2</v>
      </c>
    </row>
    <row r="19" spans="1:7" x14ac:dyDescent="0.35">
      <c r="B19" s="56" t="s">
        <v>105</v>
      </c>
      <c r="C19" s="56" t="str">
        <f>'Haver Pivoted'!A18</f>
        <v>ytpi</v>
      </c>
      <c r="D19">
        <v>1779</v>
      </c>
      <c r="E19" s="56">
        <f>'Haver Pivoted'!HF18</f>
        <v>1793.2</v>
      </c>
      <c r="F19" s="56">
        <f t="shared" si="0"/>
        <v>14.200000000000045</v>
      </c>
      <c r="G19" s="63">
        <f t="shared" si="1"/>
        <v>7.9820123664980577E-3</v>
      </c>
    </row>
    <row r="20" spans="1:7" x14ac:dyDescent="0.35">
      <c r="B20" s="56" t="s">
        <v>106</v>
      </c>
      <c r="C20" s="56" t="str">
        <f>'Haver Pivoted'!A19</f>
        <v>yctlg</v>
      </c>
      <c r="D20">
        <v>449.3</v>
      </c>
      <c r="E20" s="56">
        <f>'Haver Pivoted'!HF19</f>
        <v>0</v>
      </c>
      <c r="F20" s="56">
        <f t="shared" si="0"/>
        <v>-449.3</v>
      </c>
      <c r="G20" s="63">
        <f t="shared" si="1"/>
        <v>-1</v>
      </c>
    </row>
    <row r="21" spans="1:7" x14ac:dyDescent="0.35">
      <c r="B21" s="56" t="s">
        <v>107</v>
      </c>
      <c r="C21" s="56" t="str">
        <f>'Haver Pivoted'!A20</f>
        <v>g</v>
      </c>
      <c r="D21">
        <v>4575.3999999999996</v>
      </c>
      <c r="E21" s="56">
        <f>'Haver Pivoted'!HF20</f>
        <v>4646.1000000000004</v>
      </c>
      <c r="F21" s="56">
        <f t="shared" si="0"/>
        <v>70.700000000000728</v>
      </c>
      <c r="G21" s="63">
        <f t="shared" si="1"/>
        <v>1.5452200900467878E-2</v>
      </c>
    </row>
    <row r="22" spans="1:7" x14ac:dyDescent="0.35">
      <c r="B22" s="56" t="s">
        <v>108</v>
      </c>
      <c r="C22" s="56" t="str">
        <f>'Haver Pivoted'!A21</f>
        <v>grcsi</v>
      </c>
      <c r="D22">
        <v>1727.2</v>
      </c>
      <c r="E22" s="56">
        <f>'Haver Pivoted'!HF21</f>
        <v>1760.7</v>
      </c>
      <c r="F22" s="56">
        <f t="shared" si="0"/>
        <v>33.5</v>
      </c>
      <c r="G22" s="63">
        <f t="shared" si="1"/>
        <v>1.9395553496989345E-2</v>
      </c>
    </row>
    <row r="23" spans="1:7" x14ac:dyDescent="0.35">
      <c r="B23" s="56" t="s">
        <v>96</v>
      </c>
      <c r="C23" s="56" t="str">
        <f>'Haver Pivoted'!A22</f>
        <v>dc</v>
      </c>
      <c r="D23">
        <v>124.869</v>
      </c>
      <c r="E23" s="56">
        <f>'Haver Pivoted'!HF22</f>
        <v>126.148</v>
      </c>
      <c r="F23" s="56">
        <f t="shared" si="0"/>
        <v>1.2789999999999964</v>
      </c>
      <c r="G23" s="63">
        <f t="shared" si="1"/>
        <v>1.0242734385636118E-2</v>
      </c>
    </row>
    <row r="24" spans="1:7" x14ac:dyDescent="0.35">
      <c r="A24" s="56" t="s">
        <v>109</v>
      </c>
      <c r="B24" s="56" t="s">
        <v>110</v>
      </c>
      <c r="C24" s="56" t="str">
        <f>'Haver Pivoted'!A23</f>
        <v>gf</v>
      </c>
      <c r="D24">
        <v>1693.8</v>
      </c>
      <c r="E24" s="56">
        <f>'Haver Pivoted'!HF23</f>
        <v>1739.8</v>
      </c>
      <c r="F24" s="56">
        <f t="shared" si="0"/>
        <v>46</v>
      </c>
      <c r="G24" s="63">
        <f t="shared" si="1"/>
        <v>2.7157869878379974E-2</v>
      </c>
    </row>
    <row r="25" spans="1:7" x14ac:dyDescent="0.35">
      <c r="A25" s="56" t="s">
        <v>109</v>
      </c>
      <c r="B25" s="56" t="s">
        <v>111</v>
      </c>
      <c r="C25" s="56" t="str">
        <f>'Haver Pivoted'!A24</f>
        <v>gs</v>
      </c>
      <c r="D25">
        <v>2881.6</v>
      </c>
      <c r="E25" s="56">
        <f>'Haver Pivoted'!HF24</f>
        <v>2906.3</v>
      </c>
      <c r="F25" s="56">
        <f t="shared" si="0"/>
        <v>24.700000000000273</v>
      </c>
      <c r="G25" s="63">
        <f t="shared" si="1"/>
        <v>8.5716268739590065E-3</v>
      </c>
    </row>
    <row r="26" spans="1:7" x14ac:dyDescent="0.35">
      <c r="B26" s="56" t="s">
        <v>112</v>
      </c>
      <c r="C26" s="56" t="str">
        <f>'Haver Pivoted'!A25</f>
        <v>gfh</v>
      </c>
      <c r="D26">
        <v>1373</v>
      </c>
      <c r="E26" s="56">
        <f>'Haver Pivoted'!HF25</f>
        <v>1399.1</v>
      </c>
      <c r="F26" s="56">
        <f t="shared" si="0"/>
        <v>26.099999999999909</v>
      </c>
      <c r="G26" s="63">
        <f t="shared" si="1"/>
        <v>1.9009468317552739E-2</v>
      </c>
    </row>
    <row r="27" spans="1:7" x14ac:dyDescent="0.35">
      <c r="B27" s="56" t="s">
        <v>113</v>
      </c>
      <c r="C27" s="56" t="str">
        <f>'Haver Pivoted'!A26</f>
        <v>gsh</v>
      </c>
      <c r="D27">
        <v>2069.8000000000002</v>
      </c>
      <c r="E27" s="56">
        <f>'Haver Pivoted'!HF26</f>
        <v>2084.6</v>
      </c>
      <c r="F27" s="56">
        <f t="shared" si="0"/>
        <v>14.799999999999727</v>
      </c>
      <c r="G27" s="63">
        <f t="shared" si="1"/>
        <v>7.1504493187746288E-3</v>
      </c>
    </row>
    <row r="28" spans="1:7" x14ac:dyDescent="0.35">
      <c r="A28" s="56" t="s">
        <v>58</v>
      </c>
      <c r="B28" s="56" t="s">
        <v>114</v>
      </c>
      <c r="C28" s="56" t="s">
        <v>115</v>
      </c>
      <c r="D28">
        <v>2650.1</v>
      </c>
      <c r="E28" s="56">
        <f>'Haver Pivoted'!HF27</f>
        <v>2418.6</v>
      </c>
      <c r="F28" s="56">
        <f t="shared" si="0"/>
        <v>-231.5</v>
      </c>
      <c r="G28" s="63">
        <f t="shared" si="1"/>
        <v>-8.7355194143617226E-2</v>
      </c>
    </row>
    <row r="29" spans="1:7" x14ac:dyDescent="0.35">
      <c r="A29" s="56" t="s">
        <v>58</v>
      </c>
      <c r="B29" s="56" t="s">
        <v>116</v>
      </c>
      <c r="C29" s="56" t="s">
        <v>117</v>
      </c>
      <c r="D29">
        <v>192.4</v>
      </c>
      <c r="E29" s="56">
        <f>'Haver Pivoted'!HF28</f>
        <v>189.8</v>
      </c>
      <c r="F29" s="56">
        <f t="shared" si="0"/>
        <v>-2.5999999999999943</v>
      </c>
      <c r="G29" s="63">
        <f t="shared" si="1"/>
        <v>-1.3513513513513483E-2</v>
      </c>
    </row>
    <row r="30" spans="1:7" x14ac:dyDescent="0.35">
      <c r="A30" s="56" t="s">
        <v>58</v>
      </c>
      <c r="B30" s="56" t="s">
        <v>118</v>
      </c>
      <c r="C30" s="56" t="s">
        <v>119</v>
      </c>
      <c r="D30">
        <v>332.2</v>
      </c>
      <c r="E30" s="56">
        <f>'Haver Pivoted'!HF29</f>
        <v>0</v>
      </c>
      <c r="F30" s="56">
        <f t="shared" si="0"/>
        <v>-332.2</v>
      </c>
      <c r="G30" s="63">
        <f t="shared" si="1"/>
        <v>-1</v>
      </c>
    </row>
    <row r="31" spans="1:7" x14ac:dyDescent="0.35">
      <c r="A31" s="56" t="s">
        <v>58</v>
      </c>
      <c r="B31" s="56" t="s">
        <v>120</v>
      </c>
      <c r="C31" s="56" t="s">
        <v>121</v>
      </c>
      <c r="D31">
        <v>1702.7</v>
      </c>
      <c r="E31" s="56">
        <f>'Haver Pivoted'!HF30</f>
        <v>1735.3</v>
      </c>
      <c r="F31" s="56">
        <f t="shared" si="0"/>
        <v>32.599999999999909</v>
      </c>
      <c r="G31" s="63">
        <f t="shared" si="1"/>
        <v>1.9146062136606513E-2</v>
      </c>
    </row>
    <row r="32" spans="1:7" x14ac:dyDescent="0.35">
      <c r="A32" s="56" t="s">
        <v>122</v>
      </c>
      <c r="B32" s="56" t="s">
        <v>123</v>
      </c>
      <c r="C32" s="56" t="str">
        <f>'Haver Pivoted'!A31</f>
        <v>gftfp</v>
      </c>
      <c r="D32">
        <v>2882.8</v>
      </c>
      <c r="E32" s="56">
        <f>'Haver Pivoted'!HF31</f>
        <v>2969.5</v>
      </c>
      <c r="F32" s="56">
        <f t="shared" si="0"/>
        <v>86.699999999999818</v>
      </c>
      <c r="G32" s="63">
        <f t="shared" si="1"/>
        <v>3.0074927154155617E-2</v>
      </c>
    </row>
    <row r="33" spans="1:10" x14ac:dyDescent="0.35">
      <c r="A33" s="56" t="s">
        <v>51</v>
      </c>
      <c r="B33" s="55" t="s">
        <v>124</v>
      </c>
      <c r="C33" s="56" t="str">
        <f>'Haver Pivoted'!A32</f>
        <v>gfeg</v>
      </c>
      <c r="D33">
        <v>953.3</v>
      </c>
      <c r="E33" s="56">
        <f>'Haver Pivoted'!HF32</f>
        <v>980.5</v>
      </c>
      <c r="F33" s="56">
        <f t="shared" si="0"/>
        <v>27.200000000000045</v>
      </c>
      <c r="G33" s="63">
        <f t="shared" si="1"/>
        <v>2.8532466170145859E-2</v>
      </c>
    </row>
    <row r="34" spans="1:10" x14ac:dyDescent="0.35">
      <c r="A34" s="56" t="s">
        <v>58</v>
      </c>
      <c r="B34" s="56" t="s">
        <v>125</v>
      </c>
      <c r="C34" s="56" t="str">
        <f>'Haver Pivoted'!A33</f>
        <v>gsrpt</v>
      </c>
      <c r="D34">
        <v>582.20000000000005</v>
      </c>
      <c r="E34" s="56">
        <f>'Haver Pivoted'!HF33</f>
        <v>521.4</v>
      </c>
      <c r="F34" s="56">
        <f t="shared" si="0"/>
        <v>-60.800000000000068</v>
      </c>
      <c r="G34" s="63">
        <f t="shared" si="1"/>
        <v>-0.10443146684987988</v>
      </c>
    </row>
    <row r="35" spans="1:10" x14ac:dyDescent="0.35">
      <c r="A35" s="56" t="s">
        <v>58</v>
      </c>
      <c r="B35" s="56" t="s">
        <v>126</v>
      </c>
      <c r="C35" s="56" t="str">
        <f>'Haver Pivoted'!A34</f>
        <v>gsrpri</v>
      </c>
      <c r="D35">
        <v>1586.6</v>
      </c>
      <c r="E35" s="56">
        <f>'Haver Pivoted'!HF34</f>
        <v>1603.4</v>
      </c>
      <c r="F35" s="56">
        <f t="shared" si="0"/>
        <v>16.800000000000182</v>
      </c>
      <c r="G35" s="63">
        <f t="shared" si="1"/>
        <v>1.0588680196647033E-2</v>
      </c>
    </row>
    <row r="36" spans="1:10" x14ac:dyDescent="0.35">
      <c r="A36" s="56" t="s">
        <v>58</v>
      </c>
      <c r="B36" s="56" t="s">
        <v>127</v>
      </c>
      <c r="C36" s="56" t="str">
        <f>'Haver Pivoted'!A35</f>
        <v>gsrcp</v>
      </c>
      <c r="D36">
        <v>117.1</v>
      </c>
      <c r="E36" s="56">
        <f>'Haver Pivoted'!HF35</f>
        <v>0</v>
      </c>
      <c r="F36" s="56">
        <f t="shared" si="0"/>
        <v>-117.1</v>
      </c>
      <c r="G36" s="63">
        <f t="shared" si="1"/>
        <v>-1</v>
      </c>
    </row>
    <row r="37" spans="1:10" x14ac:dyDescent="0.35">
      <c r="A37" s="56" t="s">
        <v>58</v>
      </c>
      <c r="B37" s="56" t="s">
        <v>128</v>
      </c>
      <c r="C37" s="56" t="str">
        <f>'Haver Pivoted'!A36</f>
        <v>gsrs</v>
      </c>
      <c r="D37">
        <v>24.5</v>
      </c>
      <c r="E37" s="56">
        <f>'Haver Pivoted'!HF36</f>
        <v>25.4</v>
      </c>
      <c r="F37" s="56">
        <f t="shared" si="0"/>
        <v>0.89999999999999858</v>
      </c>
      <c r="G37" s="63">
        <f t="shared" si="1"/>
        <v>3.6734693877550961E-2</v>
      </c>
    </row>
    <row r="38" spans="1:10" x14ac:dyDescent="0.35">
      <c r="A38" s="56" t="s">
        <v>57</v>
      </c>
      <c r="B38" s="56" t="s">
        <v>129</v>
      </c>
      <c r="C38" s="56" t="str">
        <f>'Haver Pivoted'!A37</f>
        <v>gstfp</v>
      </c>
      <c r="D38">
        <v>1045.9000000000001</v>
      </c>
      <c r="E38" s="56">
        <f>'Haver Pivoted'!HF37</f>
        <v>996.9</v>
      </c>
      <c r="F38" s="56">
        <f t="shared" si="0"/>
        <v>-49.000000000000114</v>
      </c>
      <c r="G38" s="63">
        <f t="shared" si="1"/>
        <v>-4.6849603212544326E-2</v>
      </c>
    </row>
    <row r="39" spans="1:10" x14ac:dyDescent="0.35">
      <c r="B39" s="56" t="s">
        <v>130</v>
      </c>
      <c r="C39" s="56" t="str">
        <f>'Haver Pivoted'!A38</f>
        <v>gset</v>
      </c>
      <c r="D39">
        <v>3828.2</v>
      </c>
      <c r="E39" s="56">
        <f>'Haver Pivoted'!HF38</f>
        <v>3795.1</v>
      </c>
      <c r="F39" s="56">
        <f t="shared" si="0"/>
        <v>-33.099999999999909</v>
      </c>
      <c r="G39" s="63">
        <f t="shared" si="1"/>
        <v>-8.646361214147618E-3</v>
      </c>
    </row>
    <row r="40" spans="1:10" x14ac:dyDescent="0.35">
      <c r="B40" s="56" t="s">
        <v>131</v>
      </c>
      <c r="C40" s="56" t="str">
        <f>'Haver Pivoted'!A39</f>
        <v>gfeghhx</v>
      </c>
      <c r="D40">
        <v>640.79</v>
      </c>
      <c r="E40" s="56">
        <f>'Haver Pivoted'!HF39</f>
        <v>660.94500000000005</v>
      </c>
      <c r="F40" s="56">
        <f t="shared" si="0"/>
        <v>20.155000000000086</v>
      </c>
      <c r="G40" s="63">
        <f t="shared" si="1"/>
        <v>3.1453362255965428E-2</v>
      </c>
    </row>
    <row r="41" spans="1:10" x14ac:dyDescent="0.35">
      <c r="A41" s="56" t="s">
        <v>132</v>
      </c>
      <c r="B41" s="56" t="s">
        <v>133</v>
      </c>
      <c r="C41" s="56" t="str">
        <f>'Haver Pivoted'!A40</f>
        <v>gfeghdx</v>
      </c>
      <c r="D41">
        <v>604.82500000000005</v>
      </c>
      <c r="E41" s="56">
        <f>'Haver Pivoted'!HF40</f>
        <v>627.72799999999995</v>
      </c>
      <c r="F41" s="56">
        <f t="shared" si="0"/>
        <v>22.902999999999906</v>
      </c>
      <c r="G41" s="63">
        <f t="shared" si="1"/>
        <v>3.7867151655437366E-2</v>
      </c>
    </row>
    <row r="42" spans="1:10" x14ac:dyDescent="0.35">
      <c r="A42" s="56" t="s">
        <v>51</v>
      </c>
      <c r="B42" s="56" t="s">
        <v>134</v>
      </c>
      <c r="C42" s="56" t="str">
        <f>'Haver Pivoted'!A41</f>
        <v>gfeigx</v>
      </c>
      <c r="D42">
        <v>76.876999999999995</v>
      </c>
      <c r="E42" s="56">
        <f>'Haver Pivoted'!HF41</f>
        <v>75.772000000000006</v>
      </c>
      <c r="F42" s="56">
        <f t="shared" si="0"/>
        <v>-1.1049999999999898</v>
      </c>
      <c r="G42" s="63">
        <f t="shared" si="1"/>
        <v>-1.4373609792265435E-2</v>
      </c>
    </row>
    <row r="43" spans="1:10" x14ac:dyDescent="0.35">
      <c r="B43" s="56" t="s">
        <v>135</v>
      </c>
      <c r="C43" s="56" t="str">
        <f>'Haver Pivoted'!A42</f>
        <v>gfsub</v>
      </c>
      <c r="D43">
        <v>110.8</v>
      </c>
      <c r="E43" s="56">
        <f>'Haver Pivoted'!HF42</f>
        <v>104.8</v>
      </c>
      <c r="F43" s="56">
        <f t="shared" si="0"/>
        <v>-6</v>
      </c>
      <c r="G43" s="63">
        <f t="shared" si="1"/>
        <v>-5.4151624548736461E-2</v>
      </c>
      <c r="I43" s="67"/>
      <c r="J43" s="64"/>
    </row>
    <row r="44" spans="1:10" x14ac:dyDescent="0.35">
      <c r="B44" s="56" t="s">
        <v>136</v>
      </c>
      <c r="C44" s="56" t="str">
        <f>'Haver Pivoted'!A43</f>
        <v>gssub</v>
      </c>
      <c r="D44">
        <v>0.7</v>
      </c>
      <c r="E44" s="56">
        <f>'Haver Pivoted'!HF43</f>
        <v>0.7</v>
      </c>
      <c r="F44" s="56">
        <f t="shared" si="0"/>
        <v>0</v>
      </c>
      <c r="G44" s="63">
        <f t="shared" si="1"/>
        <v>0</v>
      </c>
      <c r="I44" s="57"/>
      <c r="J44" s="64"/>
    </row>
    <row r="45" spans="1:10" x14ac:dyDescent="0.35">
      <c r="B45" s="56" t="s">
        <v>52</v>
      </c>
      <c r="C45" s="56" t="str">
        <f>'Haver Pivoted'!A44</f>
        <v>gsub</v>
      </c>
      <c r="D45">
        <v>111.5</v>
      </c>
      <c r="E45" s="56">
        <f>'Haver Pivoted'!HF44</f>
        <v>105.5</v>
      </c>
      <c r="F45" s="56">
        <f t="shared" si="0"/>
        <v>-6</v>
      </c>
      <c r="G45" s="63">
        <f t="shared" si="1"/>
        <v>-5.3811659192825115E-2</v>
      </c>
      <c r="I45" s="57"/>
      <c r="J45" s="65"/>
    </row>
    <row r="46" spans="1:10" x14ac:dyDescent="0.35">
      <c r="A46" s="56" t="s">
        <v>56</v>
      </c>
      <c r="B46" s="56" t="s">
        <v>56</v>
      </c>
      <c r="C46" s="56" t="str">
        <f>'Haver Pivoted'!A45</f>
        <v>gftfpe</v>
      </c>
      <c r="D46">
        <v>0</v>
      </c>
      <c r="E46" s="56">
        <f>'Haver Pivoted'!HF45</f>
        <v>0</v>
      </c>
      <c r="F46" s="56">
        <f t="shared" si="0"/>
        <v>0</v>
      </c>
      <c r="G46" s="63" t="e">
        <f t="shared" si="1"/>
        <v>#DIV/0!</v>
      </c>
      <c r="I46" s="57"/>
      <c r="J46" s="65"/>
    </row>
    <row r="47" spans="1:10" x14ac:dyDescent="0.35">
      <c r="B47" s="56" t="s">
        <v>137</v>
      </c>
      <c r="C47" s="56" t="str">
        <f>'Haver Pivoted'!A46</f>
        <v>gftfpr</v>
      </c>
      <c r="D47">
        <v>0</v>
      </c>
      <c r="E47" s="56">
        <f>'Haver Pivoted'!HF46</f>
        <v>0</v>
      </c>
      <c r="F47" s="56">
        <f t="shared" si="0"/>
        <v>0</v>
      </c>
      <c r="G47" s="63" t="e">
        <f t="shared" si="1"/>
        <v>#DIV/0!</v>
      </c>
      <c r="I47" s="57"/>
      <c r="J47" s="65"/>
    </row>
    <row r="48" spans="1:10" x14ac:dyDescent="0.35">
      <c r="A48" s="56" t="s">
        <v>50</v>
      </c>
      <c r="B48" s="56" t="s">
        <v>138</v>
      </c>
      <c r="C48" s="56" t="str">
        <f>'Haver Pivoted'!A47</f>
        <v>gftfpp</v>
      </c>
      <c r="D48">
        <v>0</v>
      </c>
      <c r="E48" s="56">
        <f>'Haver Pivoted'!HF47</f>
        <v>0</v>
      </c>
      <c r="F48" s="56">
        <f t="shared" si="0"/>
        <v>0</v>
      </c>
      <c r="G48" s="63" t="e">
        <f t="shared" si="1"/>
        <v>#DIV/0!</v>
      </c>
      <c r="J48" s="65"/>
    </row>
    <row r="49" spans="1:9" x14ac:dyDescent="0.35">
      <c r="A49" s="56" t="s">
        <v>49</v>
      </c>
      <c r="B49" s="56" t="s">
        <v>139</v>
      </c>
      <c r="C49" s="56" t="str">
        <f>'Haver Pivoted'!A48</f>
        <v>gftfpv</v>
      </c>
      <c r="D49">
        <v>4.9000000000000004</v>
      </c>
      <c r="E49" s="56">
        <f>'Haver Pivoted'!HF48</f>
        <v>0</v>
      </c>
      <c r="F49" s="56">
        <f t="shared" si="0"/>
        <v>-4.9000000000000004</v>
      </c>
      <c r="G49" s="63">
        <f t="shared" si="1"/>
        <v>-1</v>
      </c>
      <c r="H49" s="58"/>
      <c r="I49" s="58"/>
    </row>
    <row r="50" spans="1:9" x14ac:dyDescent="0.35">
      <c r="A50" s="56" t="s">
        <v>140</v>
      </c>
      <c r="B50" s="53" t="s">
        <v>141</v>
      </c>
      <c r="C50" s="56" t="str">
        <f>'Haver Pivoted'!A49</f>
        <v>gfsubp</v>
      </c>
      <c r="D50">
        <v>0</v>
      </c>
      <c r="E50" s="56">
        <f>'Haver Pivoted'!HF49</f>
        <v>0</v>
      </c>
      <c r="F50" s="56">
        <f t="shared" si="0"/>
        <v>0</v>
      </c>
      <c r="G50" s="63" t="e">
        <f t="shared" si="1"/>
        <v>#DIV/0!</v>
      </c>
      <c r="H50" s="49"/>
      <c r="I50" s="50"/>
    </row>
    <row r="51" spans="1:9" x14ac:dyDescent="0.35">
      <c r="A51" s="56" t="s">
        <v>52</v>
      </c>
      <c r="B51" s="53" t="s">
        <v>142</v>
      </c>
      <c r="C51" s="56" t="str">
        <f>'Haver Pivoted'!A50</f>
        <v>gfsubg</v>
      </c>
      <c r="D51">
        <v>0.4</v>
      </c>
      <c r="E51" s="56">
        <f>'Haver Pivoted'!HF50</f>
        <v>0</v>
      </c>
      <c r="F51" s="56">
        <f t="shared" si="0"/>
        <v>-0.4</v>
      </c>
      <c r="G51" s="63">
        <f t="shared" si="1"/>
        <v>-1</v>
      </c>
      <c r="H51" s="69"/>
      <c r="I51" s="68"/>
    </row>
    <row r="52" spans="1:9" x14ac:dyDescent="0.35">
      <c r="A52" s="56" t="s">
        <v>52</v>
      </c>
      <c r="B52" s="53" t="s">
        <v>143</v>
      </c>
      <c r="C52" s="56" t="str">
        <f>'Haver Pivoted'!A51</f>
        <v>gfsube</v>
      </c>
      <c r="D52">
        <v>0</v>
      </c>
      <c r="E52" s="56">
        <f>'Haver Pivoted'!HF51</f>
        <v>0</v>
      </c>
      <c r="F52" s="56">
        <f t="shared" si="0"/>
        <v>0</v>
      </c>
      <c r="G52" s="63" t="e">
        <f t="shared" si="1"/>
        <v>#DIV/0!</v>
      </c>
      <c r="H52" s="52"/>
      <c r="I52" s="50"/>
    </row>
    <row r="53" spans="1:9" x14ac:dyDescent="0.35">
      <c r="A53" s="56" t="s">
        <v>52</v>
      </c>
      <c r="B53" s="53" t="s">
        <v>144</v>
      </c>
      <c r="C53" s="56" t="str">
        <f>'Haver Pivoted'!A52</f>
        <v>gfsubs</v>
      </c>
      <c r="D53">
        <v>15.8</v>
      </c>
      <c r="E53" s="56">
        <f>'Haver Pivoted'!HF52</f>
        <v>0</v>
      </c>
      <c r="F53" s="56">
        <f t="shared" si="0"/>
        <v>-15.8</v>
      </c>
      <c r="G53" s="63">
        <f t="shared" si="1"/>
        <v>-1</v>
      </c>
      <c r="H53" s="52"/>
      <c r="I53" s="50"/>
    </row>
    <row r="54" spans="1:9" x14ac:dyDescent="0.35">
      <c r="A54" s="56" t="s">
        <v>52</v>
      </c>
      <c r="B54" s="53" t="s">
        <v>145</v>
      </c>
      <c r="C54" s="56" t="str">
        <f>'Haver Pivoted'!A53</f>
        <v>gfsubf</v>
      </c>
      <c r="D54">
        <v>0</v>
      </c>
      <c r="E54" s="56">
        <f>'Haver Pivoted'!HF53</f>
        <v>0</v>
      </c>
      <c r="F54" s="56">
        <f t="shared" si="0"/>
        <v>0</v>
      </c>
      <c r="G54" s="63" t="e">
        <f t="shared" si="1"/>
        <v>#DIV/0!</v>
      </c>
      <c r="H54" s="49"/>
      <c r="I54" s="50"/>
    </row>
    <row r="55" spans="1:9" x14ac:dyDescent="0.35">
      <c r="A55" s="56" t="s">
        <v>146</v>
      </c>
      <c r="B55" s="53" t="s">
        <v>147</v>
      </c>
      <c r="C55" s="56" t="str">
        <f>'Haver Pivoted'!A54</f>
        <v>gfsubv</v>
      </c>
      <c r="D55">
        <v>3.6</v>
      </c>
      <c r="E55" s="56">
        <f>'Haver Pivoted'!HF54</f>
        <v>0</v>
      </c>
      <c r="F55" s="56">
        <f t="shared" si="0"/>
        <v>-3.6</v>
      </c>
      <c r="G55" s="63">
        <f t="shared" si="1"/>
        <v>-1</v>
      </c>
    </row>
    <row r="56" spans="1:9" x14ac:dyDescent="0.35">
      <c r="A56" s="56" t="s">
        <v>52</v>
      </c>
      <c r="B56" s="53" t="s">
        <v>148</v>
      </c>
      <c r="C56" s="56" t="str">
        <f>'Haver Pivoted'!A55</f>
        <v>gfsubk</v>
      </c>
      <c r="D56">
        <v>0</v>
      </c>
      <c r="E56" s="56">
        <f>'Haver Pivoted'!HF55</f>
        <v>0</v>
      </c>
      <c r="F56" s="56">
        <f t="shared" si="0"/>
        <v>0</v>
      </c>
      <c r="G56" s="63" t="e">
        <f t="shared" si="1"/>
        <v>#DIV/0!</v>
      </c>
      <c r="H56" s="49"/>
      <c r="I56" s="50"/>
    </row>
    <row r="57" spans="1:9" x14ac:dyDescent="0.35">
      <c r="A57" s="56" t="s">
        <v>51</v>
      </c>
      <c r="B57" s="55" t="s">
        <v>149</v>
      </c>
      <c r="C57" s="56" t="str">
        <f>'Haver Pivoted'!A56</f>
        <v>gfegc</v>
      </c>
      <c r="D57">
        <v>0</v>
      </c>
      <c r="E57" s="56">
        <f>'Haver Pivoted'!HF56</f>
        <v>0</v>
      </c>
      <c r="F57" s="56">
        <f t="shared" si="0"/>
        <v>0</v>
      </c>
      <c r="G57" s="63"/>
      <c r="H57" s="49"/>
      <c r="I57" s="50"/>
    </row>
    <row r="58" spans="1:9" x14ac:dyDescent="0.35">
      <c r="A58" s="56" t="s">
        <v>51</v>
      </c>
      <c r="B58" s="55" t="s">
        <v>150</v>
      </c>
      <c r="C58" s="56" t="str">
        <f>'Haver Pivoted'!A57</f>
        <v>gfege</v>
      </c>
      <c r="D58">
        <v>64</v>
      </c>
      <c r="E58" s="56">
        <f>'Haver Pivoted'!HF57</f>
        <v>0</v>
      </c>
      <c r="F58" s="56">
        <f t="shared" si="0"/>
        <v>-64</v>
      </c>
      <c r="G58" s="63">
        <f t="shared" si="1"/>
        <v>-1</v>
      </c>
      <c r="H58" s="49"/>
      <c r="I58" s="50"/>
    </row>
    <row r="59" spans="1:9" x14ac:dyDescent="0.35">
      <c r="A59" s="56" t="s">
        <v>151</v>
      </c>
      <c r="B59" s="55" t="s">
        <v>152</v>
      </c>
      <c r="C59" s="56" t="str">
        <f>'Haver Pivoted'!A58</f>
        <v>gfegv</v>
      </c>
      <c r="D59">
        <v>6.2</v>
      </c>
      <c r="E59" s="56">
        <f>'Haver Pivoted'!HF58</f>
        <v>0</v>
      </c>
      <c r="F59" s="56">
        <f t="shared" si="0"/>
        <v>-6.2</v>
      </c>
      <c r="G59" s="63">
        <f t="shared" si="1"/>
        <v>-1</v>
      </c>
    </row>
    <row r="60" spans="1:9" x14ac:dyDescent="0.35">
      <c r="A60" s="56" t="s">
        <v>53</v>
      </c>
      <c r="B60" s="56" t="s">
        <v>153</v>
      </c>
      <c r="C60" s="56" t="str">
        <f>'Haver Pivoted'!A59</f>
        <v>yptue</v>
      </c>
      <c r="D60">
        <v>0.2</v>
      </c>
      <c r="E60" s="56">
        <f>'Haver Pivoted'!HF59</f>
        <v>0</v>
      </c>
      <c r="F60" s="56">
        <f t="shared" si="0"/>
        <v>-0.2</v>
      </c>
      <c r="G60" s="63">
        <f t="shared" si="1"/>
        <v>-1</v>
      </c>
    </row>
    <row r="61" spans="1:9" x14ac:dyDescent="0.35">
      <c r="A61" s="56" t="s">
        <v>53</v>
      </c>
      <c r="B61" s="56" t="s">
        <v>154</v>
      </c>
      <c r="C61" s="56" t="str">
        <f>'Haver Pivoted'!A60</f>
        <v>yptup</v>
      </c>
      <c r="D61">
        <v>0.1</v>
      </c>
      <c r="E61" s="56">
        <f>'Haver Pivoted'!HF60</f>
        <v>0</v>
      </c>
      <c r="F61" s="56">
        <f t="shared" si="0"/>
        <v>-0.1</v>
      </c>
      <c r="G61" s="63">
        <f t="shared" si="1"/>
        <v>-1</v>
      </c>
    </row>
    <row r="62" spans="1:9" x14ac:dyDescent="0.35">
      <c r="A62" s="56" t="s">
        <v>53</v>
      </c>
      <c r="B62" s="56" t="s">
        <v>155</v>
      </c>
      <c r="C62" s="56" t="str">
        <f>'Haver Pivoted'!A61</f>
        <v>yptuc</v>
      </c>
      <c r="D62">
        <v>0</v>
      </c>
      <c r="E62" s="56">
        <f>'Haver Pivoted'!HF61</f>
        <v>0</v>
      </c>
      <c r="F62" s="56">
        <f t="shared" si="0"/>
        <v>0</v>
      </c>
      <c r="G62" s="63" t="e">
        <f t="shared" si="1"/>
        <v>#DIV/0!</v>
      </c>
    </row>
    <row r="63" spans="1:9" x14ac:dyDescent="0.35">
      <c r="B63" s="56" t="s">
        <v>156</v>
      </c>
      <c r="C63" s="56" t="str">
        <f>'Haver Pivoted'!A62</f>
        <v>gftfpu</v>
      </c>
      <c r="D63">
        <v>0.3</v>
      </c>
      <c r="E63" s="56">
        <f>'Haver Pivoted'!HF62</f>
        <v>0</v>
      </c>
      <c r="F63" s="56">
        <f t="shared" si="0"/>
        <v>-0.3</v>
      </c>
      <c r="G63" s="63">
        <f t="shared" si="1"/>
        <v>-1</v>
      </c>
      <c r="H63" s="55"/>
      <c r="I63" s="55"/>
    </row>
    <row r="64" spans="1:9" x14ac:dyDescent="0.35">
      <c r="A64" s="56" t="s">
        <v>53</v>
      </c>
      <c r="B64" s="59" t="s">
        <v>157</v>
      </c>
      <c r="C64" s="56" t="str">
        <f>'Haver Pivoted'!A63</f>
        <v>yptub</v>
      </c>
      <c r="D64">
        <v>0</v>
      </c>
      <c r="E64" s="56">
        <f>'Haver Pivoted'!HF63</f>
        <v>0</v>
      </c>
      <c r="F64" s="56">
        <f t="shared" si="0"/>
        <v>0</v>
      </c>
      <c r="G64" s="63" t="e">
        <f t="shared" si="1"/>
        <v>#DIV/0!</v>
      </c>
      <c r="H64" s="55"/>
      <c r="I64" s="55"/>
    </row>
    <row r="65" spans="1:9" x14ac:dyDescent="0.35">
      <c r="A65" s="56" t="s">
        <v>53</v>
      </c>
      <c r="B65" s="56" t="s">
        <v>158</v>
      </c>
      <c r="C65" s="56" t="str">
        <f>'Haver Pivoted'!A64</f>
        <v>yptol</v>
      </c>
      <c r="D65">
        <v>0</v>
      </c>
      <c r="E65" s="56">
        <f>'Haver Pivoted'!HF64</f>
        <v>0</v>
      </c>
      <c r="F65" s="56">
        <f t="shared" si="0"/>
        <v>0</v>
      </c>
      <c r="G65" s="63" t="e">
        <f t="shared" si="1"/>
        <v>#DIV/0!</v>
      </c>
      <c r="H65" s="55"/>
      <c r="I65" s="55"/>
    </row>
    <row r="66" spans="1:9" x14ac:dyDescent="0.35">
      <c r="B66" s="56" t="s">
        <v>159</v>
      </c>
      <c r="C66" s="56" t="str">
        <f>'Haver Pivoted'!A65</f>
        <v>gfctp</v>
      </c>
      <c r="D66">
        <v>109.9</v>
      </c>
      <c r="E66" s="56">
        <f>'Haver Pivoted'!HF65</f>
        <v>110.6</v>
      </c>
      <c r="F66" s="56">
        <f t="shared" si="0"/>
        <v>0.69999999999998863</v>
      </c>
      <c r="G66" s="63">
        <f t="shared" si="1"/>
        <v>6.3694267515922529E-3</v>
      </c>
      <c r="H66" s="55"/>
      <c r="I66" s="55"/>
    </row>
    <row r="67" spans="1:9" x14ac:dyDescent="0.35">
      <c r="A67" s="56" t="s">
        <v>57</v>
      </c>
      <c r="B67" s="54" t="s">
        <v>160</v>
      </c>
      <c r="C67" s="56" t="str">
        <f>'Haver Pivoted'!A66</f>
        <v>gftffx</v>
      </c>
      <c r="D67">
        <v>126.53400000000001</v>
      </c>
      <c r="E67" s="56">
        <f>'Haver Pivoted'!HF66</f>
        <v>121.66800000000001</v>
      </c>
      <c r="F67" s="56">
        <f t="shared" si="0"/>
        <v>-4.8659999999999997</v>
      </c>
      <c r="G67" s="63">
        <f t="shared" si="1"/>
        <v>-3.8456067144008718E-2</v>
      </c>
      <c r="H67" s="55"/>
      <c r="I67" s="55"/>
    </row>
    <row r="68" spans="1:9" x14ac:dyDescent="0.35">
      <c r="B68" s="56" t="s">
        <v>161</v>
      </c>
      <c r="C68" s="56" t="str">
        <f>'Haver Pivoted'!A67</f>
        <v>cpiu</v>
      </c>
      <c r="D68">
        <v>298.52499999999998</v>
      </c>
      <c r="E68" s="56">
        <f>'Haver Pivoted'!HF67</f>
        <v>301.33066666666701</v>
      </c>
      <c r="F68" s="56">
        <f t="shared" ref="F68:F81" si="2">E68-D68</f>
        <v>2.8056666666670367</v>
      </c>
      <c r="G68" s="63">
        <f t="shared" ref="G68:G81" si="3">F68/D68</f>
        <v>9.3984311755030137E-3</v>
      </c>
      <c r="H68" s="55"/>
      <c r="I68" s="55"/>
    </row>
    <row r="69" spans="1:9" x14ac:dyDescent="0.35">
      <c r="C69" s="56" t="str">
        <f>'Haver Pivoted'!A68</f>
        <v>pcw</v>
      </c>
      <c r="D69">
        <v>293.31766666666698</v>
      </c>
      <c r="E69" s="56">
        <f>'Haver Pivoted'!HF68</f>
        <v>295.71766666666701</v>
      </c>
      <c r="F69" s="56">
        <f t="shared" si="2"/>
        <v>2.4000000000000341</v>
      </c>
      <c r="G69" s="63">
        <f t="shared" si="3"/>
        <v>8.1822551886295003E-3</v>
      </c>
    </row>
    <row r="70" spans="1:9" x14ac:dyDescent="0.35">
      <c r="B70" s="56" t="s">
        <v>162</v>
      </c>
      <c r="C70" s="56" t="str">
        <f>'Haver Pivoted'!A69</f>
        <v>gdppothq</v>
      </c>
      <c r="D70">
        <v>20362</v>
      </c>
      <c r="E70" s="56">
        <f>'Haver Pivoted'!HF69</f>
        <v>20453.7</v>
      </c>
      <c r="F70" s="56">
        <f t="shared" si="2"/>
        <v>91.700000000000728</v>
      </c>
      <c r="G70" s="63">
        <f t="shared" si="3"/>
        <v>4.503486887339197E-3</v>
      </c>
    </row>
    <row r="71" spans="1:9" x14ac:dyDescent="0.35">
      <c r="B71" s="56" t="s">
        <v>163</v>
      </c>
      <c r="C71" s="56" t="str">
        <f>'Haver Pivoted'!A70</f>
        <v>gdppotq</v>
      </c>
      <c r="D71">
        <v>26355.7</v>
      </c>
      <c r="E71" s="56">
        <f>'Haver Pivoted'!HF70</f>
        <v>26705.1</v>
      </c>
      <c r="F71" s="56">
        <f t="shared" si="2"/>
        <v>349.39999999999782</v>
      </c>
      <c r="G71" s="63">
        <f t="shared" si="3"/>
        <v>1.3257094290798492E-2</v>
      </c>
    </row>
    <row r="72" spans="1:9" x14ac:dyDescent="0.35">
      <c r="B72" s="56" t="s">
        <v>164</v>
      </c>
      <c r="C72" s="56" t="str">
        <f>'Haver Pivoted'!A71</f>
        <v>recessq</v>
      </c>
      <c r="D72">
        <v>-1</v>
      </c>
      <c r="E72" s="56">
        <f>'Haver Pivoted'!HF71</f>
        <v>-1</v>
      </c>
      <c r="F72" s="56">
        <f t="shared" si="2"/>
        <v>0</v>
      </c>
      <c r="G72" s="63">
        <f t="shared" si="3"/>
        <v>0</v>
      </c>
    </row>
    <row r="73" spans="1:9" x14ac:dyDescent="0.35">
      <c r="A73" s="56" t="s">
        <v>165</v>
      </c>
      <c r="B73" s="56" t="s">
        <v>166</v>
      </c>
      <c r="C73" s="56" t="str">
        <f>'Haver Pivoted'!A72</f>
        <v>lasgova</v>
      </c>
      <c r="D73">
        <v>5102.3333333333303</v>
      </c>
      <c r="E73" s="56">
        <f>'Haver Pivoted'!HF72</f>
        <v>5170.3333333333303</v>
      </c>
      <c r="F73" s="56">
        <f t="shared" si="2"/>
        <v>68</v>
      </c>
      <c r="G73" s="63">
        <f t="shared" si="3"/>
        <v>1.3327235905141446E-2</v>
      </c>
    </row>
    <row r="74" spans="1:9" x14ac:dyDescent="0.35">
      <c r="A74" s="56" t="s">
        <v>165</v>
      </c>
      <c r="B74" s="56" t="s">
        <v>167</v>
      </c>
      <c r="C74" s="56" t="str">
        <f>'Haver Pivoted'!A73</f>
        <v>lalgova</v>
      </c>
      <c r="D74">
        <v>14330.666666666701</v>
      </c>
      <c r="E74" s="56">
        <f>'Haver Pivoted'!HF73</f>
        <v>14440.666666666701</v>
      </c>
      <c r="F74" s="56">
        <f t="shared" si="2"/>
        <v>110</v>
      </c>
      <c r="G74" s="63">
        <f t="shared" si="3"/>
        <v>7.6758466691477303E-3</v>
      </c>
    </row>
    <row r="75" spans="1:9" x14ac:dyDescent="0.35">
      <c r="A75" s="56" t="s">
        <v>165</v>
      </c>
      <c r="B75" s="56" t="s">
        <v>168</v>
      </c>
      <c r="C75" s="56" t="str">
        <f>'Haver Pivoted'!A74</f>
        <v>cpgs</v>
      </c>
      <c r="D75">
        <v>355447.33333333302</v>
      </c>
      <c r="E75" s="56">
        <f>'Haver Pivoted'!HF74</f>
        <v>0</v>
      </c>
      <c r="F75" s="56">
        <f t="shared" si="2"/>
        <v>-355447.33333333302</v>
      </c>
      <c r="G75" s="63">
        <f t="shared" si="3"/>
        <v>-1</v>
      </c>
    </row>
    <row r="76" spans="1:9" x14ac:dyDescent="0.35">
      <c r="B76" s="56" t="s">
        <v>169</v>
      </c>
      <c r="C76" s="56" t="str">
        <f>'Haver Pivoted'!A75</f>
        <v>jgdp_growth</v>
      </c>
      <c r="D76">
        <v>9.5575166048207406E-3</v>
      </c>
      <c r="E76" s="56">
        <f>'Haver Pivoted'!HF75</f>
        <v>9.9689580083706097E-3</v>
      </c>
      <c r="F76" s="51">
        <f t="shared" si="2"/>
        <v>4.1144140354986911E-4</v>
      </c>
      <c r="G76" s="63">
        <f t="shared" si="3"/>
        <v>4.3048986526724016E-2</v>
      </c>
    </row>
    <row r="77" spans="1:9" x14ac:dyDescent="0.35">
      <c r="B77" s="56" t="s">
        <v>170</v>
      </c>
      <c r="C77" s="56" t="str">
        <f>'Haver Pivoted'!A76</f>
        <v>jc_growth</v>
      </c>
      <c r="D77">
        <v>9.22753716871361E-3</v>
      </c>
      <c r="E77" s="56">
        <f>'Haver Pivoted'!HF76</f>
        <v>1.02480344590159E-2</v>
      </c>
      <c r="F77" s="51">
        <f t="shared" si="2"/>
        <v>1.0204972903022896E-3</v>
      </c>
      <c r="G77" s="63">
        <f t="shared" si="3"/>
        <v>0.11059259601384568</v>
      </c>
    </row>
    <row r="78" spans="1:9" x14ac:dyDescent="0.35">
      <c r="B78" s="56" t="s">
        <v>171</v>
      </c>
      <c r="C78" s="56" t="str">
        <f>'Haver Pivoted'!A77</f>
        <v>jgf_growth</v>
      </c>
      <c r="D78">
        <v>7.78702924425789E-3</v>
      </c>
      <c r="E78" s="56">
        <f>'Haver Pivoted'!HF77</f>
        <v>8.0106376078354895E-3</v>
      </c>
      <c r="F78" s="51">
        <f t="shared" si="2"/>
        <v>2.2360836357759959E-4</v>
      </c>
      <c r="G78" s="63">
        <f t="shared" si="3"/>
        <v>2.8715490408937026E-2</v>
      </c>
    </row>
    <row r="79" spans="1:9" x14ac:dyDescent="0.35">
      <c r="B79" s="56" t="s">
        <v>172</v>
      </c>
      <c r="C79" s="56" t="str">
        <f>'Haver Pivoted'!A78</f>
        <v>jgs_growth</v>
      </c>
      <c r="D79">
        <v>9.5566802500108797E-3</v>
      </c>
      <c r="E79" s="56">
        <f>'Haver Pivoted'!HF78</f>
        <v>1.43645139048476E-3</v>
      </c>
      <c r="F79" s="51">
        <f>E79/D79-1</f>
        <v>-0.84969138310522374</v>
      </c>
      <c r="G79" s="63">
        <f t="shared" si="3"/>
        <v>-88.910726410905752</v>
      </c>
    </row>
    <row r="80" spans="1:9" x14ac:dyDescent="0.35">
      <c r="B80" s="56" t="s">
        <v>173</v>
      </c>
      <c r="C80" s="56" t="str">
        <f>'Haver Pivoted'!A79</f>
        <v>jgse_growth</v>
      </c>
      <c r="D80">
        <v>8.9000888552244195E-3</v>
      </c>
      <c r="E80" s="56">
        <f>'Haver Pivoted'!HF79</f>
        <v>-5.8473621899446404E-4</v>
      </c>
      <c r="F80" s="51">
        <f t="shared" si="2"/>
        <v>-9.4848250742188833E-3</v>
      </c>
      <c r="G80" s="63">
        <f t="shared" si="3"/>
        <v>-1.0657000428317318</v>
      </c>
    </row>
    <row r="81" spans="2:7" x14ac:dyDescent="0.35">
      <c r="B81" s="56" t="s">
        <v>174</v>
      </c>
      <c r="C81" s="56" t="str">
        <f>'Haver Pivoted'!A80</f>
        <v>jgsi_growth</v>
      </c>
      <c r="D81">
        <v>1.2665862484921599E-2</v>
      </c>
      <c r="E81" s="56">
        <f>'Haver Pivoted'!HF80</f>
        <v>1.10289738289597E-2</v>
      </c>
      <c r="F81" s="51">
        <f t="shared" si="2"/>
        <v>-1.6368886559618989E-3</v>
      </c>
      <c r="G81" s="63">
        <f t="shared" si="3"/>
        <v>-0.12923625674213463</v>
      </c>
    </row>
  </sheetData>
  <conditionalFormatting sqref="F3:F81">
    <cfRule type="cellIs" dxfId="3" priority="1" operator="lessThan">
      <formula>0</formula>
    </cfRule>
    <cfRule type="cellIs" dxfId="2" priority="2" operator="greaterThan">
      <formula>0</formula>
    </cfRule>
  </conditionalFormatting>
  <pageMargins left="0.7" right="0.7" top="0.75" bottom="0.75" header="0.3" footer="0.3"/>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M101"/>
  <sheetViews>
    <sheetView topLeftCell="A31" zoomScale="93" zoomScaleNormal="130" workbookViewId="0">
      <selection activeCell="D71" sqref="D71"/>
    </sheetView>
  </sheetViews>
  <sheetFormatPr defaultColWidth="11.453125" defaultRowHeight="14.5" x14ac:dyDescent="0.35"/>
  <cols>
    <col min="2" max="2" width="26.453125" customWidth="1"/>
    <col min="3" max="3" width="20.1796875" customWidth="1"/>
    <col min="4" max="9" width="9.453125" customWidth="1"/>
  </cols>
  <sheetData>
    <row r="2" spans="2:12" x14ac:dyDescent="0.35">
      <c r="B2" s="1587" t="s">
        <v>2213</v>
      </c>
      <c r="C2" s="1587"/>
      <c r="D2" s="1587"/>
      <c r="E2" s="1587"/>
      <c r="F2" s="1587"/>
      <c r="G2" s="1587"/>
      <c r="H2" s="1587"/>
      <c r="I2" s="1587"/>
      <c r="J2" s="1587"/>
      <c r="K2" s="1587"/>
      <c r="L2" s="1587"/>
    </row>
    <row r="3" spans="2:12" x14ac:dyDescent="0.35">
      <c r="B3" t="str">
        <f>forecast!A1</f>
        <v>name</v>
      </c>
      <c r="C3" t="str">
        <f>forecast!B1</f>
        <v>variable</v>
      </c>
      <c r="D3" t="str">
        <f>forecast!C1</f>
        <v>2023 Q1</v>
      </c>
      <c r="E3" t="str">
        <f>forecast!D1</f>
        <v>2023 Q2</v>
      </c>
      <c r="F3" t="str">
        <f>forecast!E1</f>
        <v>2023 Q3</v>
      </c>
      <c r="G3" t="str">
        <f>forecast!F1</f>
        <v>2023 Q4</v>
      </c>
      <c r="H3" t="str">
        <f>forecast!G1</f>
        <v>2024 Q1</v>
      </c>
      <c r="I3" t="str">
        <f>forecast!H1</f>
        <v>2024 Q2</v>
      </c>
      <c r="J3" t="s">
        <v>175</v>
      </c>
      <c r="K3" t="s">
        <v>176</v>
      </c>
      <c r="L3" t="s">
        <v>177</v>
      </c>
    </row>
    <row r="4" spans="2:12" x14ac:dyDescent="0.35">
      <c r="B4" t="str">
        <f>forecast!A2</f>
        <v>Consumption Grants</v>
      </c>
      <c r="C4" t="str">
        <f>forecast!B2</f>
        <v>consumption_grants</v>
      </c>
      <c r="D4" s="71">
        <f>forecast!C2</f>
        <v>448.74654320000008</v>
      </c>
      <c r="E4" s="71">
        <f>forecast!D2</f>
        <v>447.62918787478441</v>
      </c>
      <c r="F4" s="71">
        <f>forecast!E2</f>
        <v>446.45162391265626</v>
      </c>
      <c r="G4" s="71">
        <f>forecast!F2</f>
        <v>446.80789141457103</v>
      </c>
      <c r="H4" s="71">
        <f>forecast!G2</f>
        <v>435.3935120000001</v>
      </c>
      <c r="I4" s="71">
        <f>forecast!H2</f>
        <v>415.52699462977574</v>
      </c>
      <c r="J4" s="71">
        <f>forecast!I2</f>
        <v>419.98253662916255</v>
      </c>
      <c r="K4" s="71">
        <f>forecast!J2</f>
        <v>424.72893341115389</v>
      </c>
      <c r="L4" s="71">
        <f>forecast!K2</f>
        <v>407.89333299999998</v>
      </c>
    </row>
    <row r="5" spans="2:12" x14ac:dyDescent="0.35">
      <c r="B5" t="str">
        <f>forecast!A3</f>
        <v>Investment Grants</v>
      </c>
      <c r="C5" t="str">
        <f>forecast!B3</f>
        <v>investment_grants</v>
      </c>
      <c r="D5" s="71">
        <f>forecast!C3</f>
        <v>76.15900000000002</v>
      </c>
      <c r="E5" s="71">
        <f>forecast!D3</f>
        <v>76.15900000000002</v>
      </c>
      <c r="F5" s="71">
        <f>forecast!E3</f>
        <v>76.15900000000002</v>
      </c>
      <c r="G5" s="71">
        <f>forecast!F3</f>
        <v>77.818000000000012</v>
      </c>
      <c r="H5" s="71">
        <f>forecast!G3</f>
        <v>77.818000000000012</v>
      </c>
      <c r="I5" s="71">
        <f>forecast!H3</f>
        <v>77.818000000000012</v>
      </c>
      <c r="J5" s="71">
        <f>forecast!I3</f>
        <v>77.818000000000012</v>
      </c>
      <c r="K5" s="71">
        <f>forecast!J3</f>
        <v>79.41200000000002</v>
      </c>
      <c r="L5" s="71">
        <f>forecast!K3</f>
        <v>79.41200000000002</v>
      </c>
    </row>
    <row r="6" spans="2:12" x14ac:dyDescent="0.35">
      <c r="B6" t="str">
        <f>forecast!A4</f>
        <v>Federal Purchases (NIPA Consistent)</v>
      </c>
      <c r="C6" t="str">
        <f>forecast!B4</f>
        <v>federal_purchases</v>
      </c>
      <c r="D6" s="71">
        <f>forecast!C4</f>
        <v>1739.8</v>
      </c>
      <c r="E6" s="71">
        <f>forecast!D4</f>
        <v>1739.8</v>
      </c>
      <c r="F6" s="71">
        <f>forecast!E4</f>
        <v>1758.2086146051113</v>
      </c>
      <c r="G6" s="71">
        <f>forecast!F4</f>
        <v>1778.2667638844491</v>
      </c>
      <c r="H6" s="71">
        <f>forecast!G4</f>
        <v>1796.1210506048053</v>
      </c>
      <c r="I6" s="71">
        <f>forecast!H4</f>
        <v>1812.4526942192465</v>
      </c>
      <c r="J6" s="71">
        <f>forecast!I4</f>
        <v>1829.0386617483377</v>
      </c>
      <c r="K6" s="71">
        <f>forecast!J4</f>
        <v>1844.3955694413226</v>
      </c>
      <c r="L6" s="71">
        <f>forecast!K4</f>
        <v>1858.246935965087</v>
      </c>
    </row>
    <row r="7" spans="2:12" x14ac:dyDescent="0.35">
      <c r="B7" t="str">
        <f>forecast!A5</f>
        <v>State Purchases (NIPA Consistent)</v>
      </c>
      <c r="C7" t="str">
        <f>forecast!B5</f>
        <v>state_purchases</v>
      </c>
      <c r="D7" s="71">
        <f>forecast!C5</f>
        <v>2906.3</v>
      </c>
      <c r="E7" s="71">
        <f>forecast!D5</f>
        <v>2938.9696941484776</v>
      </c>
      <c r="F7" s="71">
        <f>forecast!E5</f>
        <v>2976.9507189407263</v>
      </c>
      <c r="G7" s="71">
        <f>forecast!F5</f>
        <v>3009.3197717320099</v>
      </c>
      <c r="H7" s="71">
        <f>forecast!G5</f>
        <v>3040.8871142374405</v>
      </c>
      <c r="I7" s="71">
        <f>forecast!H5</f>
        <v>3069.0471880279993</v>
      </c>
      <c r="J7" s="71">
        <f>forecast!I5</f>
        <v>3096.7061928899002</v>
      </c>
      <c r="K7" s="71">
        <f>forecast!J5</f>
        <v>3124.2649839660703</v>
      </c>
      <c r="L7" s="71">
        <f>forecast!K5</f>
        <v>3152.8259128995555</v>
      </c>
    </row>
    <row r="8" spans="2:12" x14ac:dyDescent="0.35">
      <c r="B8" t="str">
        <f>forecast!A6</f>
        <v>Non-ARP Subsidies + ARP Provider Relief and PPP</v>
      </c>
      <c r="C8" t="str">
        <f>forecast!B6</f>
        <v>federal_subsidies</v>
      </c>
      <c r="D8" s="71">
        <f>forecast!C6</f>
        <v>92.073999999999998</v>
      </c>
      <c r="E8" s="71">
        <f>forecast!D6</f>
        <v>75.782000000000011</v>
      </c>
      <c r="F8" s="71">
        <f>forecast!E6</f>
        <v>75.782000000000011</v>
      </c>
      <c r="G8" s="71">
        <f>forecast!F6</f>
        <v>84.266000000000005</v>
      </c>
      <c r="H8" s="71">
        <f>forecast!G6</f>
        <v>84.266000000000005</v>
      </c>
      <c r="I8" s="71">
        <f>forecast!H6</f>
        <v>84.266000000000005</v>
      </c>
      <c r="J8" s="71">
        <f>forecast!I6</f>
        <v>84.266000000000005</v>
      </c>
      <c r="K8" s="71">
        <f>forecast!J6</f>
        <v>91.364999999999995</v>
      </c>
      <c r="L8" s="71">
        <f>forecast!K6</f>
        <v>91.364999999999995</v>
      </c>
    </row>
    <row r="9" spans="2:12" x14ac:dyDescent="0.35">
      <c r="B9" t="str">
        <f>forecast!A7</f>
        <v>ARP Subsidies less Provider Relief and PPP</v>
      </c>
      <c r="C9" t="str">
        <f>forecast!B7</f>
        <v>federal_aid_to_small_businesses_arp</v>
      </c>
      <c r="D9" s="71">
        <f>forecast!C7</f>
        <v>12.726000000000001</v>
      </c>
      <c r="E9" s="71">
        <f>forecast!D7</f>
        <v>12.726000000000001</v>
      </c>
      <c r="F9" s="71">
        <f>forecast!E7</f>
        <v>12.726000000000001</v>
      </c>
      <c r="G9" s="71">
        <f>forecast!F7</f>
        <v>1.365</v>
      </c>
      <c r="H9" s="71">
        <f>forecast!G7</f>
        <v>1.365</v>
      </c>
      <c r="I9" s="71">
        <f>forecast!H7</f>
        <v>1.365</v>
      </c>
      <c r="J9" s="71">
        <f>forecast!I7</f>
        <v>1.365</v>
      </c>
      <c r="K9" s="71">
        <f>forecast!J7</f>
        <v>-0.90100000000000025</v>
      </c>
      <c r="L9" s="71">
        <f>forecast!K7</f>
        <v>-0.90100000000000025</v>
      </c>
    </row>
    <row r="10" spans="2:12" x14ac:dyDescent="0.35">
      <c r="B10" t="str">
        <f>forecast!A8</f>
        <v>Federal UI</v>
      </c>
      <c r="C10" t="str">
        <f>forecast!B8</f>
        <v>federal_ui</v>
      </c>
      <c r="D10" s="71">
        <f>forecast!C8</f>
        <v>0</v>
      </c>
      <c r="E10" s="71">
        <f>forecast!D8</f>
        <v>0</v>
      </c>
      <c r="F10" s="71">
        <f>forecast!E8</f>
        <v>0</v>
      </c>
      <c r="G10" s="71">
        <f>forecast!F8</f>
        <v>0</v>
      </c>
      <c r="H10" s="71">
        <f>forecast!G8</f>
        <v>0</v>
      </c>
      <c r="I10" s="71">
        <f>forecast!H8</f>
        <v>0</v>
      </c>
      <c r="J10" s="71">
        <f>forecast!I8</f>
        <v>0</v>
      </c>
      <c r="K10" s="71">
        <f>forecast!J8</f>
        <v>0</v>
      </c>
      <c r="L10" s="71">
        <f>forecast!K8</f>
        <v>0</v>
      </c>
    </row>
    <row r="11" spans="2:12" x14ac:dyDescent="0.35">
      <c r="B11" t="str">
        <f>forecast!A9</f>
        <v>State UI</v>
      </c>
      <c r="C11" t="str">
        <f>forecast!B9</f>
        <v>state_ui</v>
      </c>
      <c r="D11" s="71">
        <f>forecast!C9</f>
        <v>22.8</v>
      </c>
      <c r="E11" s="71">
        <f>forecast!D9</f>
        <v>23.451428571428572</v>
      </c>
      <c r="F11" s="71">
        <f>forecast!E9</f>
        <v>26.702057142857143</v>
      </c>
      <c r="G11" s="71">
        <f>forecast!F9</f>
        <v>29.959199999999999</v>
      </c>
      <c r="H11" s="71">
        <f>forecast!G9</f>
        <v>31.913485714285713</v>
      </c>
      <c r="I11" s="71">
        <f>forecast!H9</f>
        <v>33.314057142857138</v>
      </c>
      <c r="J11" s="71">
        <f>forecast!I9</f>
        <v>33.216342857142855</v>
      </c>
      <c r="K11" s="71">
        <f>forecast!J9</f>
        <v>32.200114285714285</v>
      </c>
      <c r="L11" s="71">
        <f>forecast!K9</f>
        <v>31.652914285714289</v>
      </c>
    </row>
    <row r="12" spans="2:12" x14ac:dyDescent="0.35">
      <c r="B12" t="str">
        <f>forecast!A10</f>
        <v>Federal Medicaid</v>
      </c>
      <c r="C12" t="str">
        <f>forecast!B10</f>
        <v>medicaid_grants</v>
      </c>
      <c r="D12" s="71">
        <f>forecast!C10</f>
        <v>627.72799999999995</v>
      </c>
      <c r="E12" s="71">
        <f>forecast!D10</f>
        <v>600.94087022445149</v>
      </c>
      <c r="F12" s="71">
        <f>forecast!E10</f>
        <v>590.38143529167962</v>
      </c>
      <c r="G12" s="71">
        <f>forecast!F10</f>
        <v>582.0469888702919</v>
      </c>
      <c r="H12" s="71">
        <f>forecast!G10</f>
        <v>574.26265620574009</v>
      </c>
      <c r="I12" s="71">
        <f>forecast!H10</f>
        <v>566.58243169085847</v>
      </c>
      <c r="J12" s="71">
        <f>forecast!I10</f>
        <v>559.00492297677215</v>
      </c>
      <c r="K12" s="71">
        <f>forecast!J10</f>
        <v>547.80853606152414</v>
      </c>
      <c r="L12" s="71">
        <f>forecast!K10</f>
        <v>540.48211059635548</v>
      </c>
    </row>
    <row r="13" spans="2:12" x14ac:dyDescent="0.35">
      <c r="B13" t="str">
        <f>forecast!A11</f>
        <v>Total Medicaid</v>
      </c>
      <c r="C13" t="str">
        <f>forecast!B11</f>
        <v>medicaid</v>
      </c>
      <c r="D13" s="71">
        <f>forecast!C11</f>
        <v>813.1</v>
      </c>
      <c r="E13" s="71">
        <f>forecast!D11</f>
        <v>815.38788361526656</v>
      </c>
      <c r="F13" s="71">
        <f>forecast!E11</f>
        <v>817.68220482915194</v>
      </c>
      <c r="G13" s="71">
        <f>forecast!F11</f>
        <v>806.74647211686954</v>
      </c>
      <c r="H13" s="71">
        <f>forecast!G11</f>
        <v>795.95699457468652</v>
      </c>
      <c r="I13" s="71">
        <f>forecast!H11</f>
        <v>785.31181617685274</v>
      </c>
      <c r="J13" s="71">
        <f>forecast!I11</f>
        <v>774.80900705762838</v>
      </c>
      <c r="K13" s="71">
        <f>forecast!J11</f>
        <v>764.44666316141809</v>
      </c>
      <c r="L13" s="71">
        <f>forecast!K11</f>
        <v>754.22290589758461</v>
      </c>
    </row>
    <row r="14" spans="2:12" x14ac:dyDescent="0.35">
      <c r="B14" t="str">
        <f>forecast!A12</f>
        <v>Medicare</v>
      </c>
      <c r="C14" t="str">
        <f>forecast!B12</f>
        <v>medicare</v>
      </c>
      <c r="D14" s="71">
        <f>forecast!C12</f>
        <v>966.5</v>
      </c>
      <c r="E14" s="71">
        <f>forecast!D12</f>
        <v>993.07136024365218</v>
      </c>
      <c r="F14" s="71">
        <f>forecast!E12</f>
        <v>1020.3732297322065</v>
      </c>
      <c r="G14" s="71">
        <f>forecast!F12</f>
        <v>1044.97819254406</v>
      </c>
      <c r="H14" s="71">
        <f>forecast!G12</f>
        <v>1070.1764717790929</v>
      </c>
      <c r="I14" s="71">
        <f>forecast!H12</f>
        <v>1095.9823744850623</v>
      </c>
      <c r="J14" s="71">
        <f>forecast!I12</f>
        <v>1122.4105527054271</v>
      </c>
      <c r="K14" s="71">
        <f>forecast!J12</f>
        <v>1135.7427245750396</v>
      </c>
      <c r="L14" s="71">
        <f>forecast!K12</f>
        <v>1149.2332581121652</v>
      </c>
    </row>
    <row r="15" spans="2:12" x14ac:dyDescent="0.35">
      <c r="B15" t="str">
        <f>forecast!A13</f>
        <v>Non-ARP Rebate Checks</v>
      </c>
      <c r="C15" t="str">
        <f>forecast!B13</f>
        <v>rebate_checks</v>
      </c>
      <c r="D15" s="71">
        <f>forecast!C13</f>
        <v>0</v>
      </c>
      <c r="E15" s="71">
        <f>forecast!D13</f>
        <v>0</v>
      </c>
      <c r="F15" s="71">
        <f>forecast!E13</f>
        <v>0</v>
      </c>
      <c r="G15" s="71">
        <f>forecast!F13</f>
        <v>0</v>
      </c>
      <c r="H15" s="71">
        <f>forecast!G13</f>
        <v>0</v>
      </c>
      <c r="I15" s="71">
        <f>forecast!H13</f>
        <v>0</v>
      </c>
      <c r="J15" s="71">
        <f>forecast!I13</f>
        <v>0</v>
      </c>
      <c r="K15" s="71">
        <f>forecast!J13</f>
        <v>0</v>
      </c>
      <c r="L15" s="71">
        <f>forecast!K13</f>
        <v>0</v>
      </c>
    </row>
    <row r="16" spans="2:12" x14ac:dyDescent="0.35">
      <c r="B16" t="str">
        <f>forecast!A14</f>
        <v>ARP Rebate Checks</v>
      </c>
      <c r="C16" t="str">
        <f>forecast!B14</f>
        <v>rebate_checks_arp</v>
      </c>
      <c r="D16" s="71">
        <f>forecast!C14</f>
        <v>0</v>
      </c>
      <c r="E16" s="71">
        <f>forecast!D14</f>
        <v>0</v>
      </c>
      <c r="F16" s="71">
        <f>forecast!E14</f>
        <v>0</v>
      </c>
      <c r="G16" s="71">
        <f>forecast!F14</f>
        <v>0</v>
      </c>
      <c r="H16" s="71">
        <f>forecast!G14</f>
        <v>0</v>
      </c>
      <c r="I16" s="71">
        <f>forecast!H14</f>
        <v>0</v>
      </c>
      <c r="J16" s="71">
        <f>forecast!I14</f>
        <v>0</v>
      </c>
      <c r="K16" s="71">
        <f>forecast!J14</f>
        <v>0</v>
      </c>
      <c r="L16" s="71">
        <f>forecast!K14</f>
        <v>0</v>
      </c>
    </row>
    <row r="17" spans="2:12" x14ac:dyDescent="0.35">
      <c r="B17" t="str">
        <f>forecast!A15</f>
        <v>ARP Other Vulnerable</v>
      </c>
      <c r="C17" t="str">
        <f>forecast!B15</f>
        <v>federal_other_vulnerable_arp</v>
      </c>
      <c r="D17" s="71">
        <f>forecast!C15</f>
        <v>12</v>
      </c>
      <c r="E17" s="71">
        <f>forecast!D15</f>
        <v>12</v>
      </c>
      <c r="F17" s="71">
        <f>forecast!E15</f>
        <v>12</v>
      </c>
      <c r="G17" s="71">
        <f>forecast!F15</f>
        <v>4.2219999999999995</v>
      </c>
      <c r="H17" s="71">
        <f>forecast!G15</f>
        <v>4.2219999999999995</v>
      </c>
      <c r="I17" s="71">
        <f>forecast!H15</f>
        <v>4.2219999999999995</v>
      </c>
      <c r="J17" s="71">
        <f>forecast!I15</f>
        <v>4.2219999999999995</v>
      </c>
      <c r="K17" s="71">
        <f>forecast!J15</f>
        <v>2.3719999999999999</v>
      </c>
      <c r="L17" s="71">
        <f>forecast!K15</f>
        <v>2.3719999999999999</v>
      </c>
    </row>
    <row r="18" spans="2:12" x14ac:dyDescent="0.35">
      <c r="B18" t="str">
        <f>forecast!A16</f>
        <v xml:space="preserve">ARP Other Direct Aid plus Provider Relief </v>
      </c>
      <c r="C18" t="str">
        <f>forecast!B16</f>
        <v>federal_other_direct_aid_arp</v>
      </c>
      <c r="D18" s="71">
        <f>forecast!C16</f>
        <v>1.4159999999999999</v>
      </c>
      <c r="E18" s="71">
        <f>forecast!D16</f>
        <v>1.4159999999999999</v>
      </c>
      <c r="F18" s="71">
        <f>forecast!E16</f>
        <v>1.4159999999999999</v>
      </c>
      <c r="G18" s="71">
        <f>forecast!F16</f>
        <v>1.4790000000000001</v>
      </c>
      <c r="H18" s="71">
        <f>forecast!G16</f>
        <v>1.4790000000000001</v>
      </c>
      <c r="I18" s="71">
        <f>forecast!H16</f>
        <v>1.4790000000000001</v>
      </c>
      <c r="J18" s="71">
        <f>forecast!I16</f>
        <v>1.4790000000000001</v>
      </c>
      <c r="K18" s="71">
        <f>forecast!J16</f>
        <v>1.63</v>
      </c>
      <c r="L18" s="71">
        <f>forecast!K16</f>
        <v>1.63</v>
      </c>
    </row>
    <row r="19" spans="2:12" x14ac:dyDescent="0.35">
      <c r="B19" t="str">
        <f>forecast!A17</f>
        <v>Other Federal Social Benefits (including all SNAP)</v>
      </c>
      <c r="C19" t="str">
        <f>forecast!B17</f>
        <v>federal_social_benefits</v>
      </c>
      <c r="D19" s="71">
        <f>forecast!C17</f>
        <v>1988.674</v>
      </c>
      <c r="E19" s="71">
        <f>forecast!D17</f>
        <v>2029.674</v>
      </c>
      <c r="F19" s="71">
        <f>forecast!E17</f>
        <v>2036.674</v>
      </c>
      <c r="G19" s="71">
        <f>forecast!F17</f>
        <v>2037.223</v>
      </c>
      <c r="H19" s="71">
        <f>forecast!G17</f>
        <v>2086.5698119999997</v>
      </c>
      <c r="I19" s="71">
        <f>forecast!H17</f>
        <v>2093.5698119999997</v>
      </c>
      <c r="J19" s="71">
        <f>forecast!I17</f>
        <v>2100.5698119999997</v>
      </c>
      <c r="K19" s="71">
        <f>forecast!J17</f>
        <v>2109.097812</v>
      </c>
      <c r="L19" s="71">
        <f>forecast!K17</f>
        <v>2145.5432441600001</v>
      </c>
    </row>
    <row r="20" spans="2:12" x14ac:dyDescent="0.35">
      <c r="B20" t="str">
        <f>forecast!A18</f>
        <v>State Social Benefits ex Medicaid</v>
      </c>
      <c r="C20" t="str">
        <f>forecast!B18</f>
        <v>state_social_benefits</v>
      </c>
      <c r="D20" s="71">
        <f>forecast!C18</f>
        <v>183.57212584485049</v>
      </c>
      <c r="E20" s="71">
        <f>forecast!D18</f>
        <v>186.41879934456207</v>
      </c>
      <c r="F20" s="71">
        <f>forecast!E18</f>
        <v>189.30961652881547</v>
      </c>
      <c r="G20" s="71">
        <f>forecast!F18</f>
        <v>192.24526193866711</v>
      </c>
      <c r="H20" s="71">
        <f>forecast!G18</f>
        <v>195.22643073042826</v>
      </c>
      <c r="I20" s="71">
        <f>forecast!H18</f>
        <v>198.25382884027687</v>
      </c>
      <c r="J20" s="71">
        <f>forecast!I18</f>
        <v>201.32817315142222</v>
      </c>
      <c r="K20" s="71">
        <f>forecast!J18</f>
        <v>204.45019166386174</v>
      </c>
      <c r="L20" s="71">
        <f>forecast!K18</f>
        <v>207.62062366677031</v>
      </c>
    </row>
    <row r="21" spans="2:12" x14ac:dyDescent="0.35">
      <c r="B21" t="str">
        <f>forecast!A19</f>
        <v>Federal Non-Corporate Taxes</v>
      </c>
      <c r="C21" t="str">
        <f>forecast!B19</f>
        <v>federal_non_corporate_taxes</v>
      </c>
      <c r="D21" s="71">
        <f>forecast!C19</f>
        <v>4343.7</v>
      </c>
      <c r="E21" s="71">
        <f>forecast!D19</f>
        <v>4329.3221711136493</v>
      </c>
      <c r="F21" s="71">
        <f>forecast!E19</f>
        <v>4327.2051100458839</v>
      </c>
      <c r="G21" s="71">
        <f>forecast!F19</f>
        <v>4340.6301478375808</v>
      </c>
      <c r="H21" s="71">
        <f>forecast!G19</f>
        <v>4349.3675379932738</v>
      </c>
      <c r="I21" s="71">
        <f>forecast!H19</f>
        <v>4358.4195102567346</v>
      </c>
      <c r="J21" s="71">
        <f>forecast!I19</f>
        <v>4367.7883258097772</v>
      </c>
      <c r="K21" s="71">
        <f>forecast!J19</f>
        <v>4397.4810744762244</v>
      </c>
      <c r="L21" s="71">
        <f>forecast!K19</f>
        <v>4427.4238280406398</v>
      </c>
    </row>
    <row r="22" spans="2:12" x14ac:dyDescent="0.35">
      <c r="B22" t="str">
        <f>forecast!A20</f>
        <v>State Non-Corporate Taxes</v>
      </c>
      <c r="C22" t="str">
        <f>forecast!B20</f>
        <v>state_non_corporate_taxes</v>
      </c>
      <c r="D22" s="71">
        <f>forecast!C20</f>
        <v>2150.1999999999998</v>
      </c>
      <c r="E22" s="71">
        <f>forecast!D20</f>
        <v>2174.0594223129824</v>
      </c>
      <c r="F22" s="71">
        <f>forecast!E20</f>
        <v>2198.5904721057186</v>
      </c>
      <c r="G22" s="71">
        <f>forecast!F20</f>
        <v>2223.2147075075595</v>
      </c>
      <c r="H22" s="71">
        <f>forecast!G20</f>
        <v>2246.0489453882765</v>
      </c>
      <c r="I22" s="71">
        <f>forecast!H20</f>
        <v>2268.1787888141489</v>
      </c>
      <c r="J22" s="71">
        <f>forecast!I20</f>
        <v>2290.2143240761566</v>
      </c>
      <c r="K22" s="71">
        <f>forecast!J20</f>
        <v>2313.1893770781808</v>
      </c>
      <c r="L22" s="71">
        <f>forecast!K20</f>
        <v>2336.8784658517761</v>
      </c>
    </row>
    <row r="23" spans="2:12" x14ac:dyDescent="0.35">
      <c r="B23" t="str">
        <f>forecast!A21</f>
        <v>Federal Corporate Taxes</v>
      </c>
      <c r="C23" t="str">
        <f>forecast!B21</f>
        <v>federal_corporate_taxes</v>
      </c>
      <c r="D23" s="71">
        <f>forecast!C21</f>
        <v>341.66194166567766</v>
      </c>
      <c r="E23" s="71">
        <f>forecast!D21</f>
        <v>351.3933846561136</v>
      </c>
      <c r="F23" s="71">
        <f>forecast!E21</f>
        <v>361.40200508754401</v>
      </c>
      <c r="G23" s="71">
        <f>forecast!F21</f>
        <v>361.99675210186376</v>
      </c>
      <c r="H23" s="71">
        <f>forecast!G21</f>
        <v>362.5924778711601</v>
      </c>
      <c r="I23" s="71">
        <f>forecast!H21</f>
        <v>363.18918400613694</v>
      </c>
      <c r="J23" s="71">
        <f>forecast!I21</f>
        <v>363.78687212014876</v>
      </c>
      <c r="K23" s="71">
        <f>forecast!J21</f>
        <v>365.68659917925123</v>
      </c>
      <c r="L23" s="71">
        <f>forecast!K21</f>
        <v>379.83030278112079</v>
      </c>
    </row>
    <row r="24" spans="2:12" x14ac:dyDescent="0.35">
      <c r="B24" t="str">
        <f>forecast!A22</f>
        <v>State Corporate Taxes</v>
      </c>
      <c r="C24" s="35" t="str">
        <f>forecast!B22</f>
        <v>state_corporate_taxes</v>
      </c>
      <c r="D24" s="71">
        <f>forecast!C22</f>
        <v>109.238858295851</v>
      </c>
      <c r="E24" s="71">
        <f>forecast!D22</f>
        <v>103.04642481819329</v>
      </c>
      <c r="F24" s="71">
        <f>forecast!E22</f>
        <v>99.556412627685063</v>
      </c>
      <c r="G24" s="71">
        <f>forecast!F22</f>
        <v>97.006587078061287</v>
      </c>
      <c r="H24" s="71">
        <f>forecast!G22</f>
        <v>98.104291899617465</v>
      </c>
      <c r="I24" s="71">
        <f>forecast!H22</f>
        <v>99.86160410273655</v>
      </c>
      <c r="J24" s="71">
        <f>forecast!I22</f>
        <v>102.34743789146242</v>
      </c>
      <c r="K24" s="71">
        <f>forecast!J22</f>
        <v>105.88667451343056</v>
      </c>
      <c r="L24" s="71">
        <f>forecast!K22</f>
        <v>109.30285005674891</v>
      </c>
    </row>
    <row r="25" spans="2:12" x14ac:dyDescent="0.35">
      <c r="B25" s="35" t="str">
        <f>forecast!A23</f>
        <v>Federal Student Loans</v>
      </c>
      <c r="C25" s="35" t="str">
        <f>forecast!B23</f>
        <v>federal_student_loans</v>
      </c>
      <c r="D25" s="71">
        <f>forecast!C23</f>
        <v>0</v>
      </c>
      <c r="E25" s="71">
        <f>forecast!D23</f>
        <v>0</v>
      </c>
      <c r="F25" s="71">
        <f>forecast!E23</f>
        <v>20.815079999999998</v>
      </c>
      <c r="G25" s="71">
        <f>forecast!F23</f>
        <v>21.006180000000001</v>
      </c>
      <c r="H25" s="71">
        <f>forecast!G23</f>
        <v>25.815300000000001</v>
      </c>
      <c r="I25" s="71">
        <f>forecast!H23</f>
        <v>26.04045</v>
      </c>
      <c r="J25" s="71">
        <f>forecast!I23</f>
        <v>26.26465</v>
      </c>
      <c r="K25" s="71">
        <f>forecast!J23</f>
        <v>26.498349999999999</v>
      </c>
      <c r="L25" s="71">
        <f>forecast!K23</f>
        <v>26.454419999999999</v>
      </c>
    </row>
    <row r="27" spans="2:12" x14ac:dyDescent="0.35">
      <c r="B27" s="1587" t="s">
        <v>2210</v>
      </c>
      <c r="C27" s="1587"/>
      <c r="D27" s="1587"/>
      <c r="E27" s="1587"/>
      <c r="F27" s="1587"/>
      <c r="G27" s="1587"/>
      <c r="H27" s="1587"/>
      <c r="I27" s="1587"/>
      <c r="J27" s="1587"/>
      <c r="K27" s="1587"/>
      <c r="L27" s="1587"/>
    </row>
    <row r="28" spans="2:12" x14ac:dyDescent="0.35">
      <c r="B28" t="s">
        <v>178</v>
      </c>
      <c r="C28" t="s">
        <v>179</v>
      </c>
      <c r="D28" t="s">
        <v>186</v>
      </c>
      <c r="E28" t="s">
        <v>187</v>
      </c>
      <c r="F28" t="s">
        <v>188</v>
      </c>
      <c r="G28" t="s">
        <v>189</v>
      </c>
      <c r="H28" t="s">
        <v>190</v>
      </c>
      <c r="I28" t="s">
        <v>191</v>
      </c>
      <c r="J28" t="s">
        <v>175</v>
      </c>
      <c r="K28" t="s">
        <v>176</v>
      </c>
      <c r="L28" t="s">
        <v>177</v>
      </c>
    </row>
    <row r="29" spans="2:12" x14ac:dyDescent="0.35">
      <c r="B29" t="s">
        <v>192</v>
      </c>
      <c r="C29" t="s">
        <v>193</v>
      </c>
      <c r="D29" s="71">
        <v>432.05586867252998</v>
      </c>
      <c r="E29" s="71">
        <v>436.24025249520497</v>
      </c>
      <c r="F29" s="71">
        <v>434.95046872262196</v>
      </c>
      <c r="G29" s="71">
        <v>435.19341066666652</v>
      </c>
      <c r="H29" s="71">
        <v>423.66458905143122</v>
      </c>
      <c r="I29" s="71">
        <v>403.68250183501317</v>
      </c>
      <c r="J29" s="71">
        <v>408.02133523152685</v>
      </c>
      <c r="K29" s="71">
        <v>412.64987343333314</v>
      </c>
      <c r="L29" s="71">
        <v>395.69525313348845</v>
      </c>
    </row>
    <row r="30" spans="2:12" x14ac:dyDescent="0.35">
      <c r="B30" t="s">
        <v>134</v>
      </c>
      <c r="C30" t="s">
        <v>194</v>
      </c>
      <c r="D30" s="71">
        <v>76.15900000000002</v>
      </c>
      <c r="E30" s="71">
        <v>76.15900000000002</v>
      </c>
      <c r="F30" s="71">
        <v>76.15900000000002</v>
      </c>
      <c r="G30" s="71">
        <v>77.818000000000012</v>
      </c>
      <c r="H30" s="71">
        <v>77.818000000000012</v>
      </c>
      <c r="I30" s="71">
        <v>77.818000000000012</v>
      </c>
      <c r="J30" s="71">
        <v>77.818000000000012</v>
      </c>
      <c r="K30" s="71">
        <v>79.41200000000002</v>
      </c>
      <c r="L30" s="71">
        <v>79.41200000000002</v>
      </c>
    </row>
    <row r="31" spans="2:12" x14ac:dyDescent="0.35">
      <c r="B31" t="s">
        <v>195</v>
      </c>
      <c r="C31" t="s">
        <v>196</v>
      </c>
      <c r="D31" s="71">
        <v>1711.4924720854842</v>
      </c>
      <c r="E31" s="71">
        <v>1727.5580501860964</v>
      </c>
      <c r="F31" s="71">
        <v>1750.0295233521426</v>
      </c>
      <c r="G31" s="71">
        <v>1769.9589746668264</v>
      </c>
      <c r="H31" s="71">
        <v>1787.7531276263653</v>
      </c>
      <c r="I31" s="71">
        <v>1804.0220674750865</v>
      </c>
      <c r="J31" s="71">
        <v>1820.4943690719167</v>
      </c>
      <c r="K31" s="71">
        <v>1835.8481810541475</v>
      </c>
      <c r="L31" s="71">
        <v>1849.5750990515062</v>
      </c>
    </row>
    <row r="32" spans="2:12" x14ac:dyDescent="0.35">
      <c r="B32" t="s">
        <v>197</v>
      </c>
      <c r="C32" t="s">
        <v>198</v>
      </c>
      <c r="D32" s="71">
        <v>2910.7060569119849</v>
      </c>
      <c r="E32" s="71">
        <v>2943.4252795095954</v>
      </c>
      <c r="F32" s="71">
        <v>2981.4638849221551</v>
      </c>
      <c r="G32" s="71">
        <v>3013.8820103792973</v>
      </c>
      <c r="H32" s="71">
        <v>3045.4972101285221</v>
      </c>
      <c r="I32" s="71">
        <v>3073.6999756191003</v>
      </c>
      <c r="J32" s="71">
        <v>3101.4009125422303</v>
      </c>
      <c r="K32" s="71">
        <v>3129.0014837518715</v>
      </c>
      <c r="L32" s="71">
        <v>3157.6057120964088</v>
      </c>
    </row>
    <row r="33" spans="2:12" x14ac:dyDescent="0.35">
      <c r="B33" t="s">
        <v>199</v>
      </c>
      <c r="C33" t="s">
        <v>200</v>
      </c>
      <c r="D33" s="71">
        <v>83.295999999999992</v>
      </c>
      <c r="E33" s="71">
        <v>75.782000000000011</v>
      </c>
      <c r="F33" s="71">
        <v>75.782000000000011</v>
      </c>
      <c r="G33" s="71">
        <v>84.266000000000005</v>
      </c>
      <c r="H33" s="71">
        <v>84.266000000000005</v>
      </c>
      <c r="I33" s="71">
        <v>84.266000000000005</v>
      </c>
      <c r="J33" s="71">
        <v>84.266000000000005</v>
      </c>
      <c r="K33" s="71">
        <v>91.364999999999995</v>
      </c>
      <c r="L33" s="71">
        <v>91.364999999999995</v>
      </c>
    </row>
    <row r="34" spans="2:12" x14ac:dyDescent="0.35">
      <c r="B34" t="s">
        <v>201</v>
      </c>
      <c r="C34" t="s">
        <v>202</v>
      </c>
      <c r="D34" s="71">
        <v>12.726000000000001</v>
      </c>
      <c r="E34" s="71">
        <v>12.726000000000001</v>
      </c>
      <c r="F34" s="71">
        <v>12.726000000000001</v>
      </c>
      <c r="G34" s="71">
        <v>1.365</v>
      </c>
      <c r="H34" s="71">
        <v>1.365</v>
      </c>
      <c r="I34" s="71">
        <v>1.365</v>
      </c>
      <c r="J34" s="71">
        <v>1.365</v>
      </c>
      <c r="K34" s="71">
        <v>-0.90100000000000025</v>
      </c>
      <c r="L34" s="71">
        <v>-0.90100000000000025</v>
      </c>
    </row>
    <row r="35" spans="2:12" x14ac:dyDescent="0.35">
      <c r="B35" t="s">
        <v>203</v>
      </c>
      <c r="C35" t="s">
        <v>204</v>
      </c>
      <c r="D35" s="71">
        <v>0.33575000000000088</v>
      </c>
      <c r="E35" s="71">
        <v>0.38325000000000031</v>
      </c>
      <c r="F35" s="71">
        <v>0.40824999999999889</v>
      </c>
      <c r="G35" s="71">
        <v>0.42616666666666703</v>
      </c>
      <c r="H35" s="71">
        <v>0.42491666666666816</v>
      </c>
      <c r="I35" s="71">
        <v>0.41191666666666649</v>
      </c>
      <c r="J35" s="71">
        <v>0.40491666666666504</v>
      </c>
      <c r="K35" s="71">
        <v>0.39991666666666603</v>
      </c>
      <c r="L35" s="71">
        <v>0.39799999999999969</v>
      </c>
    </row>
    <row r="36" spans="2:12" x14ac:dyDescent="0.35">
      <c r="B36" t="s">
        <v>205</v>
      </c>
      <c r="C36" t="s">
        <v>206</v>
      </c>
      <c r="D36" s="71">
        <v>22.495249999999995</v>
      </c>
      <c r="E36" s="71">
        <v>25.677749999999996</v>
      </c>
      <c r="F36" s="71">
        <v>27.352749999999993</v>
      </c>
      <c r="G36" s="71">
        <v>28.553166666666659</v>
      </c>
      <c r="H36" s="71">
        <v>28.46941666666666</v>
      </c>
      <c r="I36" s="71">
        <v>27.598416666666658</v>
      </c>
      <c r="J36" s="71">
        <v>27.129416666666657</v>
      </c>
      <c r="K36" s="71">
        <v>26.794416666666656</v>
      </c>
      <c r="L36" s="71">
        <v>26.665999999999986</v>
      </c>
    </row>
    <row r="37" spans="2:12" x14ac:dyDescent="0.35">
      <c r="B37" t="s">
        <v>207</v>
      </c>
      <c r="C37" t="s">
        <v>208</v>
      </c>
      <c r="D37" s="71">
        <v>607.78861211388426</v>
      </c>
      <c r="E37" s="71">
        <v>592.56406392364966</v>
      </c>
      <c r="F37" s="71">
        <v>573.36139900906664</v>
      </c>
      <c r="G37" s="71">
        <v>566.53217150889088</v>
      </c>
      <c r="H37" s="71">
        <v>560.21352106375559</v>
      </c>
      <c r="I37" s="71">
        <v>553.96534383348023</v>
      </c>
      <c r="J37" s="71">
        <v>547.78685381572848</v>
      </c>
      <c r="K37" s="71">
        <v>537.95972084866276</v>
      </c>
      <c r="L37" s="71">
        <v>531.95974485338616</v>
      </c>
    </row>
    <row r="38" spans="2:12" x14ac:dyDescent="0.35">
      <c r="B38" t="s">
        <v>209</v>
      </c>
      <c r="C38" t="s">
        <v>210</v>
      </c>
      <c r="D38" s="71">
        <v>800.10133999929667</v>
      </c>
      <c r="E38" s="71">
        <v>804.02179636858841</v>
      </c>
      <c r="F38" s="71">
        <v>807.96146277712785</v>
      </c>
      <c r="G38" s="71">
        <v>798.95010152851296</v>
      </c>
      <c r="H38" s="71">
        <v>790.03924585509458</v>
      </c>
      <c r="I38" s="71">
        <v>781.22777479741205</v>
      </c>
      <c r="J38" s="71">
        <v>772.51457989829726</v>
      </c>
      <c r="K38" s="71">
        <v>763.89856506343403</v>
      </c>
      <c r="L38" s="71">
        <v>755.3786464234729</v>
      </c>
    </row>
    <row r="39" spans="2:12" x14ac:dyDescent="0.35">
      <c r="B39" t="s">
        <v>55</v>
      </c>
      <c r="C39" t="s">
        <v>211</v>
      </c>
      <c r="D39" s="71">
        <v>967.48680062640756</v>
      </c>
      <c r="E39" s="71">
        <v>994.0852903423131</v>
      </c>
      <c r="F39" s="71">
        <v>1021.4150351561788</v>
      </c>
      <c r="G39" s="71">
        <v>1046.0451197401123</v>
      </c>
      <c r="H39" s="71">
        <v>1071.2691265258266</v>
      </c>
      <c r="I39" s="71">
        <v>1097.1013771686355</v>
      </c>
      <c r="J39" s="71">
        <v>1123.5565386717965</v>
      </c>
      <c r="K39" s="71">
        <v>1150.6496317141234</v>
      </c>
      <c r="L39" s="71">
        <v>1178.396039178409</v>
      </c>
    </row>
    <row r="40" spans="2:12" x14ac:dyDescent="0.35">
      <c r="B40" t="s">
        <v>212</v>
      </c>
      <c r="C40" t="s">
        <v>213</v>
      </c>
      <c r="D40" s="71">
        <v>0</v>
      </c>
      <c r="E40" s="71">
        <v>0</v>
      </c>
      <c r="F40" s="71">
        <v>0</v>
      </c>
      <c r="G40" s="71">
        <v>0</v>
      </c>
      <c r="H40" s="71">
        <v>0</v>
      </c>
      <c r="I40" s="71">
        <v>0</v>
      </c>
      <c r="J40" s="71">
        <v>0</v>
      </c>
      <c r="K40" s="71">
        <v>0</v>
      </c>
      <c r="L40" s="71">
        <v>0</v>
      </c>
    </row>
    <row r="41" spans="2:12" x14ac:dyDescent="0.35">
      <c r="B41" t="s">
        <v>214</v>
      </c>
      <c r="C41" t="s">
        <v>215</v>
      </c>
      <c r="D41" s="71">
        <v>0</v>
      </c>
      <c r="E41" s="71">
        <v>0</v>
      </c>
      <c r="F41" s="71">
        <v>0</v>
      </c>
      <c r="G41" s="71">
        <v>0</v>
      </c>
      <c r="H41" s="71">
        <v>0</v>
      </c>
      <c r="I41" s="71">
        <v>0</v>
      </c>
      <c r="J41" s="71">
        <v>0</v>
      </c>
      <c r="K41" s="71">
        <v>0</v>
      </c>
      <c r="L41" s="71">
        <v>0</v>
      </c>
    </row>
    <row r="42" spans="2:12" x14ac:dyDescent="0.35">
      <c r="B42" t="s">
        <v>216</v>
      </c>
      <c r="C42" t="s">
        <v>217</v>
      </c>
      <c r="D42" s="71">
        <v>12</v>
      </c>
      <c r="E42" s="71">
        <v>12</v>
      </c>
      <c r="F42" s="71">
        <v>12</v>
      </c>
      <c r="G42" s="71">
        <v>4.2219999999999995</v>
      </c>
      <c r="H42" s="71">
        <v>4.2219999999999995</v>
      </c>
      <c r="I42" s="71">
        <v>4.2219999999999995</v>
      </c>
      <c r="J42" s="71">
        <v>4.2219999999999995</v>
      </c>
      <c r="K42" s="71">
        <v>2.3719999999999999</v>
      </c>
      <c r="L42" s="71">
        <v>2.3719999999999999</v>
      </c>
    </row>
    <row r="43" spans="2:12" x14ac:dyDescent="0.35">
      <c r="B43" t="s">
        <v>802</v>
      </c>
      <c r="C43" t="s">
        <v>219</v>
      </c>
      <c r="D43" s="71">
        <v>1.4159999999999999</v>
      </c>
      <c r="E43" s="71">
        <v>1.4159999999999999</v>
      </c>
      <c r="F43" s="71">
        <v>1.4159999999999999</v>
      </c>
      <c r="G43" s="71">
        <v>1.4790000000000001</v>
      </c>
      <c r="H43" s="71">
        <v>1.4790000000000001</v>
      </c>
      <c r="I43" s="71">
        <v>1.4790000000000001</v>
      </c>
      <c r="J43" s="71">
        <v>1.4790000000000001</v>
      </c>
      <c r="K43" s="71">
        <v>1.63</v>
      </c>
      <c r="L43" s="71">
        <v>1.63</v>
      </c>
    </row>
    <row r="44" spans="2:12" x14ac:dyDescent="0.35">
      <c r="B44" t="s">
        <v>220</v>
      </c>
      <c r="C44" t="s">
        <v>221</v>
      </c>
      <c r="D44" s="71">
        <v>1956.1135550000004</v>
      </c>
      <c r="E44" s="71">
        <v>1963.1135550000004</v>
      </c>
      <c r="F44" s="71">
        <v>1970.1135550000004</v>
      </c>
      <c r="G44" s="71">
        <v>1970.6625550000003</v>
      </c>
      <c r="H44" s="71">
        <v>2020.0585190120005</v>
      </c>
      <c r="I44" s="71">
        <v>2027.0585190120005</v>
      </c>
      <c r="J44" s="71">
        <v>2034.0585190120005</v>
      </c>
      <c r="K44" s="71">
        <v>2042.5865190120005</v>
      </c>
      <c r="L44" s="71">
        <v>2079.0653745401605</v>
      </c>
    </row>
    <row r="45" spans="2:12" x14ac:dyDescent="0.35">
      <c r="B45" t="s">
        <v>222</v>
      </c>
      <c r="C45" t="s">
        <v>223</v>
      </c>
      <c r="D45" s="71">
        <v>183.57212584485049</v>
      </c>
      <c r="E45" s="71">
        <v>186.41879934456207</v>
      </c>
      <c r="F45" s="71">
        <v>189.30961652881547</v>
      </c>
      <c r="G45" s="71">
        <v>192.24526193866711</v>
      </c>
      <c r="H45" s="71">
        <v>195.22643073042826</v>
      </c>
      <c r="I45" s="71">
        <v>198.25382884027687</v>
      </c>
      <c r="J45" s="71">
        <v>201.32817315142222</v>
      </c>
      <c r="K45" s="71">
        <v>204.45019166386174</v>
      </c>
      <c r="L45" s="71">
        <v>207.62062366677031</v>
      </c>
    </row>
    <row r="46" spans="2:12" x14ac:dyDescent="0.35">
      <c r="B46" t="s">
        <v>224</v>
      </c>
      <c r="C46" t="s">
        <v>225</v>
      </c>
      <c r="D46" s="71">
        <v>4497.3807515265707</v>
      </c>
      <c r="E46" s="71">
        <v>4493.2459922916623</v>
      </c>
      <c r="F46" s="71">
        <v>4489.6936165752168</v>
      </c>
      <c r="G46" s="71">
        <v>4502.4261481003277</v>
      </c>
      <c r="H46" s="71">
        <v>4510.4772398632649</v>
      </c>
      <c r="I46" s="71">
        <v>4518.8491132147274</v>
      </c>
      <c r="J46" s="71">
        <v>4527.5440212808317</v>
      </c>
      <c r="K46" s="71">
        <v>4558.0242648450767</v>
      </c>
      <c r="L46" s="71">
        <v>4588.7588493462708</v>
      </c>
    </row>
    <row r="47" spans="2:12" x14ac:dyDescent="0.35">
      <c r="B47" t="s">
        <v>226</v>
      </c>
      <c r="C47" t="s">
        <v>227</v>
      </c>
      <c r="D47" s="71">
        <v>2219.7544492680749</v>
      </c>
      <c r="E47" s="71">
        <v>2244.5297223284315</v>
      </c>
      <c r="F47" s="71">
        <v>2269.9204412935655</v>
      </c>
      <c r="G47" s="71">
        <v>2295.455127307594</v>
      </c>
      <c r="H47" s="71">
        <v>2319.0752385454025</v>
      </c>
      <c r="I47" s="71">
        <v>2341.9478915458185</v>
      </c>
      <c r="J47" s="71">
        <v>2364.728957797131</v>
      </c>
      <c r="K47" s="71">
        <v>2388.4609646413296</v>
      </c>
      <c r="L47" s="71">
        <v>2412.9324467446058</v>
      </c>
    </row>
    <row r="48" spans="2:12" x14ac:dyDescent="0.35">
      <c r="B48" t="s">
        <v>228</v>
      </c>
      <c r="C48" t="s">
        <v>229</v>
      </c>
      <c r="D48" s="71">
        <v>341.66194166567766</v>
      </c>
      <c r="E48" s="71">
        <v>351.3933846561136</v>
      </c>
      <c r="F48" s="71">
        <v>361.40200508754401</v>
      </c>
      <c r="G48" s="71">
        <v>361.99675210186376</v>
      </c>
      <c r="H48" s="71">
        <v>362.5924778711601</v>
      </c>
      <c r="I48" s="71">
        <v>363.18918400613694</v>
      </c>
      <c r="J48" s="71">
        <v>363.78687212014876</v>
      </c>
      <c r="K48" s="71">
        <v>365.68659917925123</v>
      </c>
      <c r="L48" s="71">
        <v>379.83030278112079</v>
      </c>
    </row>
    <row r="49" spans="2:13" x14ac:dyDescent="0.35">
      <c r="B49" t="s">
        <v>230</v>
      </c>
      <c r="C49" s="35" t="s">
        <v>231</v>
      </c>
      <c r="D49" s="71">
        <v>109.238858295851</v>
      </c>
      <c r="E49" s="71">
        <v>103.04642481819329</v>
      </c>
      <c r="F49" s="71">
        <v>99.556412627685063</v>
      </c>
      <c r="G49" s="71">
        <v>97.006587078061287</v>
      </c>
      <c r="H49" s="71">
        <v>98.104291899617465</v>
      </c>
      <c r="I49" s="71">
        <v>99.86160410273655</v>
      </c>
      <c r="J49" s="71">
        <v>102.34743789146242</v>
      </c>
      <c r="K49" s="71">
        <v>105.88667451343056</v>
      </c>
      <c r="L49" s="71">
        <v>109.30285005674891</v>
      </c>
    </row>
    <row r="50" spans="2:13" x14ac:dyDescent="0.35">
      <c r="B50" s="35" t="s">
        <v>1396</v>
      </c>
      <c r="C50" s="35" t="s">
        <v>1395</v>
      </c>
      <c r="D50" s="71">
        <v>0</v>
      </c>
      <c r="E50" s="71">
        <v>0</v>
      </c>
      <c r="F50" s="71">
        <v>20.815079999999998</v>
      </c>
      <c r="G50" s="71">
        <v>21.006180000000001</v>
      </c>
      <c r="H50" s="71">
        <v>25.815300000000001</v>
      </c>
      <c r="I50" s="71">
        <v>26.04045</v>
      </c>
      <c r="J50" s="71">
        <v>26.26465</v>
      </c>
      <c r="K50" s="71">
        <v>26.498349999999999</v>
      </c>
      <c r="L50" s="71">
        <v>26.454419999999999</v>
      </c>
    </row>
    <row r="51" spans="2:13" x14ac:dyDescent="0.35">
      <c r="D51" s="70"/>
      <c r="E51" s="70"/>
      <c r="F51" s="70"/>
      <c r="G51" s="70"/>
      <c r="H51" s="70"/>
      <c r="I51" s="70"/>
      <c r="J51" s="70"/>
      <c r="K51" s="70"/>
      <c r="L51" s="70"/>
    </row>
    <row r="52" spans="2:13" x14ac:dyDescent="0.35">
      <c r="B52" s="1587" t="s">
        <v>232</v>
      </c>
      <c r="C52" s="1587"/>
      <c r="D52" s="1587"/>
      <c r="E52" s="1587"/>
      <c r="F52" s="1587"/>
      <c r="G52" s="1587"/>
      <c r="H52" s="1587"/>
      <c r="I52" s="1587"/>
      <c r="J52" s="1587"/>
      <c r="K52" s="1587"/>
      <c r="L52" s="1587"/>
    </row>
    <row r="53" spans="2:13" x14ac:dyDescent="0.35">
      <c r="B53" t="s">
        <v>178</v>
      </c>
      <c r="C53" t="s">
        <v>179</v>
      </c>
      <c r="D53" t="s">
        <v>186</v>
      </c>
      <c r="E53" t="s">
        <v>187</v>
      </c>
      <c r="F53" t="s">
        <v>188</v>
      </c>
      <c r="G53" t="s">
        <v>189</v>
      </c>
      <c r="H53" t="s">
        <v>190</v>
      </c>
      <c r="I53" t="s">
        <v>191</v>
      </c>
      <c r="J53" t="s">
        <v>175</v>
      </c>
      <c r="K53" t="s">
        <v>176</v>
      </c>
      <c r="L53" t="s">
        <v>177</v>
      </c>
    </row>
    <row r="54" spans="2:13" x14ac:dyDescent="0.35">
      <c r="B54" s="35" t="s">
        <v>192</v>
      </c>
      <c r="C54" s="35" t="s">
        <v>193</v>
      </c>
      <c r="D54" s="71">
        <f t="shared" ref="D54:L54" si="0">D4-D29</f>
        <v>16.690674527470094</v>
      </c>
      <c r="E54" s="71">
        <f t="shared" si="0"/>
        <v>11.388935379579436</v>
      </c>
      <c r="F54" s="71">
        <f t="shared" si="0"/>
        <v>11.501155190034297</v>
      </c>
      <c r="G54" s="71">
        <f t="shared" si="0"/>
        <v>11.614480747904508</v>
      </c>
      <c r="H54" s="71">
        <f t="shared" si="0"/>
        <v>11.728922948568879</v>
      </c>
      <c r="I54" s="71">
        <f t="shared" si="0"/>
        <v>11.844492794762573</v>
      </c>
      <c r="J54" s="71">
        <f t="shared" si="0"/>
        <v>11.961201397635705</v>
      </c>
      <c r="K54" s="71">
        <f t="shared" si="0"/>
        <v>12.079059977820748</v>
      </c>
      <c r="L54" s="71">
        <f t="shared" si="0"/>
        <v>12.198079866511534</v>
      </c>
      <c r="M54" t="s">
        <v>930</v>
      </c>
    </row>
    <row r="55" spans="2:13" x14ac:dyDescent="0.35">
      <c r="B55" s="35" t="s">
        <v>134</v>
      </c>
      <c r="C55" s="35" t="s">
        <v>194</v>
      </c>
      <c r="D55" s="71">
        <f t="shared" ref="D55:L55" si="1">D5-D30</f>
        <v>0</v>
      </c>
      <c r="E55" s="71">
        <f t="shared" si="1"/>
        <v>0</v>
      </c>
      <c r="F55" s="71">
        <f t="shared" si="1"/>
        <v>0</v>
      </c>
      <c r="G55" s="71">
        <f t="shared" si="1"/>
        <v>0</v>
      </c>
      <c r="H55" s="71">
        <f t="shared" si="1"/>
        <v>0</v>
      </c>
      <c r="I55" s="71">
        <f t="shared" si="1"/>
        <v>0</v>
      </c>
      <c r="J55" s="71">
        <f t="shared" si="1"/>
        <v>0</v>
      </c>
      <c r="K55" s="71">
        <f t="shared" si="1"/>
        <v>0</v>
      </c>
      <c r="L55" s="71">
        <f t="shared" si="1"/>
        <v>0</v>
      </c>
      <c r="M55" t="s">
        <v>930</v>
      </c>
    </row>
    <row r="56" spans="2:13" x14ac:dyDescent="0.35">
      <c r="B56" s="35" t="s">
        <v>195</v>
      </c>
      <c r="C56" s="35" t="s">
        <v>196</v>
      </c>
      <c r="D56" s="71">
        <f t="shared" ref="D56:L56" si="2">D6-D31</f>
        <v>28.307527914515731</v>
      </c>
      <c r="E56" s="71">
        <f t="shared" si="2"/>
        <v>12.241949813903602</v>
      </c>
      <c r="F56" s="71">
        <f t="shared" si="2"/>
        <v>8.1790912529686466</v>
      </c>
      <c r="G56" s="71">
        <f t="shared" si="2"/>
        <v>8.3077892176227124</v>
      </c>
      <c r="H56" s="71">
        <f t="shared" si="2"/>
        <v>8.3679229784399922</v>
      </c>
      <c r="I56" s="71">
        <f t="shared" si="2"/>
        <v>8.4306267441600085</v>
      </c>
      <c r="J56" s="71">
        <f t="shared" si="2"/>
        <v>8.544292676421037</v>
      </c>
      <c r="K56" s="71">
        <f t="shared" si="2"/>
        <v>8.5473883871750331</v>
      </c>
      <c r="L56" s="71">
        <f t="shared" si="2"/>
        <v>8.6718369135808189</v>
      </c>
      <c r="M56" t="s">
        <v>930</v>
      </c>
    </row>
    <row r="57" spans="2:13" x14ac:dyDescent="0.35">
      <c r="B57" s="35" t="s">
        <v>197</v>
      </c>
      <c r="C57" s="35" t="s">
        <v>198</v>
      </c>
      <c r="D57" s="71">
        <f t="shared" ref="D57:L57" si="3">D7-D32</f>
        <v>-4.4060569119847059</v>
      </c>
      <c r="E57" s="71">
        <f t="shared" si="3"/>
        <v>-4.4555853611177554</v>
      </c>
      <c r="F57" s="71">
        <f t="shared" si="3"/>
        <v>-4.5131659814287559</v>
      </c>
      <c r="G57" s="71">
        <f t="shared" si="3"/>
        <v>-4.5622386472873586</v>
      </c>
      <c r="H57" s="71">
        <f t="shared" si="3"/>
        <v>-4.610095891081528</v>
      </c>
      <c r="I57" s="71">
        <f t="shared" si="3"/>
        <v>-4.6527875911010597</v>
      </c>
      <c r="J57" s="71">
        <f t="shared" si="3"/>
        <v>-4.69471965233015</v>
      </c>
      <c r="K57" s="71">
        <f t="shared" si="3"/>
        <v>-4.736499785801243</v>
      </c>
      <c r="L57" s="71">
        <f t="shared" si="3"/>
        <v>-4.7797991968532187</v>
      </c>
      <c r="M57" t="s">
        <v>930</v>
      </c>
    </row>
    <row r="58" spans="2:13" x14ac:dyDescent="0.35">
      <c r="B58" s="35" t="s">
        <v>199</v>
      </c>
      <c r="C58" s="35" t="s">
        <v>200</v>
      </c>
      <c r="D58" s="71">
        <f t="shared" ref="D58:L58" si="4">D8-D33</f>
        <v>8.7780000000000058</v>
      </c>
      <c r="E58" s="71">
        <f t="shared" si="4"/>
        <v>0</v>
      </c>
      <c r="F58" s="71">
        <f t="shared" si="4"/>
        <v>0</v>
      </c>
      <c r="G58" s="71">
        <f t="shared" si="4"/>
        <v>0</v>
      </c>
      <c r="H58" s="71">
        <f t="shared" si="4"/>
        <v>0</v>
      </c>
      <c r="I58" s="71">
        <f t="shared" si="4"/>
        <v>0</v>
      </c>
      <c r="J58" s="71">
        <f t="shared" si="4"/>
        <v>0</v>
      </c>
      <c r="K58" s="71">
        <f t="shared" si="4"/>
        <v>0</v>
      </c>
      <c r="L58" s="71">
        <f t="shared" si="4"/>
        <v>0</v>
      </c>
      <c r="M58" t="s">
        <v>930</v>
      </c>
    </row>
    <row r="59" spans="2:13" x14ac:dyDescent="0.35">
      <c r="B59" s="35" t="s">
        <v>201</v>
      </c>
      <c r="C59" s="35" t="s">
        <v>202</v>
      </c>
      <c r="D59" s="71">
        <f t="shared" ref="D59:L59" si="5">D9-D34</f>
        <v>0</v>
      </c>
      <c r="E59" s="71">
        <f t="shared" si="5"/>
        <v>0</v>
      </c>
      <c r="F59" s="71">
        <f t="shared" si="5"/>
        <v>0</v>
      </c>
      <c r="G59" s="71">
        <f t="shared" si="5"/>
        <v>0</v>
      </c>
      <c r="H59" s="71">
        <f t="shared" si="5"/>
        <v>0</v>
      </c>
      <c r="I59" s="71">
        <f t="shared" si="5"/>
        <v>0</v>
      </c>
      <c r="J59" s="71">
        <f t="shared" si="5"/>
        <v>0</v>
      </c>
      <c r="K59" s="71">
        <f t="shared" si="5"/>
        <v>0</v>
      </c>
      <c r="L59" s="71">
        <f t="shared" si="5"/>
        <v>0</v>
      </c>
      <c r="M59" t="s">
        <v>930</v>
      </c>
    </row>
    <row r="60" spans="2:13" x14ac:dyDescent="0.35">
      <c r="B60" s="35" t="s">
        <v>203</v>
      </c>
      <c r="C60" s="35" t="s">
        <v>204</v>
      </c>
      <c r="D60" s="71">
        <f t="shared" ref="D60:L60" si="6">D10-D35</f>
        <v>-0.33575000000000088</v>
      </c>
      <c r="E60" s="71">
        <f t="shared" si="6"/>
        <v>-0.38325000000000031</v>
      </c>
      <c r="F60" s="71">
        <f t="shared" si="6"/>
        <v>-0.40824999999999889</v>
      </c>
      <c r="G60" s="71">
        <f t="shared" si="6"/>
        <v>-0.42616666666666703</v>
      </c>
      <c r="H60" s="71">
        <f t="shared" si="6"/>
        <v>-0.42491666666666816</v>
      </c>
      <c r="I60" s="71">
        <f t="shared" si="6"/>
        <v>-0.41191666666666649</v>
      </c>
      <c r="J60" s="71">
        <f t="shared" si="6"/>
        <v>-0.40491666666666504</v>
      </c>
      <c r="K60" s="71">
        <f t="shared" si="6"/>
        <v>-0.39991666666666603</v>
      </c>
      <c r="L60" s="71">
        <f t="shared" si="6"/>
        <v>-0.39799999999999969</v>
      </c>
      <c r="M60" t="s">
        <v>930</v>
      </c>
    </row>
    <row r="61" spans="2:13" x14ac:dyDescent="0.35">
      <c r="B61" s="35" t="s">
        <v>205</v>
      </c>
      <c r="C61" s="35" t="s">
        <v>206</v>
      </c>
      <c r="D61" s="71">
        <f t="shared" ref="D61:L61" si="7">D11-D36</f>
        <v>0.30475000000000563</v>
      </c>
      <c r="E61" s="71">
        <f t="shared" si="7"/>
        <v>-2.2263214285714241</v>
      </c>
      <c r="F61" s="71">
        <f t="shared" si="7"/>
        <v>-0.6506928571428503</v>
      </c>
      <c r="G61" s="71">
        <f t="shared" si="7"/>
        <v>1.4060333333333404</v>
      </c>
      <c r="H61" s="71">
        <f t="shared" si="7"/>
        <v>3.4440690476190525</v>
      </c>
      <c r="I61" s="71">
        <f t="shared" si="7"/>
        <v>5.7156404761904795</v>
      </c>
      <c r="J61" s="71">
        <f t="shared" si="7"/>
        <v>6.0869261904761984</v>
      </c>
      <c r="K61" s="71">
        <f t="shared" si="7"/>
        <v>5.4056976190476291</v>
      </c>
      <c r="L61" s="71">
        <f t="shared" si="7"/>
        <v>4.9869142857143025</v>
      </c>
      <c r="M61" t="s">
        <v>930</v>
      </c>
    </row>
    <row r="62" spans="2:13" x14ac:dyDescent="0.35">
      <c r="B62" s="35" t="s">
        <v>207</v>
      </c>
      <c r="C62" s="35" t="s">
        <v>208</v>
      </c>
      <c r="D62" s="71">
        <f t="shared" ref="D62:L62" si="8">D12-D37</f>
        <v>19.939387886115696</v>
      </c>
      <c r="E62" s="71">
        <f t="shared" si="8"/>
        <v>8.3768063008018316</v>
      </c>
      <c r="F62" s="71">
        <f t="shared" si="8"/>
        <v>17.020036282612978</v>
      </c>
      <c r="G62" s="71">
        <f t="shared" si="8"/>
        <v>15.514817361401015</v>
      </c>
      <c r="H62" s="71">
        <f t="shared" si="8"/>
        <v>14.049135141984493</v>
      </c>
      <c r="I62" s="71">
        <f t="shared" si="8"/>
        <v>12.617087857378237</v>
      </c>
      <c r="J62" s="71">
        <f t="shared" si="8"/>
        <v>11.218069161043672</v>
      </c>
      <c r="K62" s="71">
        <f t="shared" si="8"/>
        <v>9.848815212861382</v>
      </c>
      <c r="L62" s="71">
        <f t="shared" si="8"/>
        <v>8.5223657429693276</v>
      </c>
      <c r="M62" t="s">
        <v>930</v>
      </c>
    </row>
    <row r="63" spans="2:13" x14ac:dyDescent="0.35">
      <c r="B63" s="35" t="s">
        <v>209</v>
      </c>
      <c r="C63" s="35" t="s">
        <v>210</v>
      </c>
      <c r="D63" s="71">
        <f t="shared" ref="D63:L63" si="9">D13-D38</f>
        <v>12.998660000703353</v>
      </c>
      <c r="E63" s="71">
        <f t="shared" si="9"/>
        <v>11.366087246678148</v>
      </c>
      <c r="F63" s="71">
        <f t="shared" si="9"/>
        <v>9.720742052024093</v>
      </c>
      <c r="G63" s="71">
        <f t="shared" si="9"/>
        <v>7.7963705883565808</v>
      </c>
      <c r="H63" s="71">
        <f t="shared" si="9"/>
        <v>5.9177487195919412</v>
      </c>
      <c r="I63" s="71">
        <f t="shared" si="9"/>
        <v>4.0840413794406913</v>
      </c>
      <c r="J63" s="71">
        <f t="shared" si="9"/>
        <v>2.2944271593311214</v>
      </c>
      <c r="K63" s="71">
        <f t="shared" si="9"/>
        <v>0.5480980979840524</v>
      </c>
      <c r="L63" s="71">
        <f t="shared" si="9"/>
        <v>-1.1557405258882909</v>
      </c>
      <c r="M63" t="s">
        <v>930</v>
      </c>
    </row>
    <row r="64" spans="2:13" x14ac:dyDescent="0.35">
      <c r="B64" s="35" t="s">
        <v>55</v>
      </c>
      <c r="C64" s="35" t="s">
        <v>211</v>
      </c>
      <c r="D64" s="71">
        <f t="shared" ref="D64:L64" si="10">D14-D39</f>
        <v>-0.9868006264075575</v>
      </c>
      <c r="E64" s="71">
        <f t="shared" si="10"/>
        <v>-1.0139300986609214</v>
      </c>
      <c r="F64" s="71">
        <f t="shared" si="10"/>
        <v>-1.0418054239722778</v>
      </c>
      <c r="G64" s="71">
        <f t="shared" si="10"/>
        <v>-1.0669271960523474</v>
      </c>
      <c r="H64" s="71">
        <f t="shared" si="10"/>
        <v>-1.092654746733615</v>
      </c>
      <c r="I64" s="71">
        <f t="shared" si="10"/>
        <v>-1.1190026835731715</v>
      </c>
      <c r="J64" s="71">
        <f t="shared" si="10"/>
        <v>-1.1459859663693805</v>
      </c>
      <c r="K64" s="71">
        <f t="shared" si="10"/>
        <v>-14.906907139083842</v>
      </c>
      <c r="L64" s="71">
        <f t="shared" si="10"/>
        <v>-29.162781066243724</v>
      </c>
      <c r="M64" t="s">
        <v>930</v>
      </c>
    </row>
    <row r="65" spans="2:13" x14ac:dyDescent="0.35">
      <c r="B65" s="35" t="s">
        <v>212</v>
      </c>
      <c r="C65" s="35" t="s">
        <v>213</v>
      </c>
      <c r="D65" s="71">
        <f t="shared" ref="D65:L65" si="11">D15-D40</f>
        <v>0</v>
      </c>
      <c r="E65" s="71">
        <f t="shared" si="11"/>
        <v>0</v>
      </c>
      <c r="F65" s="71">
        <f t="shared" si="11"/>
        <v>0</v>
      </c>
      <c r="G65" s="71">
        <f t="shared" si="11"/>
        <v>0</v>
      </c>
      <c r="H65" s="71">
        <f t="shared" si="11"/>
        <v>0</v>
      </c>
      <c r="I65" s="71">
        <f t="shared" si="11"/>
        <v>0</v>
      </c>
      <c r="J65" s="71">
        <f t="shared" si="11"/>
        <v>0</v>
      </c>
      <c r="K65" s="71">
        <f t="shared" si="11"/>
        <v>0</v>
      </c>
      <c r="L65" s="71">
        <f t="shared" si="11"/>
        <v>0</v>
      </c>
      <c r="M65" t="s">
        <v>930</v>
      </c>
    </row>
    <row r="66" spans="2:13" x14ac:dyDescent="0.35">
      <c r="B66" s="35" t="s">
        <v>214</v>
      </c>
      <c r="C66" s="35" t="s">
        <v>215</v>
      </c>
      <c r="D66" s="71">
        <f t="shared" ref="D66:L66" si="12">D16-D41</f>
        <v>0</v>
      </c>
      <c r="E66" s="71">
        <f t="shared" si="12"/>
        <v>0</v>
      </c>
      <c r="F66" s="71">
        <f t="shared" si="12"/>
        <v>0</v>
      </c>
      <c r="G66" s="71">
        <f t="shared" si="12"/>
        <v>0</v>
      </c>
      <c r="H66" s="71">
        <f t="shared" si="12"/>
        <v>0</v>
      </c>
      <c r="I66" s="71">
        <f t="shared" si="12"/>
        <v>0</v>
      </c>
      <c r="J66" s="71">
        <f t="shared" si="12"/>
        <v>0</v>
      </c>
      <c r="K66" s="71">
        <f t="shared" si="12"/>
        <v>0</v>
      </c>
      <c r="L66" s="71">
        <f t="shared" si="12"/>
        <v>0</v>
      </c>
      <c r="M66" t="s">
        <v>930</v>
      </c>
    </row>
    <row r="67" spans="2:13" x14ac:dyDescent="0.35">
      <c r="B67" s="35" t="s">
        <v>216</v>
      </c>
      <c r="C67" s="35" t="s">
        <v>217</v>
      </c>
      <c r="D67" s="71">
        <f t="shared" ref="D67:L67" si="13">D17-D42</f>
        <v>0</v>
      </c>
      <c r="E67" s="71">
        <f t="shared" si="13"/>
        <v>0</v>
      </c>
      <c r="F67" s="71">
        <f t="shared" si="13"/>
        <v>0</v>
      </c>
      <c r="G67" s="71">
        <f t="shared" si="13"/>
        <v>0</v>
      </c>
      <c r="H67" s="71">
        <f t="shared" si="13"/>
        <v>0</v>
      </c>
      <c r="I67" s="71">
        <f t="shared" si="13"/>
        <v>0</v>
      </c>
      <c r="J67" s="71">
        <f t="shared" si="13"/>
        <v>0</v>
      </c>
      <c r="K67" s="71">
        <f t="shared" si="13"/>
        <v>0</v>
      </c>
      <c r="L67" s="71">
        <f t="shared" si="13"/>
        <v>0</v>
      </c>
      <c r="M67" t="s">
        <v>930</v>
      </c>
    </row>
    <row r="68" spans="2:13" x14ac:dyDescent="0.35">
      <c r="B68" s="35" t="s">
        <v>828</v>
      </c>
      <c r="C68" s="35" t="s">
        <v>219</v>
      </c>
      <c r="D68" s="71">
        <f t="shared" ref="D68:L68" si="14">D18-D43</f>
        <v>0</v>
      </c>
      <c r="E68" s="71">
        <f t="shared" si="14"/>
        <v>0</v>
      </c>
      <c r="F68" s="71">
        <f t="shared" si="14"/>
        <v>0</v>
      </c>
      <c r="G68" s="71">
        <f t="shared" si="14"/>
        <v>0</v>
      </c>
      <c r="H68" s="71">
        <f t="shared" si="14"/>
        <v>0</v>
      </c>
      <c r="I68" s="71">
        <f t="shared" si="14"/>
        <v>0</v>
      </c>
      <c r="J68" s="71">
        <f t="shared" si="14"/>
        <v>0</v>
      </c>
      <c r="K68" s="71">
        <f t="shared" si="14"/>
        <v>0</v>
      </c>
      <c r="L68" s="71">
        <f t="shared" si="14"/>
        <v>0</v>
      </c>
      <c r="M68" t="s">
        <v>930</v>
      </c>
    </row>
    <row r="69" spans="2:13" x14ac:dyDescent="0.35">
      <c r="B69" s="35" t="s">
        <v>220</v>
      </c>
      <c r="C69" s="35" t="s">
        <v>221</v>
      </c>
      <c r="D69" s="71">
        <f t="shared" ref="D69:L69" si="15">D19-D44</f>
        <v>32.560444999999618</v>
      </c>
      <c r="E69" s="71">
        <f t="shared" si="15"/>
        <v>66.560444999999618</v>
      </c>
      <c r="F69" s="71">
        <f t="shared" si="15"/>
        <v>66.560444999999618</v>
      </c>
      <c r="G69" s="71">
        <f t="shared" si="15"/>
        <v>66.560444999999618</v>
      </c>
      <c r="H69" s="71">
        <f t="shared" si="15"/>
        <v>66.511292987999241</v>
      </c>
      <c r="I69" s="71">
        <f t="shared" si="15"/>
        <v>66.511292987999241</v>
      </c>
      <c r="J69" s="71">
        <f t="shared" si="15"/>
        <v>66.511292987999241</v>
      </c>
      <c r="K69" s="71">
        <f t="shared" si="15"/>
        <v>66.511292987999468</v>
      </c>
      <c r="L69" s="71">
        <f t="shared" si="15"/>
        <v>66.477869619839566</v>
      </c>
      <c r="M69" t="s">
        <v>930</v>
      </c>
    </row>
    <row r="70" spans="2:13" x14ac:dyDescent="0.35">
      <c r="B70" s="35" t="s">
        <v>222</v>
      </c>
      <c r="C70" s="35" t="s">
        <v>223</v>
      </c>
      <c r="D70" s="71">
        <f t="shared" ref="D70:L70" si="16">D20-D45</f>
        <v>0</v>
      </c>
      <c r="E70" s="71">
        <f t="shared" si="16"/>
        <v>0</v>
      </c>
      <c r="F70" s="71">
        <f t="shared" si="16"/>
        <v>0</v>
      </c>
      <c r="G70" s="71">
        <f t="shared" si="16"/>
        <v>0</v>
      </c>
      <c r="H70" s="71">
        <f t="shared" si="16"/>
        <v>0</v>
      </c>
      <c r="I70" s="71">
        <f t="shared" si="16"/>
        <v>0</v>
      </c>
      <c r="J70" s="71">
        <f t="shared" si="16"/>
        <v>0</v>
      </c>
      <c r="K70" s="71">
        <f t="shared" si="16"/>
        <v>0</v>
      </c>
      <c r="L70" s="71">
        <f t="shared" si="16"/>
        <v>0</v>
      </c>
      <c r="M70" t="s">
        <v>930</v>
      </c>
    </row>
    <row r="71" spans="2:13" x14ac:dyDescent="0.35">
      <c r="B71" s="35" t="s">
        <v>224</v>
      </c>
      <c r="C71" s="35" t="s">
        <v>225</v>
      </c>
      <c r="D71" s="71">
        <f t="shared" ref="D71:L71" si="17">D21-D46</f>
        <v>-153.68075152657093</v>
      </c>
      <c r="E71" s="71">
        <f t="shared" si="17"/>
        <v>-163.92382117801299</v>
      </c>
      <c r="F71" s="71">
        <f t="shared" si="17"/>
        <v>-162.48850652933288</v>
      </c>
      <c r="G71" s="71">
        <f t="shared" si="17"/>
        <v>-161.79600026274693</v>
      </c>
      <c r="H71" s="71">
        <f t="shared" si="17"/>
        <v>-161.10970186999111</v>
      </c>
      <c r="I71" s="71">
        <f t="shared" si="17"/>
        <v>-160.42960295799276</v>
      </c>
      <c r="J71" s="71">
        <f t="shared" si="17"/>
        <v>-159.75569547105442</v>
      </c>
      <c r="K71" s="71">
        <f t="shared" si="17"/>
        <v>-160.54319036885227</v>
      </c>
      <c r="L71" s="71">
        <f t="shared" si="17"/>
        <v>-161.33502130563102</v>
      </c>
    </row>
    <row r="72" spans="2:13" x14ac:dyDescent="0.35">
      <c r="B72" s="35" t="s">
        <v>226</v>
      </c>
      <c r="C72" s="35" t="s">
        <v>227</v>
      </c>
      <c r="D72" s="71">
        <f t="shared" ref="D72:L72" si="18">D22-D47</f>
        <v>-69.554449268075132</v>
      </c>
      <c r="E72" s="71">
        <f t="shared" si="18"/>
        <v>-70.470300015449084</v>
      </c>
      <c r="F72" s="71">
        <f t="shared" si="18"/>
        <v>-71.329969187846928</v>
      </c>
      <c r="G72" s="71">
        <f t="shared" si="18"/>
        <v>-72.240419800034488</v>
      </c>
      <c r="H72" s="71">
        <f t="shared" si="18"/>
        <v>-73.02629315712602</v>
      </c>
      <c r="I72" s="71">
        <f t="shared" si="18"/>
        <v>-73.769102731669591</v>
      </c>
      <c r="J72" s="71">
        <f t="shared" si="18"/>
        <v>-74.514633720974416</v>
      </c>
      <c r="K72" s="71">
        <f t="shared" si="18"/>
        <v>-75.271587563148842</v>
      </c>
      <c r="L72" s="71">
        <f t="shared" si="18"/>
        <v>-76.053980892829713</v>
      </c>
    </row>
    <row r="73" spans="2:13" x14ac:dyDescent="0.35">
      <c r="B73" s="35" t="s">
        <v>228</v>
      </c>
      <c r="C73" s="35" t="s">
        <v>229</v>
      </c>
      <c r="D73" s="71">
        <f t="shared" ref="D73:L73" si="19">D23-D48</f>
        <v>0</v>
      </c>
      <c r="E73" s="71">
        <f t="shared" si="19"/>
        <v>0</v>
      </c>
      <c r="F73" s="71">
        <f t="shared" si="19"/>
        <v>0</v>
      </c>
      <c r="G73" s="71">
        <f t="shared" si="19"/>
        <v>0</v>
      </c>
      <c r="H73" s="71">
        <f t="shared" si="19"/>
        <v>0</v>
      </c>
      <c r="I73" s="71">
        <f t="shared" si="19"/>
        <v>0</v>
      </c>
      <c r="J73" s="71">
        <f t="shared" si="19"/>
        <v>0</v>
      </c>
      <c r="K73" s="71">
        <f t="shared" si="19"/>
        <v>0</v>
      </c>
      <c r="L73" s="71">
        <f t="shared" si="19"/>
        <v>0</v>
      </c>
    </row>
    <row r="74" spans="2:13" x14ac:dyDescent="0.35">
      <c r="B74" s="35" t="s">
        <v>230</v>
      </c>
      <c r="C74" s="35" t="s">
        <v>231</v>
      </c>
      <c r="D74" s="71">
        <f t="shared" ref="D74:L74" si="20">D24-D49</f>
        <v>0</v>
      </c>
      <c r="E74" s="71">
        <f t="shared" si="20"/>
        <v>0</v>
      </c>
      <c r="F74" s="71">
        <f t="shared" si="20"/>
        <v>0</v>
      </c>
      <c r="G74" s="71">
        <f t="shared" si="20"/>
        <v>0</v>
      </c>
      <c r="H74" s="71">
        <f t="shared" si="20"/>
        <v>0</v>
      </c>
      <c r="I74" s="71">
        <f t="shared" si="20"/>
        <v>0</v>
      </c>
      <c r="J74" s="71">
        <f t="shared" si="20"/>
        <v>0</v>
      </c>
      <c r="K74" s="71">
        <f t="shared" si="20"/>
        <v>0</v>
      </c>
      <c r="L74" s="71">
        <f t="shared" si="20"/>
        <v>0</v>
      </c>
    </row>
    <row r="75" spans="2:13" x14ac:dyDescent="0.35">
      <c r="B75" s="35" t="s">
        <v>1396</v>
      </c>
      <c r="C75" s="35" t="s">
        <v>1395</v>
      </c>
      <c r="D75" s="71">
        <f t="shared" ref="D75:L75" si="21">D25-D50</f>
        <v>0</v>
      </c>
      <c r="E75" s="71">
        <f t="shared" si="21"/>
        <v>0</v>
      </c>
      <c r="F75" s="71">
        <f t="shared" si="21"/>
        <v>0</v>
      </c>
      <c r="G75" s="71">
        <f t="shared" si="21"/>
        <v>0</v>
      </c>
      <c r="H75" s="71">
        <f t="shared" si="21"/>
        <v>0</v>
      </c>
      <c r="I75" s="71">
        <f t="shared" si="21"/>
        <v>0</v>
      </c>
      <c r="J75" s="71">
        <f t="shared" si="21"/>
        <v>0</v>
      </c>
      <c r="K75" s="71">
        <f t="shared" si="21"/>
        <v>0</v>
      </c>
      <c r="L75" s="71">
        <f t="shared" si="21"/>
        <v>0</v>
      </c>
    </row>
    <row r="76" spans="2:13" x14ac:dyDescent="0.35">
      <c r="B76" s="35"/>
      <c r="C76" s="35"/>
      <c r="D76" s="71"/>
      <c r="E76" s="71"/>
      <c r="F76" s="71"/>
      <c r="G76" s="71"/>
      <c r="H76" s="71"/>
      <c r="I76" s="71"/>
      <c r="J76" s="71"/>
      <c r="K76" s="71"/>
      <c r="L76" s="71"/>
    </row>
    <row r="78" spans="2:13" x14ac:dyDescent="0.35">
      <c r="B78" s="1587" t="s">
        <v>233</v>
      </c>
      <c r="C78" s="1587"/>
      <c r="D78" s="1587"/>
      <c r="E78" s="1587"/>
      <c r="F78" s="1587"/>
      <c r="G78" s="1587"/>
      <c r="H78" s="1587"/>
      <c r="I78" s="1587"/>
      <c r="J78" s="1587"/>
      <c r="K78" s="1587"/>
      <c r="L78" s="1587"/>
    </row>
    <row r="79" spans="2:13" x14ac:dyDescent="0.35">
      <c r="B79" t="s">
        <v>178</v>
      </c>
      <c r="C79" t="s">
        <v>179</v>
      </c>
      <c r="D79" t="s">
        <v>186</v>
      </c>
      <c r="E79" t="s">
        <v>187</v>
      </c>
      <c r="F79" t="s">
        <v>188</v>
      </c>
      <c r="G79" t="s">
        <v>189</v>
      </c>
      <c r="H79" t="s">
        <v>190</v>
      </c>
      <c r="I79" t="s">
        <v>191</v>
      </c>
      <c r="J79" t="s">
        <v>175</v>
      </c>
      <c r="K79" t="s">
        <v>176</v>
      </c>
      <c r="L79" t="s">
        <v>177</v>
      </c>
    </row>
    <row r="80" spans="2:13" x14ac:dyDescent="0.35">
      <c r="B80" t="s">
        <v>192</v>
      </c>
      <c r="C80" t="s">
        <v>193</v>
      </c>
      <c r="D80" s="70">
        <f t="shared" ref="D80:L80" si="22">(D4/D29-1)</f>
        <v>3.8630824709664058E-2</v>
      </c>
      <c r="E80" s="70">
        <f t="shared" si="22"/>
        <v>2.6107025462315914E-2</v>
      </c>
      <c r="F80" s="70">
        <f t="shared" si="22"/>
        <v>2.6442448087965698E-2</v>
      </c>
      <c r="G80" s="70">
        <f t="shared" si="22"/>
        <v>2.6688089624593569E-2</v>
      </c>
      <c r="H80" s="70">
        <f t="shared" si="22"/>
        <v>2.7684454286891258E-2</v>
      </c>
      <c r="I80" s="70">
        <f t="shared" si="22"/>
        <v>2.9341110256008829E-2</v>
      </c>
      <c r="J80" s="70">
        <f t="shared" si="22"/>
        <v>2.9315137138229419E-2</v>
      </c>
      <c r="K80" s="70">
        <f t="shared" si="22"/>
        <v>2.9271934284919254E-2</v>
      </c>
      <c r="L80" s="70">
        <f t="shared" si="22"/>
        <v>3.0826955263970612E-2</v>
      </c>
    </row>
    <row r="81" spans="2:12" x14ac:dyDescent="0.35">
      <c r="B81" t="s">
        <v>134</v>
      </c>
      <c r="C81" t="s">
        <v>194</v>
      </c>
      <c r="D81" s="70">
        <f t="shared" ref="D81:L81" si="23">(D5/D30-1)</f>
        <v>0</v>
      </c>
      <c r="E81" s="70">
        <f t="shared" si="23"/>
        <v>0</v>
      </c>
      <c r="F81" s="70">
        <f t="shared" si="23"/>
        <v>0</v>
      </c>
      <c r="G81" s="70">
        <f t="shared" si="23"/>
        <v>0</v>
      </c>
      <c r="H81" s="70">
        <f t="shared" si="23"/>
        <v>0</v>
      </c>
      <c r="I81" s="70">
        <f t="shared" si="23"/>
        <v>0</v>
      </c>
      <c r="J81" s="70">
        <f t="shared" si="23"/>
        <v>0</v>
      </c>
      <c r="K81" s="70">
        <f t="shared" si="23"/>
        <v>0</v>
      </c>
      <c r="L81" s="70">
        <f t="shared" si="23"/>
        <v>0</v>
      </c>
    </row>
    <row r="82" spans="2:12" x14ac:dyDescent="0.35">
      <c r="B82" t="s">
        <v>195</v>
      </c>
      <c r="C82" t="s">
        <v>196</v>
      </c>
      <c r="D82" s="70">
        <f t="shared" ref="D82:L82" si="24">(D6/D31-1)</f>
        <v>1.653967421780278E-2</v>
      </c>
      <c r="E82" s="70">
        <f t="shared" si="24"/>
        <v>7.0862740691028936E-3</v>
      </c>
      <c r="F82" s="70">
        <f t="shared" si="24"/>
        <v>4.6736875828825575E-3</v>
      </c>
      <c r="G82" s="70">
        <f t="shared" si="24"/>
        <v>4.6937750176874182E-3</v>
      </c>
      <c r="H82" s="70">
        <f t="shared" si="24"/>
        <v>4.6806926801745696E-3</v>
      </c>
      <c r="I82" s="70">
        <f t="shared" si="24"/>
        <v>4.6732392558588298E-3</v>
      </c>
      <c r="J82" s="70">
        <f t="shared" si="24"/>
        <v>4.693391433436167E-3</v>
      </c>
      <c r="K82" s="70">
        <f t="shared" si="24"/>
        <v>4.6558252884871809E-3</v>
      </c>
      <c r="L82" s="70">
        <f t="shared" si="24"/>
        <v>4.6885562624776611E-3</v>
      </c>
    </row>
    <row r="83" spans="2:12" x14ac:dyDescent="0.35">
      <c r="B83" t="s">
        <v>197</v>
      </c>
      <c r="C83" t="s">
        <v>198</v>
      </c>
      <c r="D83" s="70">
        <f t="shared" ref="D83:L83" si="25">(D7/D32-1)</f>
        <v>-1.5137416234530798E-3</v>
      </c>
      <c r="E83" s="70">
        <f t="shared" si="25"/>
        <v>-1.5137416234530798E-3</v>
      </c>
      <c r="F83" s="70">
        <f t="shared" si="25"/>
        <v>-1.5137416234530798E-3</v>
      </c>
      <c r="G83" s="70">
        <f t="shared" si="25"/>
        <v>-1.5137416234529688E-3</v>
      </c>
      <c r="H83" s="70">
        <f t="shared" si="25"/>
        <v>-1.5137416234529688E-3</v>
      </c>
      <c r="I83" s="70">
        <f t="shared" si="25"/>
        <v>-1.5137416234529688E-3</v>
      </c>
      <c r="J83" s="70">
        <f t="shared" si="25"/>
        <v>-1.5137416234529688E-3</v>
      </c>
      <c r="K83" s="70">
        <f t="shared" si="25"/>
        <v>-1.5137416234529688E-3</v>
      </c>
      <c r="L83" s="70">
        <f t="shared" si="25"/>
        <v>-1.5137416234529688E-3</v>
      </c>
    </row>
    <row r="84" spans="2:12" x14ac:dyDescent="0.35">
      <c r="B84" t="s">
        <v>199</v>
      </c>
      <c r="C84" t="s">
        <v>200</v>
      </c>
      <c r="D84" s="70">
        <f t="shared" ref="D84:L84" si="26">(D8/D33-1)</f>
        <v>0.10538321167883224</v>
      </c>
      <c r="E84" s="70">
        <f t="shared" si="26"/>
        <v>0</v>
      </c>
      <c r="F84" s="70">
        <f t="shared" si="26"/>
        <v>0</v>
      </c>
      <c r="G84" s="70">
        <f t="shared" si="26"/>
        <v>0</v>
      </c>
      <c r="H84" s="70">
        <f t="shared" si="26"/>
        <v>0</v>
      </c>
      <c r="I84" s="70">
        <f t="shared" si="26"/>
        <v>0</v>
      </c>
      <c r="J84" s="70">
        <f t="shared" si="26"/>
        <v>0</v>
      </c>
      <c r="K84" s="70">
        <f t="shared" si="26"/>
        <v>0</v>
      </c>
      <c r="L84" s="70">
        <f t="shared" si="26"/>
        <v>0</v>
      </c>
    </row>
    <row r="85" spans="2:12" x14ac:dyDescent="0.35">
      <c r="B85" t="s">
        <v>201</v>
      </c>
      <c r="C85" t="s">
        <v>202</v>
      </c>
      <c r="D85" s="70">
        <f t="shared" ref="D85:L85" si="27">(D9/D34-1)</f>
        <v>0</v>
      </c>
      <c r="E85" s="70">
        <f t="shared" si="27"/>
        <v>0</v>
      </c>
      <c r="F85" s="70">
        <f t="shared" si="27"/>
        <v>0</v>
      </c>
      <c r="G85" s="70">
        <f t="shared" si="27"/>
        <v>0</v>
      </c>
      <c r="H85" s="70">
        <f t="shared" si="27"/>
        <v>0</v>
      </c>
      <c r="I85" s="70">
        <f t="shared" si="27"/>
        <v>0</v>
      </c>
      <c r="J85" s="70">
        <f t="shared" si="27"/>
        <v>0</v>
      </c>
      <c r="K85" s="70">
        <f t="shared" si="27"/>
        <v>0</v>
      </c>
      <c r="L85" s="70">
        <f t="shared" si="27"/>
        <v>0</v>
      </c>
    </row>
    <row r="86" spans="2:12" x14ac:dyDescent="0.35">
      <c r="B86" t="s">
        <v>203</v>
      </c>
      <c r="C86" t="s">
        <v>204</v>
      </c>
      <c r="D86" s="70">
        <f t="shared" ref="D86:L86" si="28">(D10/D35-1)</f>
        <v>-1</v>
      </c>
      <c r="E86" s="70">
        <f t="shared" si="28"/>
        <v>-1</v>
      </c>
      <c r="F86" s="70">
        <f t="shared" si="28"/>
        <v>-1</v>
      </c>
      <c r="G86" s="70">
        <f t="shared" si="28"/>
        <v>-1</v>
      </c>
      <c r="H86" s="70">
        <f t="shared" si="28"/>
        <v>-1</v>
      </c>
      <c r="I86" s="70">
        <f t="shared" si="28"/>
        <v>-1</v>
      </c>
      <c r="J86" s="70">
        <f t="shared" si="28"/>
        <v>-1</v>
      </c>
      <c r="K86" s="70">
        <f t="shared" si="28"/>
        <v>-1</v>
      </c>
      <c r="L86" s="70">
        <f t="shared" si="28"/>
        <v>-1</v>
      </c>
    </row>
    <row r="87" spans="2:12" x14ac:dyDescent="0.35">
      <c r="B87" t="s">
        <v>205</v>
      </c>
      <c r="C87" t="s">
        <v>206</v>
      </c>
      <c r="D87" s="70">
        <f t="shared" ref="D87:L87" si="29">(D11/D36-1)</f>
        <v>1.3547304430935769E-2</v>
      </c>
      <c r="E87" s="70">
        <f t="shared" si="29"/>
        <v>-8.6702356264525715E-2</v>
      </c>
      <c r="F87" s="70">
        <f t="shared" si="29"/>
        <v>-2.3788937388118159E-2</v>
      </c>
      <c r="G87" s="70">
        <f t="shared" si="29"/>
        <v>4.9242640921322467E-2</v>
      </c>
      <c r="H87" s="70">
        <f t="shared" si="29"/>
        <v>0.12097434548602926</v>
      </c>
      <c r="I87" s="70">
        <f t="shared" si="29"/>
        <v>0.20710030380452316</v>
      </c>
      <c r="J87" s="70">
        <f t="shared" si="29"/>
        <v>0.22436627610777471</v>
      </c>
      <c r="K87" s="70">
        <f t="shared" si="29"/>
        <v>0.20174716569861117</v>
      </c>
      <c r="L87" s="70">
        <f t="shared" si="29"/>
        <v>0.18701396106331303</v>
      </c>
    </row>
    <row r="88" spans="2:12" x14ac:dyDescent="0.35">
      <c r="B88" t="s">
        <v>207</v>
      </c>
      <c r="C88" t="s">
        <v>208</v>
      </c>
      <c r="D88" s="70">
        <f t="shared" ref="D88:L88" si="30">(D12/D37-1)</f>
        <v>3.2806451928683922E-2</v>
      </c>
      <c r="E88" s="70">
        <f t="shared" si="30"/>
        <v>1.4136541195790775E-2</v>
      </c>
      <c r="F88" s="70">
        <f t="shared" si="30"/>
        <v>2.9684656679065835E-2</v>
      </c>
      <c r="G88" s="70">
        <f t="shared" si="30"/>
        <v>2.7385589277444167E-2</v>
      </c>
      <c r="H88" s="70">
        <f t="shared" si="30"/>
        <v>2.5078179325817462E-2</v>
      </c>
      <c r="I88" s="70">
        <f t="shared" si="30"/>
        <v>2.2775951596659683E-2</v>
      </c>
      <c r="J88" s="70">
        <f t="shared" si="30"/>
        <v>2.0478894451193552E-2</v>
      </c>
      <c r="K88" s="70">
        <f t="shared" si="30"/>
        <v>1.830771864727021E-2</v>
      </c>
      <c r="L88" s="70">
        <f t="shared" si="30"/>
        <v>1.60206967264378E-2</v>
      </c>
    </row>
    <row r="89" spans="2:12" x14ac:dyDescent="0.35">
      <c r="B89" t="s">
        <v>209</v>
      </c>
      <c r="C89" t="s">
        <v>210</v>
      </c>
      <c r="D89" s="70">
        <f t="shared" ref="D89:L89" si="31">(D13/D38-1)</f>
        <v>1.624626700502052E-2</v>
      </c>
      <c r="E89" s="70">
        <f t="shared" si="31"/>
        <v>1.4136541195790553E-2</v>
      </c>
      <c r="F89" s="70">
        <f t="shared" si="31"/>
        <v>1.203119517434903E-2</v>
      </c>
      <c r="G89" s="70">
        <f t="shared" si="31"/>
        <v>9.7582697260327755E-3</v>
      </c>
      <c r="H89" s="70">
        <f t="shared" si="31"/>
        <v>7.4904490512834876E-3</v>
      </c>
      <c r="I89" s="70">
        <f t="shared" si="31"/>
        <v>5.2277216852663067E-3</v>
      </c>
      <c r="J89" s="70">
        <f t="shared" si="31"/>
        <v>2.9700761888962202E-3</v>
      </c>
      <c r="K89" s="70">
        <f t="shared" si="31"/>
        <v>7.1750114877944249E-4</v>
      </c>
      <c r="L89" s="70">
        <f t="shared" si="31"/>
        <v>-1.5300148228447608E-3</v>
      </c>
    </row>
    <row r="90" spans="2:12" x14ac:dyDescent="0.35">
      <c r="B90" t="s">
        <v>55</v>
      </c>
      <c r="C90" t="s">
        <v>211</v>
      </c>
      <c r="D90" s="70">
        <f t="shared" ref="D90:L90" si="32">(D14/D39-1)</f>
        <v>-1.0199628829754559E-3</v>
      </c>
      <c r="E90" s="70">
        <f t="shared" si="32"/>
        <v>-1.0199628829753449E-3</v>
      </c>
      <c r="F90" s="70">
        <f t="shared" si="32"/>
        <v>-1.0199628829753449E-3</v>
      </c>
      <c r="G90" s="70">
        <f t="shared" si="32"/>
        <v>-1.0199628829752339E-3</v>
      </c>
      <c r="H90" s="70">
        <f t="shared" si="32"/>
        <v>-1.0199628829752339E-3</v>
      </c>
      <c r="I90" s="70">
        <f t="shared" si="32"/>
        <v>-1.0199628829753449E-3</v>
      </c>
      <c r="J90" s="70">
        <f t="shared" si="32"/>
        <v>-1.0199628829752339E-3</v>
      </c>
      <c r="K90" s="70">
        <f t="shared" si="32"/>
        <v>-1.2955209586150929E-2</v>
      </c>
      <c r="L90" s="70">
        <f t="shared" si="32"/>
        <v>-2.4747860733286497E-2</v>
      </c>
    </row>
    <row r="91" spans="2:12" x14ac:dyDescent="0.35">
      <c r="B91" t="s">
        <v>212</v>
      </c>
      <c r="C91" t="s">
        <v>213</v>
      </c>
      <c r="D91" s="70" t="e">
        <f t="shared" ref="D91:L91" si="33">(D15/D40-1)</f>
        <v>#DIV/0!</v>
      </c>
      <c r="E91" s="70" t="e">
        <f t="shared" si="33"/>
        <v>#DIV/0!</v>
      </c>
      <c r="F91" s="70" t="e">
        <f t="shared" si="33"/>
        <v>#DIV/0!</v>
      </c>
      <c r="G91" s="70" t="e">
        <f t="shared" si="33"/>
        <v>#DIV/0!</v>
      </c>
      <c r="H91" s="70" t="e">
        <f t="shared" si="33"/>
        <v>#DIV/0!</v>
      </c>
      <c r="I91" s="70" t="e">
        <f t="shared" si="33"/>
        <v>#DIV/0!</v>
      </c>
      <c r="J91" s="70" t="e">
        <f t="shared" si="33"/>
        <v>#DIV/0!</v>
      </c>
      <c r="K91" s="70" t="e">
        <f t="shared" si="33"/>
        <v>#DIV/0!</v>
      </c>
      <c r="L91" s="70" t="e">
        <f t="shared" si="33"/>
        <v>#DIV/0!</v>
      </c>
    </row>
    <row r="92" spans="2:12" x14ac:dyDescent="0.35">
      <c r="B92" t="s">
        <v>214</v>
      </c>
      <c r="C92" t="s">
        <v>215</v>
      </c>
      <c r="D92" s="70" t="e">
        <f t="shared" ref="D92:L92" si="34">(D16/D41-1)</f>
        <v>#DIV/0!</v>
      </c>
      <c r="E92" s="70" t="e">
        <f t="shared" si="34"/>
        <v>#DIV/0!</v>
      </c>
      <c r="F92" s="70" t="e">
        <f t="shared" si="34"/>
        <v>#DIV/0!</v>
      </c>
      <c r="G92" s="70" t="e">
        <f t="shared" si="34"/>
        <v>#DIV/0!</v>
      </c>
      <c r="H92" s="70" t="e">
        <f t="shared" si="34"/>
        <v>#DIV/0!</v>
      </c>
      <c r="I92" s="70" t="e">
        <f t="shared" si="34"/>
        <v>#DIV/0!</v>
      </c>
      <c r="J92" s="70" t="e">
        <f t="shared" si="34"/>
        <v>#DIV/0!</v>
      </c>
      <c r="K92" s="70" t="e">
        <f t="shared" si="34"/>
        <v>#DIV/0!</v>
      </c>
      <c r="L92" s="70" t="e">
        <f t="shared" si="34"/>
        <v>#DIV/0!</v>
      </c>
    </row>
    <row r="93" spans="2:12" x14ac:dyDescent="0.35">
      <c r="B93" t="s">
        <v>216</v>
      </c>
      <c r="C93" t="s">
        <v>217</v>
      </c>
      <c r="D93" s="70">
        <f t="shared" ref="D93:L93" si="35">(D17/D42-1)</f>
        <v>0</v>
      </c>
      <c r="E93" s="70">
        <f t="shared" si="35"/>
        <v>0</v>
      </c>
      <c r="F93" s="70">
        <f t="shared" si="35"/>
        <v>0</v>
      </c>
      <c r="G93" s="70">
        <f t="shared" si="35"/>
        <v>0</v>
      </c>
      <c r="H93" s="70">
        <f t="shared" si="35"/>
        <v>0</v>
      </c>
      <c r="I93" s="70">
        <f t="shared" si="35"/>
        <v>0</v>
      </c>
      <c r="J93" s="70">
        <f t="shared" si="35"/>
        <v>0</v>
      </c>
      <c r="K93" s="70">
        <f t="shared" si="35"/>
        <v>0</v>
      </c>
      <c r="L93" s="70">
        <f t="shared" si="35"/>
        <v>0</v>
      </c>
    </row>
    <row r="94" spans="2:12" x14ac:dyDescent="0.35">
      <c r="B94" t="s">
        <v>218</v>
      </c>
      <c r="C94" t="s">
        <v>219</v>
      </c>
      <c r="D94" s="70">
        <f t="shared" ref="D94:L94" si="36">(D18/D43-1)</f>
        <v>0</v>
      </c>
      <c r="E94" s="70">
        <f t="shared" si="36"/>
        <v>0</v>
      </c>
      <c r="F94" s="70">
        <f t="shared" si="36"/>
        <v>0</v>
      </c>
      <c r="G94" s="70">
        <f t="shared" si="36"/>
        <v>0</v>
      </c>
      <c r="H94" s="70">
        <f t="shared" si="36"/>
        <v>0</v>
      </c>
      <c r="I94" s="70">
        <f t="shared" si="36"/>
        <v>0</v>
      </c>
      <c r="J94" s="70">
        <f t="shared" si="36"/>
        <v>0</v>
      </c>
      <c r="K94" s="70">
        <f t="shared" si="36"/>
        <v>0</v>
      </c>
      <c r="L94" s="70">
        <f t="shared" si="36"/>
        <v>0</v>
      </c>
    </row>
    <row r="95" spans="2:12" x14ac:dyDescent="0.35">
      <c r="B95" t="s">
        <v>220</v>
      </c>
      <c r="C95" t="s">
        <v>221</v>
      </c>
      <c r="D95" s="70">
        <f t="shared" ref="D95:L95" si="37">(D19/D44-1)</f>
        <v>1.6645477925743224E-2</v>
      </c>
      <c r="E95" s="70">
        <f t="shared" si="37"/>
        <v>3.3905550104563087E-2</v>
      </c>
      <c r="F95" s="70">
        <f t="shared" si="37"/>
        <v>3.3785080474713958E-2</v>
      </c>
      <c r="G95" s="70">
        <f t="shared" si="37"/>
        <v>3.3775668407115766E-2</v>
      </c>
      <c r="H95" s="70">
        <f t="shared" si="37"/>
        <v>3.2925428823977532E-2</v>
      </c>
      <c r="I95" s="70">
        <f t="shared" si="37"/>
        <v>3.2811728109565008E-2</v>
      </c>
      <c r="J95" s="70">
        <f t="shared" si="37"/>
        <v>3.2698809973424892E-2</v>
      </c>
      <c r="K95" s="70">
        <f t="shared" si="37"/>
        <v>3.2562289219538743E-2</v>
      </c>
      <c r="L95" s="70">
        <f t="shared" si="37"/>
        <v>3.1974881806947852E-2</v>
      </c>
    </row>
    <row r="96" spans="2:12" x14ac:dyDescent="0.35">
      <c r="B96" t="s">
        <v>222</v>
      </c>
      <c r="C96" t="s">
        <v>223</v>
      </c>
      <c r="D96" s="70">
        <f t="shared" ref="D96:L96" si="38">(D20/D45-1)</f>
        <v>0</v>
      </c>
      <c r="E96" s="70">
        <f t="shared" si="38"/>
        <v>0</v>
      </c>
      <c r="F96" s="70">
        <f t="shared" si="38"/>
        <v>0</v>
      </c>
      <c r="G96" s="70">
        <f t="shared" si="38"/>
        <v>0</v>
      </c>
      <c r="H96" s="70">
        <f t="shared" si="38"/>
        <v>0</v>
      </c>
      <c r="I96" s="70">
        <f t="shared" si="38"/>
        <v>0</v>
      </c>
      <c r="J96" s="70">
        <f t="shared" si="38"/>
        <v>0</v>
      </c>
      <c r="K96" s="70">
        <f t="shared" si="38"/>
        <v>0</v>
      </c>
      <c r="L96" s="70">
        <f t="shared" si="38"/>
        <v>0</v>
      </c>
    </row>
    <row r="97" spans="2:12" x14ac:dyDescent="0.35">
      <c r="B97" t="s">
        <v>224</v>
      </c>
      <c r="C97" t="s">
        <v>225</v>
      </c>
      <c r="D97" s="70">
        <f t="shared" ref="D97:L97" si="39">(D21/D46-1)</f>
        <v>-3.4171167623378573E-2</v>
      </c>
      <c r="E97" s="70">
        <f t="shared" si="39"/>
        <v>-3.6482271716089087E-2</v>
      </c>
      <c r="F97" s="70">
        <f t="shared" si="39"/>
        <v>-3.619144654536155E-2</v>
      </c>
      <c r="G97" s="70">
        <f t="shared" si="39"/>
        <v>-3.593529242695348E-2</v>
      </c>
      <c r="H97" s="70">
        <f t="shared" si="39"/>
        <v>-3.5718992315517228E-2</v>
      </c>
      <c r="I97" s="70">
        <f t="shared" si="39"/>
        <v>-3.5502314624500153E-2</v>
      </c>
      <c r="J97" s="70">
        <f t="shared" si="39"/>
        <v>-3.5285288165096573E-2</v>
      </c>
      <c r="K97" s="70">
        <f t="shared" si="39"/>
        <v>-3.5222100857839278E-2</v>
      </c>
      <c r="L97" s="70">
        <f t="shared" si="39"/>
        <v>-3.515874915253292E-2</v>
      </c>
    </row>
    <row r="98" spans="2:12" x14ac:dyDescent="0.35">
      <c r="B98" t="s">
        <v>226</v>
      </c>
      <c r="C98" t="s">
        <v>227</v>
      </c>
      <c r="D98" s="70">
        <f t="shared" ref="D98:L98" si="40">(D22/D47-1)</f>
        <v>-3.1334298841481978E-2</v>
      </c>
      <c r="E98" s="70">
        <f t="shared" si="40"/>
        <v>-3.1396465510977745E-2</v>
      </c>
      <c r="F98" s="70">
        <f t="shared" si="40"/>
        <v>-3.1423995260026816E-2</v>
      </c>
      <c r="G98" s="70">
        <f t="shared" si="40"/>
        <v>-3.1471065994989611E-2</v>
      </c>
      <c r="H98" s="70">
        <f t="shared" si="40"/>
        <v>-3.1489402302846581E-2</v>
      </c>
      <c r="I98" s="70">
        <f t="shared" si="40"/>
        <v>-3.1499036762503652E-2</v>
      </c>
      <c r="J98" s="70">
        <f t="shared" si="40"/>
        <v>-3.1510856022327727E-2</v>
      </c>
      <c r="K98" s="70">
        <f t="shared" si="40"/>
        <v>-3.1514681913360154E-2</v>
      </c>
      <c r="L98" s="70">
        <f t="shared" si="40"/>
        <v>-3.1519316255802177E-2</v>
      </c>
    </row>
    <row r="99" spans="2:12" x14ac:dyDescent="0.35">
      <c r="B99" t="s">
        <v>228</v>
      </c>
      <c r="C99" t="s">
        <v>229</v>
      </c>
      <c r="D99" s="70">
        <f t="shared" ref="D99:L99" si="41">(D23/D48-1)</f>
        <v>0</v>
      </c>
      <c r="E99" s="70">
        <f t="shared" si="41"/>
        <v>0</v>
      </c>
      <c r="F99" s="70">
        <f t="shared" si="41"/>
        <v>0</v>
      </c>
      <c r="G99" s="70">
        <f t="shared" si="41"/>
        <v>0</v>
      </c>
      <c r="H99" s="70">
        <f t="shared" si="41"/>
        <v>0</v>
      </c>
      <c r="I99" s="70">
        <f t="shared" si="41"/>
        <v>0</v>
      </c>
      <c r="J99" s="70">
        <f t="shared" si="41"/>
        <v>0</v>
      </c>
      <c r="K99" s="70">
        <f t="shared" si="41"/>
        <v>0</v>
      </c>
      <c r="L99" s="70">
        <f t="shared" si="41"/>
        <v>0</v>
      </c>
    </row>
    <row r="100" spans="2:12" x14ac:dyDescent="0.35">
      <c r="B100" t="s">
        <v>230</v>
      </c>
      <c r="C100" t="s">
        <v>231</v>
      </c>
      <c r="D100" s="70">
        <f t="shared" ref="D100:L100" si="42">(D24/D49-1)</f>
        <v>0</v>
      </c>
      <c r="E100" s="70">
        <f t="shared" si="42"/>
        <v>0</v>
      </c>
      <c r="F100" s="70">
        <f t="shared" si="42"/>
        <v>0</v>
      </c>
      <c r="G100" s="70">
        <f t="shared" si="42"/>
        <v>0</v>
      </c>
      <c r="H100" s="70">
        <f t="shared" si="42"/>
        <v>0</v>
      </c>
      <c r="I100" s="70">
        <f t="shared" si="42"/>
        <v>0</v>
      </c>
      <c r="J100" s="70">
        <f t="shared" si="42"/>
        <v>0</v>
      </c>
      <c r="K100" s="70">
        <f t="shared" si="42"/>
        <v>0</v>
      </c>
      <c r="L100" s="70">
        <f t="shared" si="42"/>
        <v>0</v>
      </c>
    </row>
    <row r="101" spans="2:12" x14ac:dyDescent="0.35">
      <c r="B101" s="35" t="s">
        <v>1396</v>
      </c>
      <c r="C101" s="35" t="s">
        <v>1395</v>
      </c>
      <c r="D101" s="70" t="e">
        <f t="shared" ref="D101:L101" si="43">(D25/D50-1)</f>
        <v>#DIV/0!</v>
      </c>
      <c r="E101" s="70" t="e">
        <f t="shared" si="43"/>
        <v>#DIV/0!</v>
      </c>
      <c r="F101" s="70">
        <f t="shared" si="43"/>
        <v>0</v>
      </c>
      <c r="G101" s="70">
        <f t="shared" si="43"/>
        <v>0</v>
      </c>
      <c r="H101" s="70">
        <f t="shared" si="43"/>
        <v>0</v>
      </c>
      <c r="I101" s="70">
        <f t="shared" si="43"/>
        <v>0</v>
      </c>
      <c r="J101" s="70">
        <f t="shared" si="43"/>
        <v>0</v>
      </c>
      <c r="K101" s="70">
        <f t="shared" si="43"/>
        <v>0</v>
      </c>
      <c r="L101" s="70">
        <f t="shared" si="43"/>
        <v>0</v>
      </c>
    </row>
  </sheetData>
  <mergeCells count="4">
    <mergeCell ref="B2:L2"/>
    <mergeCell ref="B78:L78"/>
    <mergeCell ref="B52:L52"/>
    <mergeCell ref="B27:L27"/>
  </mergeCells>
  <conditionalFormatting sqref="D80:L101 D54:L76">
    <cfRule type="cellIs" dxfId="1" priority="3" operator="lessThan">
      <formula>0</formula>
    </cfRule>
    <cfRule type="cellIs" dxfId="0" priority="4" operator="greaterThan">
      <formula>0</formula>
    </cfRule>
  </conditionalFormatting>
  <pageMargins left="0.7" right="0.7" top="0.75" bottom="0.75" header="0.3" footer="0.3"/>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L28"/>
  <sheetViews>
    <sheetView zoomScaleNormal="100" workbookViewId="0">
      <selection activeCell="Q12" sqref="Q12"/>
    </sheetView>
  </sheetViews>
  <sheetFormatPr defaultColWidth="11.453125" defaultRowHeight="14.5" x14ac:dyDescent="0.35"/>
  <cols>
    <col min="1" max="1" width="41.1796875" customWidth="1"/>
    <col min="2" max="2" width="23.453125" customWidth="1"/>
    <col min="3" max="7" width="10.453125" customWidth="1"/>
  </cols>
  <sheetData>
    <row r="1" spans="1:12" x14ac:dyDescent="0.35">
      <c r="A1" s="74" t="s">
        <v>178</v>
      </c>
      <c r="B1" s="74" t="s">
        <v>179</v>
      </c>
      <c r="C1" s="75" t="s">
        <v>186</v>
      </c>
      <c r="D1" s="75" t="s">
        <v>187</v>
      </c>
      <c r="E1" s="75" t="s">
        <v>188</v>
      </c>
      <c r="F1" s="75" t="s">
        <v>189</v>
      </c>
      <c r="G1" s="75" t="s">
        <v>190</v>
      </c>
      <c r="H1" s="75" t="s">
        <v>191</v>
      </c>
      <c r="I1" s="75" t="s">
        <v>175</v>
      </c>
      <c r="J1" s="75" t="s">
        <v>176</v>
      </c>
      <c r="K1" s="75" t="s">
        <v>177</v>
      </c>
      <c r="L1" s="74"/>
    </row>
    <row r="2" spans="1:12" x14ac:dyDescent="0.35">
      <c r="A2" t="s">
        <v>192</v>
      </c>
      <c r="B2" t="s">
        <v>193</v>
      </c>
      <c r="C2" s="71">
        <f>Grants!U108</f>
        <v>448.74654320000008</v>
      </c>
      <c r="D2" s="71">
        <f>Grants!V108</f>
        <v>447.62918787478441</v>
      </c>
      <c r="E2" s="71">
        <f>Grants!W108</f>
        <v>446.45162391265626</v>
      </c>
      <c r="F2" s="71">
        <f>Grants!X108</f>
        <v>446.80789141457103</v>
      </c>
      <c r="G2" s="71">
        <f>Grants!Y108</f>
        <v>435.3935120000001</v>
      </c>
      <c r="H2" s="71">
        <f>Grants!Z108</f>
        <v>415.52699462977574</v>
      </c>
      <c r="I2" s="71">
        <f>Grants!AA108</f>
        <v>419.98253662916255</v>
      </c>
      <c r="J2" s="71">
        <f>Grants!AB108</f>
        <v>424.72893341115389</v>
      </c>
      <c r="K2" s="71">
        <f>Grants!AC108</f>
        <v>407.89333299999998</v>
      </c>
      <c r="L2" s="71"/>
    </row>
    <row r="3" spans="1:12" x14ac:dyDescent="0.35">
      <c r="A3" t="s">
        <v>134</v>
      </c>
      <c r="B3" t="s">
        <v>194</v>
      </c>
      <c r="C3" s="71">
        <f>Grants!U140</f>
        <v>76.15900000000002</v>
      </c>
      <c r="D3" s="71">
        <f>Grants!V140</f>
        <v>76.15900000000002</v>
      </c>
      <c r="E3" s="71">
        <f>Grants!W140</f>
        <v>76.15900000000002</v>
      </c>
      <c r="F3" s="71">
        <f>Grants!X140</f>
        <v>77.818000000000012</v>
      </c>
      <c r="G3" s="71">
        <f>Grants!Y140</f>
        <v>77.818000000000012</v>
      </c>
      <c r="H3" s="71">
        <f>Grants!Z140</f>
        <v>77.818000000000012</v>
      </c>
      <c r="I3" s="71">
        <f>Grants!AA140</f>
        <v>77.818000000000012</v>
      </c>
      <c r="J3" s="71">
        <f>Grants!AB140</f>
        <v>79.41200000000002</v>
      </c>
      <c r="K3" s="71">
        <f>Grants!AC140</f>
        <v>79.41200000000002</v>
      </c>
      <c r="L3" s="71"/>
    </row>
    <row r="4" spans="1:12" x14ac:dyDescent="0.35">
      <c r="A4" t="s">
        <v>195</v>
      </c>
      <c r="B4" t="s">
        <v>196</v>
      </c>
      <c r="C4" s="71">
        <f>'Federal and State Purchases'!U12</f>
        <v>1739.8</v>
      </c>
      <c r="D4" s="71">
        <f>'Federal and State Purchases'!V12</f>
        <v>1739.8</v>
      </c>
      <c r="E4" s="71">
        <f>'Federal and State Purchases'!W12</f>
        <v>1758.2086146051113</v>
      </c>
      <c r="F4" s="71">
        <f>'Federal and State Purchases'!X12</f>
        <v>1778.2667638844491</v>
      </c>
      <c r="G4" s="71">
        <f>'Federal and State Purchases'!Y12</f>
        <v>1796.1210506048053</v>
      </c>
      <c r="H4" s="71">
        <f>'Federal and State Purchases'!Z12</f>
        <v>1812.4526942192465</v>
      </c>
      <c r="I4" s="71">
        <f>'Federal and State Purchases'!AA12</f>
        <v>1829.0386617483377</v>
      </c>
      <c r="J4" s="71">
        <f>'Federal and State Purchases'!AB12</f>
        <v>1844.3955694413226</v>
      </c>
      <c r="K4" s="71">
        <f>'Federal and State Purchases'!AC12</f>
        <v>1858.246935965087</v>
      </c>
      <c r="L4" s="71"/>
    </row>
    <row r="5" spans="1:12" x14ac:dyDescent="0.35">
      <c r="A5" t="s">
        <v>197</v>
      </c>
      <c r="B5" t="s">
        <v>198</v>
      </c>
      <c r="C5" s="71">
        <f>'Federal and State Purchases'!U39</f>
        <v>2906.3</v>
      </c>
      <c r="D5" s="71">
        <f>'Federal and State Purchases'!V39</f>
        <v>2938.9696941484776</v>
      </c>
      <c r="E5" s="71">
        <f>'Federal and State Purchases'!W39</f>
        <v>2976.9507189407263</v>
      </c>
      <c r="F5" s="71">
        <f>'Federal and State Purchases'!X39</f>
        <v>3009.3197717320099</v>
      </c>
      <c r="G5" s="71">
        <f>'Federal and State Purchases'!Y39</f>
        <v>3040.8871142374405</v>
      </c>
      <c r="H5" s="71">
        <f>'Federal and State Purchases'!Z39</f>
        <v>3069.0471880279993</v>
      </c>
      <c r="I5" s="71">
        <f>'Federal and State Purchases'!AA39</f>
        <v>3096.7061928899002</v>
      </c>
      <c r="J5" s="71">
        <f>'Federal and State Purchases'!AB39</f>
        <v>3124.2649839660703</v>
      </c>
      <c r="K5" s="71">
        <f>'Federal and State Purchases'!AC39</f>
        <v>3152.8259128995555</v>
      </c>
      <c r="L5" s="71"/>
    </row>
    <row r="6" spans="1:12" x14ac:dyDescent="0.35">
      <c r="A6" t="s">
        <v>199</v>
      </c>
      <c r="B6" t="s">
        <v>200</v>
      </c>
      <c r="C6" s="71">
        <f>Subsidies!U46</f>
        <v>92.073999999999998</v>
      </c>
      <c r="D6" s="71">
        <f>Subsidies!V46</f>
        <v>75.782000000000011</v>
      </c>
      <c r="E6" s="71">
        <f>Subsidies!W46</f>
        <v>75.782000000000011</v>
      </c>
      <c r="F6" s="71">
        <f>Subsidies!X46</f>
        <v>84.266000000000005</v>
      </c>
      <c r="G6" s="71">
        <f>Subsidies!Y46</f>
        <v>84.266000000000005</v>
      </c>
      <c r="H6" s="71">
        <f>Subsidies!Z46</f>
        <v>84.266000000000005</v>
      </c>
      <c r="I6" s="71">
        <f>Subsidies!AA46</f>
        <v>84.266000000000005</v>
      </c>
      <c r="J6" s="71">
        <f>Subsidies!AB46</f>
        <v>91.364999999999995</v>
      </c>
      <c r="K6" s="71">
        <f>Subsidies!AC46</f>
        <v>91.364999999999995</v>
      </c>
      <c r="L6" s="71"/>
    </row>
    <row r="7" spans="1:12" x14ac:dyDescent="0.35">
      <c r="A7" t="s">
        <v>201</v>
      </c>
      <c r="B7" t="s">
        <v>202</v>
      </c>
      <c r="C7" s="71">
        <f>Subsidies!U45</f>
        <v>12.726000000000001</v>
      </c>
      <c r="D7" s="71">
        <f>Subsidies!V45</f>
        <v>12.726000000000001</v>
      </c>
      <c r="E7" s="71">
        <f>Subsidies!W45</f>
        <v>12.726000000000001</v>
      </c>
      <c r="F7" s="71">
        <f>Subsidies!X45</f>
        <v>1.365</v>
      </c>
      <c r="G7" s="71">
        <f>Subsidies!Y45</f>
        <v>1.365</v>
      </c>
      <c r="H7" s="71">
        <f>Subsidies!Z45</f>
        <v>1.365</v>
      </c>
      <c r="I7" s="71">
        <f>Subsidies!AA45</f>
        <v>1.365</v>
      </c>
      <c r="J7" s="71">
        <f>Subsidies!AB45</f>
        <v>-0.90100000000000025</v>
      </c>
      <c r="K7" s="71">
        <f>Subsidies!AC45</f>
        <v>-0.90100000000000025</v>
      </c>
      <c r="L7" s="71"/>
    </row>
    <row r="8" spans="1:12" x14ac:dyDescent="0.35">
      <c r="A8" t="s">
        <v>203</v>
      </c>
      <c r="B8" t="s">
        <v>204</v>
      </c>
      <c r="C8" s="71">
        <f>'Unemployment Insurance'!U19</f>
        <v>0</v>
      </c>
      <c r="D8" s="71">
        <f>'Unemployment Insurance'!V19</f>
        <v>0</v>
      </c>
      <c r="E8" s="71">
        <f>'Unemployment Insurance'!W19</f>
        <v>0</v>
      </c>
      <c r="F8" s="71">
        <f>'Unemployment Insurance'!X19</f>
        <v>0</v>
      </c>
      <c r="G8" s="71">
        <f>'Unemployment Insurance'!Y19</f>
        <v>0</v>
      </c>
      <c r="H8" s="71">
        <f>'Unemployment Insurance'!Z19</f>
        <v>0</v>
      </c>
      <c r="I8" s="71">
        <f>'Unemployment Insurance'!AA19</f>
        <v>0</v>
      </c>
      <c r="J8" s="71">
        <f>'Unemployment Insurance'!AB19</f>
        <v>0</v>
      </c>
      <c r="K8" s="71">
        <f>'Unemployment Insurance'!AC19</f>
        <v>0</v>
      </c>
      <c r="L8" s="71"/>
    </row>
    <row r="9" spans="1:12" x14ac:dyDescent="0.35">
      <c r="A9" t="s">
        <v>205</v>
      </c>
      <c r="B9" t="s">
        <v>206</v>
      </c>
      <c r="C9" s="71">
        <f>'Unemployment Insurance'!U20</f>
        <v>22.8</v>
      </c>
      <c r="D9" s="71">
        <f>'Unemployment Insurance'!V20</f>
        <v>23.451428571428572</v>
      </c>
      <c r="E9" s="71">
        <f>'Unemployment Insurance'!W20</f>
        <v>26.702057142857143</v>
      </c>
      <c r="F9" s="71">
        <f>'Unemployment Insurance'!X20</f>
        <v>29.959199999999999</v>
      </c>
      <c r="G9" s="71">
        <f>'Unemployment Insurance'!Y20</f>
        <v>31.913485714285713</v>
      </c>
      <c r="H9" s="71">
        <f>'Unemployment Insurance'!Z20</f>
        <v>33.314057142857138</v>
      </c>
      <c r="I9" s="71">
        <f>'Unemployment Insurance'!AA20</f>
        <v>33.216342857142855</v>
      </c>
      <c r="J9" s="71">
        <f>'Unemployment Insurance'!AB20</f>
        <v>32.200114285714285</v>
      </c>
      <c r="K9" s="71">
        <f>'Unemployment Insurance'!AC20</f>
        <v>31.652914285714289</v>
      </c>
      <c r="L9" s="71"/>
    </row>
    <row r="10" spans="1:12" x14ac:dyDescent="0.35">
      <c r="A10" s="35" t="s">
        <v>207</v>
      </c>
      <c r="B10" s="35" t="s">
        <v>208</v>
      </c>
      <c r="C10" s="71">
        <f>Medicaid!U28</f>
        <v>627.72799999999995</v>
      </c>
      <c r="D10" s="71">
        <f>Medicaid!V28</f>
        <v>600.94087022445149</v>
      </c>
      <c r="E10" s="71">
        <f>Medicaid!W28</f>
        <v>590.38143529167962</v>
      </c>
      <c r="F10" s="71">
        <f>Medicaid!X28</f>
        <v>582.0469888702919</v>
      </c>
      <c r="G10" s="71">
        <f>Medicaid!Y28</f>
        <v>574.26265620574009</v>
      </c>
      <c r="H10" s="71">
        <f>Medicaid!Z28</f>
        <v>566.58243169085847</v>
      </c>
      <c r="I10" s="71">
        <f>Medicaid!AA28</f>
        <v>559.00492297677215</v>
      </c>
      <c r="J10" s="71">
        <f>Medicaid!AB28</f>
        <v>547.80853606152414</v>
      </c>
      <c r="K10" s="71">
        <f>Medicaid!AC28</f>
        <v>540.48211059635548</v>
      </c>
      <c r="L10" s="71"/>
    </row>
    <row r="11" spans="1:12" x14ac:dyDescent="0.35">
      <c r="A11" s="35" t="s">
        <v>209</v>
      </c>
      <c r="B11" s="35" t="s">
        <v>210</v>
      </c>
      <c r="C11" s="71">
        <f>Medicaid!U26</f>
        <v>813.1</v>
      </c>
      <c r="D11" s="71">
        <f>Medicaid!V26</f>
        <v>815.38788361526656</v>
      </c>
      <c r="E11" s="71">
        <f>Medicaid!W26</f>
        <v>817.68220482915194</v>
      </c>
      <c r="F11" s="71">
        <f>Medicaid!X26</f>
        <v>806.74647211686954</v>
      </c>
      <c r="G11" s="71">
        <f>Medicaid!Y26</f>
        <v>795.95699457468652</v>
      </c>
      <c r="H11" s="71">
        <f>Medicaid!Z26</f>
        <v>785.31181617685274</v>
      </c>
      <c r="I11" s="71">
        <f>Medicaid!AA26</f>
        <v>774.80900705762838</v>
      </c>
      <c r="J11" s="71">
        <f>Medicaid!AB26</f>
        <v>764.44666316141809</v>
      </c>
      <c r="K11" s="71">
        <f>Medicaid!AC26</f>
        <v>754.22290589758461</v>
      </c>
      <c r="L11" s="71"/>
    </row>
    <row r="12" spans="1:12" x14ac:dyDescent="0.35">
      <c r="A12" t="s">
        <v>55</v>
      </c>
      <c r="B12" t="s">
        <v>211</v>
      </c>
      <c r="C12" s="71">
        <f>Medicare!U10</f>
        <v>966.5</v>
      </c>
      <c r="D12" s="71">
        <f>Medicare!V10</f>
        <v>993.07136024365218</v>
      </c>
      <c r="E12" s="71">
        <f>Medicare!W10</f>
        <v>1020.3732297322065</v>
      </c>
      <c r="F12" s="71">
        <f>Medicare!X10</f>
        <v>1044.97819254406</v>
      </c>
      <c r="G12" s="71">
        <f>Medicare!Y10</f>
        <v>1070.1764717790929</v>
      </c>
      <c r="H12" s="71">
        <f>Medicare!Z10</f>
        <v>1095.9823744850623</v>
      </c>
      <c r="I12" s="71">
        <f>Medicare!AA10</f>
        <v>1122.4105527054271</v>
      </c>
      <c r="J12" s="71">
        <f>Medicare!AB10</f>
        <v>1135.7427245750396</v>
      </c>
      <c r="K12" s="71">
        <f>Medicare!AC10</f>
        <v>1149.2332581121652</v>
      </c>
      <c r="L12" s="71"/>
    </row>
    <row r="13" spans="1:12" x14ac:dyDescent="0.35">
      <c r="A13" t="s">
        <v>212</v>
      </c>
      <c r="B13" t="s">
        <v>213</v>
      </c>
      <c r="C13" s="71">
        <f>'Rebate Checks (expired)'!U11</f>
        <v>0</v>
      </c>
      <c r="D13" s="71">
        <f>'Rebate Checks (expired)'!V11</f>
        <v>0</v>
      </c>
      <c r="E13" s="71">
        <f>'Rebate Checks (expired)'!W11</f>
        <v>0</v>
      </c>
      <c r="F13" s="71">
        <f>'Rebate Checks (expired)'!X11</f>
        <v>0</v>
      </c>
      <c r="G13" s="71">
        <f>'Rebate Checks (expired)'!Y11</f>
        <v>0</v>
      </c>
      <c r="H13" s="71">
        <f>'Rebate Checks (expired)'!Z11</f>
        <v>0</v>
      </c>
      <c r="I13" s="71">
        <f>'Rebate Checks (expired)'!AA11</f>
        <v>0</v>
      </c>
      <c r="J13" s="71">
        <f>'Rebate Checks (expired)'!AB11</f>
        <v>0</v>
      </c>
      <c r="K13" s="71">
        <f>'Rebate Checks (expired)'!AC11</f>
        <v>0</v>
      </c>
      <c r="L13" s="71"/>
    </row>
    <row r="14" spans="1:12" x14ac:dyDescent="0.35">
      <c r="A14" t="s">
        <v>214</v>
      </c>
      <c r="B14" t="s">
        <v>215</v>
      </c>
      <c r="C14" s="71">
        <f>'Rebate Checks (expired)'!U10</f>
        <v>0</v>
      </c>
      <c r="D14" s="71">
        <f>'Rebate Checks (expired)'!V10</f>
        <v>0</v>
      </c>
      <c r="E14" s="71">
        <f>'Rebate Checks (expired)'!W10</f>
        <v>0</v>
      </c>
      <c r="F14" s="71">
        <f>'Rebate Checks (expired)'!X10</f>
        <v>0</v>
      </c>
      <c r="G14" s="71">
        <f>'Rebate Checks (expired)'!Y10</f>
        <v>0</v>
      </c>
      <c r="H14" s="71">
        <f>'Rebate Checks (expired)'!Z10</f>
        <v>0</v>
      </c>
      <c r="I14" s="71">
        <f>'Rebate Checks (expired)'!AA10</f>
        <v>0</v>
      </c>
      <c r="J14" s="71">
        <f>'Rebate Checks (expired)'!AB10</f>
        <v>0</v>
      </c>
      <c r="K14" s="71">
        <f>'Rebate Checks (expired)'!AC10</f>
        <v>0</v>
      </c>
      <c r="L14" s="71"/>
    </row>
    <row r="15" spans="1:12" x14ac:dyDescent="0.35">
      <c r="A15" t="s">
        <v>216</v>
      </c>
      <c r="B15" t="s">
        <v>217</v>
      </c>
      <c r="C15" s="71">
        <f>'Social Benefits'!U17</f>
        <v>12</v>
      </c>
      <c r="D15" s="71">
        <f>'Social Benefits'!V17</f>
        <v>12</v>
      </c>
      <c r="E15" s="71">
        <f>'Social Benefits'!W17</f>
        <v>12</v>
      </c>
      <c r="F15" s="71">
        <f>'Social Benefits'!X17</f>
        <v>4.2219999999999995</v>
      </c>
      <c r="G15" s="71">
        <f>'Social Benefits'!Y17</f>
        <v>4.2219999999999995</v>
      </c>
      <c r="H15" s="71">
        <f>'Social Benefits'!Z17</f>
        <v>4.2219999999999995</v>
      </c>
      <c r="I15" s="71">
        <f>'Social Benefits'!AA17</f>
        <v>4.2219999999999995</v>
      </c>
      <c r="J15" s="71">
        <f>'Social Benefits'!AB17</f>
        <v>2.3719999999999999</v>
      </c>
      <c r="K15" s="71">
        <f>'Social Benefits'!AC17</f>
        <v>2.3719999999999999</v>
      </c>
      <c r="L15" s="71"/>
    </row>
    <row r="16" spans="1:12" x14ac:dyDescent="0.35">
      <c r="A16" t="s">
        <v>802</v>
      </c>
      <c r="B16" t="s">
        <v>219</v>
      </c>
      <c r="C16" s="71">
        <f>'Social Benefits'!U24</f>
        <v>1.4159999999999999</v>
      </c>
      <c r="D16" s="71">
        <f>'Social Benefits'!V24</f>
        <v>1.4159999999999999</v>
      </c>
      <c r="E16" s="71">
        <f>'Social Benefits'!W24</f>
        <v>1.4159999999999999</v>
      </c>
      <c r="F16" s="71">
        <f>'Social Benefits'!X24</f>
        <v>1.4790000000000001</v>
      </c>
      <c r="G16" s="71">
        <f>'Social Benefits'!Y24</f>
        <v>1.4790000000000001</v>
      </c>
      <c r="H16" s="71">
        <f>'Social Benefits'!Z24</f>
        <v>1.4790000000000001</v>
      </c>
      <c r="I16" s="71">
        <f>'Social Benefits'!AA24</f>
        <v>1.4790000000000001</v>
      </c>
      <c r="J16" s="71">
        <f>'Social Benefits'!AB24</f>
        <v>1.63</v>
      </c>
      <c r="K16" s="71">
        <f>'Social Benefits'!AC24</f>
        <v>1.63</v>
      </c>
      <c r="L16" s="71"/>
    </row>
    <row r="17" spans="1:12" x14ac:dyDescent="0.35">
      <c r="A17" t="s">
        <v>220</v>
      </c>
      <c r="B17" t="s">
        <v>221</v>
      </c>
      <c r="C17" s="71">
        <f>'Social Benefits'!U27</f>
        <v>1988.674</v>
      </c>
      <c r="D17" s="71">
        <f>'Social Benefits'!V27</f>
        <v>2029.674</v>
      </c>
      <c r="E17" s="71">
        <f>'Social Benefits'!W27</f>
        <v>2036.674</v>
      </c>
      <c r="F17" s="71">
        <f>'Social Benefits'!X27</f>
        <v>2037.223</v>
      </c>
      <c r="G17" s="71">
        <f>'Social Benefits'!Y27</f>
        <v>2086.5698119999997</v>
      </c>
      <c r="H17" s="71">
        <f>'Social Benefits'!Z27</f>
        <v>2093.5698119999997</v>
      </c>
      <c r="I17" s="71">
        <f>'Social Benefits'!AA27</f>
        <v>2100.5698119999997</v>
      </c>
      <c r="J17" s="71">
        <f>'Social Benefits'!AB27</f>
        <v>2109.097812</v>
      </c>
      <c r="K17" s="71">
        <f>'Social Benefits'!AC27</f>
        <v>2145.5432441600001</v>
      </c>
      <c r="L17" s="71"/>
    </row>
    <row r="18" spans="1:12" x14ac:dyDescent="0.35">
      <c r="A18" t="s">
        <v>222</v>
      </c>
      <c r="B18" t="s">
        <v>223</v>
      </c>
      <c r="C18" s="71">
        <f>'Social Benefits'!U31</f>
        <v>183.57212584485049</v>
      </c>
      <c r="D18" s="71">
        <f>'Social Benefits'!V31</f>
        <v>186.41879934456207</v>
      </c>
      <c r="E18" s="71">
        <f>'Social Benefits'!W31</f>
        <v>189.30961652881547</v>
      </c>
      <c r="F18" s="71">
        <f>'Social Benefits'!X31</f>
        <v>192.24526193866711</v>
      </c>
      <c r="G18" s="71">
        <f>'Social Benefits'!Y31</f>
        <v>195.22643073042826</v>
      </c>
      <c r="H18" s="71">
        <f>'Social Benefits'!Z31</f>
        <v>198.25382884027687</v>
      </c>
      <c r="I18" s="71">
        <f>'Social Benefits'!AA31</f>
        <v>201.32817315142222</v>
      </c>
      <c r="J18" s="71">
        <f>'Social Benefits'!AB31</f>
        <v>204.45019166386174</v>
      </c>
      <c r="K18" s="71">
        <f>'Social Benefits'!AC31</f>
        <v>207.62062366677031</v>
      </c>
      <c r="L18" s="71"/>
    </row>
    <row r="19" spans="1:12" x14ac:dyDescent="0.35">
      <c r="A19" t="s">
        <v>224</v>
      </c>
      <c r="B19" t="s">
        <v>225</v>
      </c>
      <c r="C19" s="71">
        <f>Taxes!U9</f>
        <v>4343.7</v>
      </c>
      <c r="D19" s="71">
        <f>Taxes!V9</f>
        <v>4329.3221711136493</v>
      </c>
      <c r="E19" s="71">
        <f>Taxes!W9</f>
        <v>4327.2051100458839</v>
      </c>
      <c r="F19" s="71">
        <f>Taxes!X9</f>
        <v>4340.6301478375808</v>
      </c>
      <c r="G19" s="71">
        <f>Taxes!Y9</f>
        <v>4349.3675379932738</v>
      </c>
      <c r="H19" s="71">
        <f>Taxes!Z9</f>
        <v>4358.4195102567346</v>
      </c>
      <c r="I19" s="71">
        <f>Taxes!AA9</f>
        <v>4367.7883258097772</v>
      </c>
      <c r="J19" s="71">
        <f>Taxes!AB9</f>
        <v>4397.4810744762244</v>
      </c>
      <c r="K19" s="71">
        <f>Taxes!AC9</f>
        <v>4427.4238280406398</v>
      </c>
      <c r="L19" s="71"/>
    </row>
    <row r="20" spans="1:12" x14ac:dyDescent="0.35">
      <c r="A20" t="s">
        <v>226</v>
      </c>
      <c r="B20" t="s">
        <v>227</v>
      </c>
      <c r="C20" s="71">
        <f>Taxes!U23</f>
        <v>2150.1999999999998</v>
      </c>
      <c r="D20" s="71">
        <f>Taxes!V23</f>
        <v>2174.0594223129824</v>
      </c>
      <c r="E20" s="71">
        <f>Taxes!W23</f>
        <v>2198.5904721057186</v>
      </c>
      <c r="F20" s="71">
        <f>Taxes!X23</f>
        <v>2223.2147075075595</v>
      </c>
      <c r="G20" s="71">
        <f>Taxes!Y23</f>
        <v>2246.0489453882765</v>
      </c>
      <c r="H20" s="71">
        <f>Taxes!Z23</f>
        <v>2268.1787888141489</v>
      </c>
      <c r="I20" s="71">
        <f>Taxes!AA23</f>
        <v>2290.2143240761566</v>
      </c>
      <c r="J20" s="71">
        <f>Taxes!AB23</f>
        <v>2313.1893770781808</v>
      </c>
      <c r="K20" s="71">
        <f>Taxes!AC23</f>
        <v>2336.8784658517761</v>
      </c>
      <c r="L20" s="71"/>
    </row>
    <row r="21" spans="1:12" x14ac:dyDescent="0.35">
      <c r="A21" t="s">
        <v>228</v>
      </c>
      <c r="B21" t="s">
        <v>229</v>
      </c>
      <c r="C21" s="71">
        <f>Taxes!U19</f>
        <v>341.66194166567766</v>
      </c>
      <c r="D21" s="71">
        <f>Taxes!V19</f>
        <v>351.3933846561136</v>
      </c>
      <c r="E21" s="71">
        <f>Taxes!W19</f>
        <v>361.40200508754401</v>
      </c>
      <c r="F21" s="71">
        <f>Taxes!X19</f>
        <v>361.99675210186376</v>
      </c>
      <c r="G21" s="71">
        <f>Taxes!Y19</f>
        <v>362.5924778711601</v>
      </c>
      <c r="H21" s="71">
        <f>Taxes!Z19</f>
        <v>363.18918400613694</v>
      </c>
      <c r="I21" s="71">
        <f>Taxes!AA19</f>
        <v>363.78687212014876</v>
      </c>
      <c r="J21" s="71">
        <f>Taxes!AB19</f>
        <v>365.68659917925123</v>
      </c>
      <c r="K21" s="71">
        <f>Taxes!AC19</f>
        <v>379.83030278112079</v>
      </c>
      <c r="L21" s="71"/>
    </row>
    <row r="22" spans="1:12" x14ac:dyDescent="0.35">
      <c r="A22" t="s">
        <v>230</v>
      </c>
      <c r="B22" t="s">
        <v>231</v>
      </c>
      <c r="C22" s="71">
        <f>Taxes!U28</f>
        <v>109.238858295851</v>
      </c>
      <c r="D22" s="71">
        <f>Taxes!V28</f>
        <v>103.04642481819329</v>
      </c>
      <c r="E22" s="71">
        <f>Taxes!W28</f>
        <v>99.556412627685063</v>
      </c>
      <c r="F22" s="71">
        <f>Taxes!X28</f>
        <v>97.006587078061287</v>
      </c>
      <c r="G22" s="71">
        <f>Taxes!Y28</f>
        <v>98.104291899617465</v>
      </c>
      <c r="H22" s="71">
        <f>Taxes!Z28</f>
        <v>99.86160410273655</v>
      </c>
      <c r="I22" s="71">
        <f>Taxes!AA28</f>
        <v>102.34743789146242</v>
      </c>
      <c r="J22" s="71">
        <f>Taxes!AB28</f>
        <v>105.88667451343056</v>
      </c>
      <c r="K22" s="71">
        <f>Taxes!AC28</f>
        <v>109.30285005674891</v>
      </c>
      <c r="L22" s="71"/>
    </row>
    <row r="23" spans="1:12" x14ac:dyDescent="0.35">
      <c r="A23" s="35" t="s">
        <v>1396</v>
      </c>
      <c r="B23" t="s">
        <v>1395</v>
      </c>
      <c r="C23" s="71">
        <f>'Student loans'!U11</f>
        <v>0</v>
      </c>
      <c r="D23" s="71">
        <f>'Student loans'!V11</f>
        <v>0</v>
      </c>
      <c r="E23" s="71">
        <f>'Student loans'!W11</f>
        <v>20.815079999999998</v>
      </c>
      <c r="F23" s="71">
        <f>'Student loans'!X11</f>
        <v>21.006180000000001</v>
      </c>
      <c r="G23" s="71">
        <f>'Student loans'!Y11</f>
        <v>25.815300000000001</v>
      </c>
      <c r="H23" s="71">
        <f>'Student loans'!Z11</f>
        <v>26.04045</v>
      </c>
      <c r="I23" s="71">
        <f>'Student loans'!AA11</f>
        <v>26.26465</v>
      </c>
      <c r="J23" s="71">
        <f>'Student loans'!AB11</f>
        <v>26.498349999999999</v>
      </c>
      <c r="K23" s="71">
        <f>'Student loans'!AC11</f>
        <v>26.454419999999999</v>
      </c>
    </row>
    <row r="24" spans="1:12" x14ac:dyDescent="0.35">
      <c r="A24" s="72"/>
      <c r="C24" s="73"/>
      <c r="D24" s="73"/>
      <c r="E24" s="73"/>
      <c r="F24" s="73"/>
      <c r="G24" s="73"/>
      <c r="H24" s="73"/>
      <c r="I24" s="73"/>
      <c r="J24" s="73"/>
      <c r="K24" s="73"/>
    </row>
    <row r="25" spans="1:12" x14ac:dyDescent="0.35">
      <c r="A25" s="47"/>
      <c r="C25" s="73"/>
      <c r="D25" s="73"/>
      <c r="E25" s="73"/>
      <c r="F25" s="73"/>
      <c r="G25" s="73"/>
      <c r="H25" s="73"/>
      <c r="I25" s="73"/>
      <c r="J25" s="73"/>
      <c r="K25" s="73"/>
    </row>
    <row r="26" spans="1:12" x14ac:dyDescent="0.35">
      <c r="A26" s="47"/>
      <c r="C26" s="73"/>
      <c r="D26" s="73"/>
      <c r="E26" s="73"/>
      <c r="F26" s="73"/>
      <c r="G26" s="73"/>
      <c r="H26" s="73"/>
      <c r="I26" s="73"/>
      <c r="J26" s="73"/>
      <c r="K26" s="73"/>
    </row>
    <row r="27" spans="1:12" x14ac:dyDescent="0.35">
      <c r="A27" s="47"/>
      <c r="C27" s="73"/>
      <c r="D27" s="73"/>
      <c r="E27" s="73"/>
      <c r="F27" s="73"/>
      <c r="G27" s="73"/>
      <c r="H27" s="73"/>
      <c r="I27" s="73"/>
      <c r="J27" s="73"/>
      <c r="K27" s="73"/>
    </row>
    <row r="28" spans="1:12" x14ac:dyDescent="0.35">
      <c r="A28" s="35"/>
      <c r="C28" s="73"/>
      <c r="D28" s="73"/>
      <c r="E28" s="73"/>
      <c r="F28" s="73"/>
      <c r="G28" s="73"/>
      <c r="H28" s="73"/>
      <c r="I28" s="73"/>
      <c r="J28" s="73"/>
      <c r="K28" s="73"/>
    </row>
  </sheetData>
  <pageMargins left="0.7" right="0.7" top="0.75" bottom="0.75" header="0.3" footer="0.3"/>
  <pageSetup paperSize="9"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2:P90"/>
  <sheetViews>
    <sheetView zoomScaleNormal="100" workbookViewId="0">
      <pane xSplit="2" ySplit="7" topLeftCell="H31" activePane="bottomRight" state="frozen"/>
      <selection pane="topRight" activeCell="C1" sqref="C1"/>
      <selection pane="bottomLeft" activeCell="A8" sqref="A8"/>
      <selection pane="bottomRight" activeCell="L32" sqref="L32"/>
    </sheetView>
  </sheetViews>
  <sheetFormatPr defaultColWidth="11.453125" defaultRowHeight="14.5" x14ac:dyDescent="0.35"/>
  <cols>
    <col min="1" max="1" width="6.54296875" customWidth="1"/>
    <col min="2" max="2" width="65" customWidth="1"/>
    <col min="3" max="11" width="11.54296875" customWidth="1"/>
    <col min="12" max="12" width="18.1796875" style="1157" customWidth="1"/>
  </cols>
  <sheetData>
    <row r="2" spans="1:16" ht="21" customHeight="1" x14ac:dyDescent="0.5">
      <c r="A2" s="1588" t="s">
        <v>1895</v>
      </c>
      <c r="B2" s="1588"/>
      <c r="C2" s="1588"/>
      <c r="D2" s="1588"/>
      <c r="E2" s="1588"/>
      <c r="F2" s="1588"/>
      <c r="G2" s="1588"/>
      <c r="H2" s="1588"/>
      <c r="I2" s="1588"/>
      <c r="J2" s="1588"/>
      <c r="K2" s="1118"/>
      <c r="L2" s="1497"/>
      <c r="M2" s="74"/>
      <c r="N2" s="74"/>
      <c r="O2" s="74"/>
      <c r="P2" s="74"/>
    </row>
    <row r="3" spans="1:16" x14ac:dyDescent="0.35">
      <c r="A3" s="1593" t="s">
        <v>890</v>
      </c>
      <c r="B3" s="1593"/>
      <c r="C3" s="1593"/>
      <c r="D3" s="1593"/>
      <c r="E3" s="1593"/>
      <c r="F3" s="1593"/>
      <c r="G3" s="1593"/>
      <c r="H3" s="1593"/>
      <c r="I3" s="1593"/>
      <c r="J3" s="1593"/>
      <c r="K3" s="1593"/>
      <c r="L3" s="1593"/>
      <c r="M3" s="1593"/>
      <c r="N3" s="1593"/>
      <c r="O3" s="1593"/>
      <c r="P3" s="1593"/>
    </row>
    <row r="4" spans="1:16" ht="15" customHeight="1" x14ac:dyDescent="0.35">
      <c r="A4" s="1594"/>
      <c r="B4" s="1594"/>
      <c r="C4" s="1594"/>
      <c r="D4" s="91"/>
      <c r="E4" s="91"/>
      <c r="F4" s="91"/>
      <c r="G4" s="91"/>
      <c r="H4" s="91"/>
      <c r="I4" s="91"/>
      <c r="J4" s="91"/>
      <c r="K4" s="1119"/>
    </row>
    <row r="5" spans="1:16" x14ac:dyDescent="0.35">
      <c r="A5" s="1601" t="s">
        <v>821</v>
      </c>
      <c r="B5" s="1608"/>
      <c r="C5" s="1611" t="s">
        <v>903</v>
      </c>
      <c r="D5" s="1611" t="s">
        <v>903</v>
      </c>
      <c r="E5" s="1611" t="s">
        <v>903</v>
      </c>
      <c r="F5" s="1611" t="s">
        <v>903</v>
      </c>
      <c r="G5" s="1611" t="s">
        <v>903</v>
      </c>
      <c r="H5" s="1611" t="s">
        <v>903</v>
      </c>
      <c r="I5" s="1611" t="s">
        <v>903</v>
      </c>
      <c r="J5" s="1612" t="s">
        <v>903</v>
      </c>
      <c r="K5" s="1479"/>
      <c r="L5" s="1202"/>
    </row>
    <row r="6" spans="1:16" x14ac:dyDescent="0.35">
      <c r="A6" s="1602" t="s">
        <v>821</v>
      </c>
      <c r="B6" s="1609"/>
      <c r="C6" s="1598">
        <v>2022</v>
      </c>
      <c r="D6" s="1599"/>
      <c r="E6" s="1599"/>
      <c r="F6" s="1599"/>
      <c r="G6" s="1599"/>
      <c r="H6" s="1600"/>
      <c r="I6" s="1595">
        <v>2023</v>
      </c>
      <c r="J6" s="1596">
        <v>2023</v>
      </c>
      <c r="K6" s="1597">
        <v>2023</v>
      </c>
      <c r="L6" s="1498"/>
    </row>
    <row r="7" spans="1:16" ht="32.4" customHeight="1" x14ac:dyDescent="0.35">
      <c r="A7" s="1603" t="s">
        <v>821</v>
      </c>
      <c r="B7" s="1610"/>
      <c r="C7" s="90" t="s">
        <v>1837</v>
      </c>
      <c r="D7" s="1481" t="s">
        <v>2230</v>
      </c>
      <c r="E7" s="1481" t="s">
        <v>2231</v>
      </c>
      <c r="F7" s="1481" t="s">
        <v>2232</v>
      </c>
      <c r="G7" s="1481" t="s">
        <v>2233</v>
      </c>
      <c r="H7" s="1481" t="s">
        <v>2234</v>
      </c>
      <c r="I7" s="1481" t="s">
        <v>904</v>
      </c>
      <c r="J7" s="1481" t="s">
        <v>905</v>
      </c>
      <c r="K7" s="1481" t="s">
        <v>2229</v>
      </c>
      <c r="L7" s="1499" t="s">
        <v>2235</v>
      </c>
    </row>
    <row r="8" spans="1:16" x14ac:dyDescent="0.35">
      <c r="A8" s="104">
        <v>1</v>
      </c>
      <c r="B8" s="60" t="s">
        <v>239</v>
      </c>
      <c r="C8" s="82">
        <v>21852.3</v>
      </c>
      <c r="D8" s="1492">
        <v>21975.8</v>
      </c>
      <c r="E8" s="1482">
        <v>22080.400000000001</v>
      </c>
      <c r="F8" s="1482">
        <v>22283</v>
      </c>
      <c r="G8" s="1482">
        <v>22375.9</v>
      </c>
      <c r="H8" s="1482">
        <v>22446.1</v>
      </c>
      <c r="I8" s="1482">
        <v>22575.599999999999</v>
      </c>
      <c r="J8" s="1482">
        <v>22649.1</v>
      </c>
      <c r="K8" s="1483">
        <v>22717</v>
      </c>
      <c r="L8" s="1500"/>
    </row>
    <row r="9" spans="1:16" x14ac:dyDescent="0.35">
      <c r="A9" s="105">
        <v>2</v>
      </c>
      <c r="B9" s="94" t="s">
        <v>1838</v>
      </c>
      <c r="C9" s="83">
        <v>13654.1</v>
      </c>
      <c r="D9" s="1493">
        <v>13754.9</v>
      </c>
      <c r="E9" s="1484">
        <v>13856.1</v>
      </c>
      <c r="F9" s="1484">
        <v>13921</v>
      </c>
      <c r="G9" s="1484">
        <v>13977.3</v>
      </c>
      <c r="H9" s="1484">
        <v>14019.4</v>
      </c>
      <c r="I9" s="1484">
        <v>14138.9</v>
      </c>
      <c r="J9" s="1484">
        <v>14178.7</v>
      </c>
      <c r="K9" s="1485">
        <v>14224.9</v>
      </c>
      <c r="L9" s="1500"/>
    </row>
    <row r="10" spans="1:16" x14ac:dyDescent="0.35">
      <c r="A10" s="105">
        <v>3</v>
      </c>
      <c r="B10" s="95" t="s">
        <v>1839</v>
      </c>
      <c r="C10" s="83">
        <v>11271.8</v>
      </c>
      <c r="D10" s="1493">
        <v>11360.7</v>
      </c>
      <c r="E10" s="1484">
        <v>11450.6</v>
      </c>
      <c r="F10" s="1484">
        <v>11506.8</v>
      </c>
      <c r="G10" s="1484">
        <v>11553.5</v>
      </c>
      <c r="H10" s="1484">
        <v>11587.7</v>
      </c>
      <c r="I10" s="1484">
        <v>11693.8</v>
      </c>
      <c r="J10" s="1484">
        <v>11726.8</v>
      </c>
      <c r="K10" s="1485">
        <v>11765.6</v>
      </c>
      <c r="L10" s="1500"/>
    </row>
    <row r="11" spans="1:16" x14ac:dyDescent="0.35">
      <c r="A11" s="105">
        <v>4</v>
      </c>
      <c r="B11" s="98" t="s">
        <v>1840</v>
      </c>
      <c r="C11" s="86">
        <v>9656.4</v>
      </c>
      <c r="D11" s="1494">
        <v>9735.9</v>
      </c>
      <c r="E11" s="1486">
        <v>9819.5</v>
      </c>
      <c r="F11" s="1486">
        <v>9872.2000000000007</v>
      </c>
      <c r="G11" s="1486">
        <v>9908.7000000000007</v>
      </c>
      <c r="H11" s="1486">
        <v>9937.2999999999993</v>
      </c>
      <c r="I11" s="1486">
        <v>10033.6</v>
      </c>
      <c r="J11" s="1486">
        <v>10059.700000000001</v>
      </c>
      <c r="K11" s="1487">
        <v>10091.799999999999</v>
      </c>
      <c r="L11" s="1500"/>
    </row>
    <row r="12" spans="1:16" x14ac:dyDescent="0.35">
      <c r="A12" s="105">
        <v>5</v>
      </c>
      <c r="B12" s="96" t="s">
        <v>1841</v>
      </c>
      <c r="C12" s="86">
        <v>1767.7</v>
      </c>
      <c r="D12" s="1494">
        <v>1780.1</v>
      </c>
      <c r="E12" s="1486">
        <v>1797.4</v>
      </c>
      <c r="F12" s="1486">
        <v>1807.9</v>
      </c>
      <c r="G12" s="1486">
        <v>1814.1</v>
      </c>
      <c r="H12" s="1486">
        <v>1814</v>
      </c>
      <c r="I12" s="1486">
        <v>1838</v>
      </c>
      <c r="J12" s="1486">
        <v>1837.4</v>
      </c>
      <c r="K12" s="1487">
        <v>1845.7</v>
      </c>
      <c r="L12" s="1500"/>
    </row>
    <row r="13" spans="1:16" x14ac:dyDescent="0.35">
      <c r="A13" s="105">
        <v>6</v>
      </c>
      <c r="B13" s="99" t="s">
        <v>1842</v>
      </c>
      <c r="C13" s="86">
        <v>1046.3</v>
      </c>
      <c r="D13" s="1494">
        <v>1054.4000000000001</v>
      </c>
      <c r="E13" s="1486">
        <v>1064.8</v>
      </c>
      <c r="F13" s="1486">
        <v>1070.5999999999999</v>
      </c>
      <c r="G13" s="1486">
        <v>1070.8</v>
      </c>
      <c r="H13" s="1486">
        <v>1065.2</v>
      </c>
      <c r="I13" s="1486">
        <v>1081.9000000000001</v>
      </c>
      <c r="J13" s="1486">
        <v>1078</v>
      </c>
      <c r="K13" s="1487">
        <v>1082.5</v>
      </c>
      <c r="L13" s="1500"/>
    </row>
    <row r="14" spans="1:16" x14ac:dyDescent="0.35">
      <c r="A14" s="105">
        <v>7</v>
      </c>
      <c r="B14" s="96" t="s">
        <v>1843</v>
      </c>
      <c r="C14" s="86">
        <v>7888.7</v>
      </c>
      <c r="D14" s="1494">
        <v>7955.8</v>
      </c>
      <c r="E14" s="1486">
        <v>8022.1</v>
      </c>
      <c r="F14" s="1486">
        <v>8064.3</v>
      </c>
      <c r="G14" s="1486">
        <v>8094.6</v>
      </c>
      <c r="H14" s="1486">
        <v>8123.3</v>
      </c>
      <c r="I14" s="1486">
        <v>8195.6</v>
      </c>
      <c r="J14" s="1486">
        <v>8222.4</v>
      </c>
      <c r="K14" s="1487">
        <v>8246.1</v>
      </c>
      <c r="L14" s="1500"/>
    </row>
    <row r="15" spans="1:16" x14ac:dyDescent="0.35">
      <c r="A15" s="105">
        <v>8</v>
      </c>
      <c r="B15" s="100" t="s">
        <v>1844</v>
      </c>
      <c r="C15" s="86">
        <v>1734</v>
      </c>
      <c r="D15" s="1494">
        <v>1748.4</v>
      </c>
      <c r="E15" s="1486">
        <v>1762.3</v>
      </c>
      <c r="F15" s="1486">
        <v>1775</v>
      </c>
      <c r="G15" s="1486">
        <v>1778.6</v>
      </c>
      <c r="H15" s="1486">
        <v>1780.5</v>
      </c>
      <c r="I15" s="1486">
        <v>1809.7</v>
      </c>
      <c r="J15" s="1486">
        <v>1813</v>
      </c>
      <c r="K15" s="1487">
        <v>1813.5</v>
      </c>
      <c r="L15" s="1500"/>
    </row>
    <row r="16" spans="1:16" x14ac:dyDescent="0.35">
      <c r="A16" s="105">
        <v>9</v>
      </c>
      <c r="B16" s="100" t="s">
        <v>1845</v>
      </c>
      <c r="C16" s="86">
        <v>6154.8</v>
      </c>
      <c r="D16" s="1494">
        <v>6207.4</v>
      </c>
      <c r="E16" s="1486">
        <v>6259.8</v>
      </c>
      <c r="F16" s="1486">
        <v>6289.2</v>
      </c>
      <c r="G16" s="1486">
        <v>6316</v>
      </c>
      <c r="H16" s="1486">
        <v>6342.8</v>
      </c>
      <c r="I16" s="1486">
        <v>6386</v>
      </c>
      <c r="J16" s="1486">
        <v>6409.4</v>
      </c>
      <c r="K16" s="1487">
        <v>6432.6</v>
      </c>
      <c r="L16" s="1500"/>
    </row>
    <row r="17" spans="1:14" ht="16.399999999999999" customHeight="1" x14ac:dyDescent="0.35">
      <c r="A17" s="105">
        <v>10</v>
      </c>
      <c r="B17" s="98" t="s">
        <v>1846</v>
      </c>
      <c r="C17" s="86">
        <v>1615.4</v>
      </c>
      <c r="D17" s="1494">
        <v>1624.8</v>
      </c>
      <c r="E17" s="1486">
        <v>1631.1</v>
      </c>
      <c r="F17" s="1486">
        <v>1634.6</v>
      </c>
      <c r="G17" s="1486">
        <v>1644.8</v>
      </c>
      <c r="H17" s="1486">
        <v>1650.4</v>
      </c>
      <c r="I17" s="1486">
        <v>1660.2</v>
      </c>
      <c r="J17" s="1486">
        <v>1667.1</v>
      </c>
      <c r="K17" s="1487">
        <v>1673.8</v>
      </c>
      <c r="L17" s="1500"/>
    </row>
    <row r="18" spans="1:14" ht="16.399999999999999" customHeight="1" x14ac:dyDescent="0.35">
      <c r="A18" s="105">
        <v>11</v>
      </c>
      <c r="B18" s="95" t="s">
        <v>1847</v>
      </c>
      <c r="C18" s="83">
        <v>2382.3000000000002</v>
      </c>
      <c r="D18" s="1493">
        <v>2394.1</v>
      </c>
      <c r="E18" s="1484">
        <v>2405.5</v>
      </c>
      <c r="F18" s="1484">
        <v>2414.3000000000002</v>
      </c>
      <c r="G18" s="1484">
        <v>2423.8000000000002</v>
      </c>
      <c r="H18" s="1484">
        <v>2431.6999999999998</v>
      </c>
      <c r="I18" s="1484">
        <v>2445.1</v>
      </c>
      <c r="J18" s="1484">
        <v>2451.9</v>
      </c>
      <c r="K18" s="1485">
        <v>2459.3000000000002</v>
      </c>
      <c r="L18" s="1500"/>
    </row>
    <row r="19" spans="1:14" ht="16.5" customHeight="1" x14ac:dyDescent="0.35">
      <c r="A19" s="106">
        <v>12</v>
      </c>
      <c r="B19" s="93" t="s">
        <v>1848</v>
      </c>
      <c r="C19" s="86">
        <v>1614.2</v>
      </c>
      <c r="D19" s="1494">
        <v>1620.2</v>
      </c>
      <c r="E19" s="1486">
        <v>1625.6</v>
      </c>
      <c r="F19" s="1486">
        <v>1630.6</v>
      </c>
      <c r="G19" s="1486">
        <v>1637.1</v>
      </c>
      <c r="H19" s="1486">
        <v>1642.9</v>
      </c>
      <c r="I19" s="1486">
        <v>1647</v>
      </c>
      <c r="J19" s="1486">
        <v>1651.9</v>
      </c>
      <c r="K19" s="1487">
        <v>1657</v>
      </c>
      <c r="L19" s="1500"/>
    </row>
    <row r="20" spans="1:14" x14ac:dyDescent="0.35">
      <c r="A20" s="106">
        <v>13</v>
      </c>
      <c r="B20" s="102" t="s">
        <v>1849</v>
      </c>
      <c r="C20" s="86">
        <v>768.1</v>
      </c>
      <c r="D20" s="1494">
        <v>774</v>
      </c>
      <c r="E20" s="1486">
        <v>779.9</v>
      </c>
      <c r="F20" s="1486">
        <v>783.7</v>
      </c>
      <c r="G20" s="1486">
        <v>786.7</v>
      </c>
      <c r="H20" s="1486">
        <v>788.8</v>
      </c>
      <c r="I20" s="1486">
        <v>798</v>
      </c>
      <c r="J20" s="1486">
        <v>800</v>
      </c>
      <c r="K20" s="1487">
        <v>802.3</v>
      </c>
      <c r="L20" s="1500"/>
    </row>
    <row r="21" spans="1:14" ht="16.399999999999999" customHeight="1" x14ac:dyDescent="0.35">
      <c r="A21" s="106">
        <v>14</v>
      </c>
      <c r="B21" s="101" t="s">
        <v>1850</v>
      </c>
      <c r="C21" s="83">
        <v>1846.5</v>
      </c>
      <c r="D21" s="1493">
        <v>1869.7</v>
      </c>
      <c r="E21" s="1484">
        <v>1874.4</v>
      </c>
      <c r="F21" s="1484">
        <v>1877.2</v>
      </c>
      <c r="G21" s="1484">
        <v>1882.7</v>
      </c>
      <c r="H21" s="1484">
        <v>1888.6</v>
      </c>
      <c r="I21" s="1484">
        <v>1890.7</v>
      </c>
      <c r="J21" s="1484">
        <v>1887</v>
      </c>
      <c r="K21" s="1485">
        <v>1884.6</v>
      </c>
      <c r="L21" s="1500"/>
    </row>
    <row r="22" spans="1:14" x14ac:dyDescent="0.35">
      <c r="A22" s="105">
        <v>15</v>
      </c>
      <c r="B22" s="58" t="s">
        <v>1851</v>
      </c>
      <c r="C22" s="86">
        <v>94.8</v>
      </c>
      <c r="D22" s="1494">
        <v>95.9</v>
      </c>
      <c r="E22" s="1486">
        <v>97.1</v>
      </c>
      <c r="F22" s="1486">
        <v>99</v>
      </c>
      <c r="G22" s="1486">
        <v>100.9</v>
      </c>
      <c r="H22" s="1486">
        <v>102.8</v>
      </c>
      <c r="I22" s="1486">
        <v>99</v>
      </c>
      <c r="J22" s="1486">
        <v>95.3</v>
      </c>
      <c r="K22" s="1487">
        <v>91.5</v>
      </c>
      <c r="L22" s="1500"/>
    </row>
    <row r="23" spans="1:14" x14ac:dyDescent="0.35">
      <c r="A23" s="105">
        <v>16</v>
      </c>
      <c r="B23" s="58" t="s">
        <v>1852</v>
      </c>
      <c r="C23" s="86">
        <v>1751.7</v>
      </c>
      <c r="D23" s="1494">
        <v>1773.7</v>
      </c>
      <c r="E23" s="1486">
        <v>1777.4</v>
      </c>
      <c r="F23" s="1486">
        <v>1778.3</v>
      </c>
      <c r="G23" s="1486">
        <v>1781.9</v>
      </c>
      <c r="H23" s="1486">
        <v>1785.8</v>
      </c>
      <c r="I23" s="1486">
        <v>1791.7</v>
      </c>
      <c r="J23" s="1486">
        <v>1791.7</v>
      </c>
      <c r="K23" s="1487">
        <v>1793.1</v>
      </c>
      <c r="L23" s="1500"/>
    </row>
    <row r="24" spans="1:14" x14ac:dyDescent="0.35">
      <c r="A24" s="106">
        <v>17</v>
      </c>
      <c r="B24" s="101" t="s">
        <v>1853</v>
      </c>
      <c r="C24" s="83">
        <v>792.9</v>
      </c>
      <c r="D24" s="1493">
        <v>794.9</v>
      </c>
      <c r="E24" s="1484">
        <v>797</v>
      </c>
      <c r="F24" s="1484">
        <v>804.7</v>
      </c>
      <c r="G24" s="1484">
        <v>810.6</v>
      </c>
      <c r="H24" s="1484">
        <v>820</v>
      </c>
      <c r="I24" s="1484">
        <v>830.1</v>
      </c>
      <c r="J24" s="1484">
        <v>841.5</v>
      </c>
      <c r="K24" s="1485">
        <v>853.4</v>
      </c>
      <c r="L24" s="1500"/>
    </row>
    <row r="25" spans="1:14" x14ac:dyDescent="0.35">
      <c r="A25" s="105">
        <v>18</v>
      </c>
      <c r="B25" s="94" t="s">
        <v>1854</v>
      </c>
      <c r="C25" s="83">
        <v>3350.6</v>
      </c>
      <c r="D25" s="1493">
        <v>3358.1</v>
      </c>
      <c r="E25" s="1484">
        <v>3367.7</v>
      </c>
      <c r="F25" s="1484">
        <v>3413.8</v>
      </c>
      <c r="G25" s="1484">
        <v>3424.7</v>
      </c>
      <c r="H25" s="1484">
        <v>3433.5</v>
      </c>
      <c r="I25" s="1484">
        <v>3445.4</v>
      </c>
      <c r="J25" s="1484">
        <v>3449.2</v>
      </c>
      <c r="K25" s="1485">
        <v>3467.6</v>
      </c>
      <c r="L25" s="1500"/>
    </row>
    <row r="26" spans="1:14" x14ac:dyDescent="0.35">
      <c r="A26" s="105">
        <v>19</v>
      </c>
      <c r="B26" s="58" t="s">
        <v>1855</v>
      </c>
      <c r="C26" s="86">
        <v>1731.1</v>
      </c>
      <c r="D26" s="1494">
        <v>1738</v>
      </c>
      <c r="E26" s="1486">
        <v>1745.2</v>
      </c>
      <c r="F26" s="1486">
        <v>1766.6</v>
      </c>
      <c r="G26" s="1486">
        <v>1788.7</v>
      </c>
      <c r="H26" s="1486">
        <v>1811.6</v>
      </c>
      <c r="I26" s="1486">
        <v>1810.1</v>
      </c>
      <c r="J26" s="1486">
        <v>1808.3</v>
      </c>
      <c r="K26" s="1487">
        <v>1806.1</v>
      </c>
      <c r="L26" s="1500"/>
    </row>
    <row r="27" spans="1:14" x14ac:dyDescent="0.35">
      <c r="A27" s="105">
        <v>20</v>
      </c>
      <c r="B27" s="58" t="s">
        <v>1856</v>
      </c>
      <c r="C27" s="86">
        <v>1619.5</v>
      </c>
      <c r="D27" s="1494">
        <v>1620.1</v>
      </c>
      <c r="E27" s="1486">
        <v>1622.6</v>
      </c>
      <c r="F27" s="1486">
        <v>1647.2</v>
      </c>
      <c r="G27" s="1486">
        <v>1636</v>
      </c>
      <c r="H27" s="1486">
        <v>1622</v>
      </c>
      <c r="I27" s="1486">
        <v>1635.3</v>
      </c>
      <c r="J27" s="1486">
        <v>1640.9</v>
      </c>
      <c r="K27" s="1487">
        <v>1661.5</v>
      </c>
      <c r="L27" s="1500"/>
    </row>
    <row r="28" spans="1:14" x14ac:dyDescent="0.35">
      <c r="A28" s="105">
        <v>21</v>
      </c>
      <c r="B28" s="94" t="s">
        <v>1857</v>
      </c>
      <c r="C28" s="83">
        <v>3891.7</v>
      </c>
      <c r="D28" s="1493">
        <v>3893.9</v>
      </c>
      <c r="E28" s="1484">
        <v>3892.9</v>
      </c>
      <c r="F28" s="1484">
        <v>3981.6</v>
      </c>
      <c r="G28" s="1484">
        <v>4002.2</v>
      </c>
      <c r="H28" s="1484">
        <v>4010.8</v>
      </c>
      <c r="I28" s="1484">
        <v>4020.5</v>
      </c>
      <c r="J28" s="1484">
        <v>4046.9</v>
      </c>
      <c r="K28" s="1485">
        <v>4045.6</v>
      </c>
      <c r="L28" s="1500"/>
    </row>
    <row r="29" spans="1:14" x14ac:dyDescent="0.35">
      <c r="A29" s="105">
        <v>22</v>
      </c>
      <c r="B29" s="58" t="s">
        <v>1858</v>
      </c>
      <c r="C29" s="86">
        <v>3821.1</v>
      </c>
      <c r="D29" s="1494">
        <v>3824.5</v>
      </c>
      <c r="E29" s="1486">
        <v>3823.5</v>
      </c>
      <c r="F29" s="1486">
        <v>3912.2</v>
      </c>
      <c r="G29" s="1486">
        <v>3932.8</v>
      </c>
      <c r="H29" s="1486">
        <v>3941.2</v>
      </c>
      <c r="I29" s="1486">
        <v>3949.5</v>
      </c>
      <c r="J29" s="1486">
        <v>3975.6</v>
      </c>
      <c r="K29" s="1487">
        <v>3974</v>
      </c>
      <c r="L29" s="1500"/>
      <c r="M29" s="80"/>
      <c r="N29" s="108"/>
    </row>
    <row r="30" spans="1:14" s="1529" customFormat="1" ht="16.5" customHeight="1" x14ac:dyDescent="0.35">
      <c r="A30" s="1522">
        <v>23</v>
      </c>
      <c r="B30" s="1523" t="s">
        <v>1859</v>
      </c>
      <c r="C30" s="1524">
        <v>1211.0999999999999</v>
      </c>
      <c r="D30" s="1525">
        <v>1215.9000000000001</v>
      </c>
      <c r="E30" s="1526">
        <v>1216.9000000000001</v>
      </c>
      <c r="F30" s="1526">
        <v>1229.0999999999999</v>
      </c>
      <c r="G30" s="1526">
        <v>1224.3</v>
      </c>
      <c r="H30" s="1526">
        <v>1223.5999999999999</v>
      </c>
      <c r="I30" s="1526">
        <v>1335.7</v>
      </c>
      <c r="J30" s="1526">
        <v>1340.5</v>
      </c>
      <c r="K30" s="1527">
        <v>1339.9</v>
      </c>
      <c r="L30" s="1528">
        <f>'Social Benefits'!V88</f>
        <v>1346.68</v>
      </c>
    </row>
    <row r="31" spans="1:14" s="1529" customFormat="1" ht="16.399999999999999" customHeight="1" x14ac:dyDescent="0.35">
      <c r="A31" s="1522">
        <v>24</v>
      </c>
      <c r="B31" s="1523" t="s">
        <v>1860</v>
      </c>
      <c r="C31" s="1524">
        <v>914.1</v>
      </c>
      <c r="D31" s="1525">
        <v>920.1</v>
      </c>
      <c r="E31" s="1526">
        <v>926.7</v>
      </c>
      <c r="F31" s="1526">
        <v>933.8</v>
      </c>
      <c r="G31" s="1526">
        <v>941.5</v>
      </c>
      <c r="H31" s="1526">
        <v>949.7</v>
      </c>
      <c r="I31" s="1526">
        <v>958.4</v>
      </c>
      <c r="J31" s="1526">
        <v>966.6</v>
      </c>
      <c r="K31" s="1527">
        <v>974.4</v>
      </c>
      <c r="L31" s="1530">
        <f>Medicare!V10</f>
        <v>993.07136024365218</v>
      </c>
    </row>
    <row r="32" spans="1:14" s="1529" customFormat="1" x14ac:dyDescent="0.35">
      <c r="A32" s="1522">
        <v>25</v>
      </c>
      <c r="B32" s="1523" t="s">
        <v>54</v>
      </c>
      <c r="C32" s="1524">
        <v>790.3</v>
      </c>
      <c r="D32" s="1525">
        <v>785.3</v>
      </c>
      <c r="E32" s="1526">
        <v>782.8</v>
      </c>
      <c r="F32" s="1526">
        <v>791.2</v>
      </c>
      <c r="G32" s="1526">
        <v>796.9</v>
      </c>
      <c r="H32" s="1526">
        <v>800.6</v>
      </c>
      <c r="I32" s="1526">
        <v>808.2</v>
      </c>
      <c r="J32" s="1526">
        <v>813.5</v>
      </c>
      <c r="K32" s="1527">
        <v>817.6</v>
      </c>
      <c r="L32" s="1530">
        <f>forecast!C11</f>
        <v>813.1</v>
      </c>
      <c r="M32" s="1531"/>
      <c r="N32" s="1532"/>
    </row>
    <row r="33" spans="1:14" s="1529" customFormat="1" x14ac:dyDescent="0.35">
      <c r="A33" s="1522">
        <v>26</v>
      </c>
      <c r="B33" s="1523" t="s">
        <v>263</v>
      </c>
      <c r="C33" s="1524">
        <v>18.7</v>
      </c>
      <c r="D33" s="1525">
        <v>18.899999999999999</v>
      </c>
      <c r="E33" s="1526">
        <v>18</v>
      </c>
      <c r="F33" s="1526">
        <v>18.899999999999999</v>
      </c>
      <c r="G33" s="1526">
        <v>20.6</v>
      </c>
      <c r="H33" s="1526">
        <v>21.6</v>
      </c>
      <c r="I33" s="1526">
        <v>21.9</v>
      </c>
      <c r="J33" s="1526">
        <v>22.8</v>
      </c>
      <c r="K33" s="1527">
        <v>23.6</v>
      </c>
      <c r="L33" s="1530">
        <f>forecast!C9+forecast!C8</f>
        <v>22.8</v>
      </c>
      <c r="M33" s="1531"/>
      <c r="N33" s="1532"/>
    </row>
    <row r="34" spans="1:14" ht="16.399999999999999" customHeight="1" x14ac:dyDescent="0.35">
      <c r="A34" s="105">
        <v>27</v>
      </c>
      <c r="B34" s="98" t="s">
        <v>1861</v>
      </c>
      <c r="C34" s="86">
        <v>161.1</v>
      </c>
      <c r="D34" s="1494">
        <v>161.6</v>
      </c>
      <c r="E34" s="1486">
        <v>162.5</v>
      </c>
      <c r="F34" s="1486">
        <v>163.19999999999999</v>
      </c>
      <c r="G34" s="1486">
        <v>164</v>
      </c>
      <c r="H34" s="1486">
        <v>164.8</v>
      </c>
      <c r="I34" s="1486">
        <v>165.5</v>
      </c>
      <c r="J34" s="1486">
        <v>166.4</v>
      </c>
      <c r="K34" s="1487">
        <v>167.2</v>
      </c>
      <c r="L34" s="1500"/>
    </row>
    <row r="35" spans="1:14" x14ac:dyDescent="0.35">
      <c r="A35" s="105">
        <v>28</v>
      </c>
      <c r="B35" s="98" t="s">
        <v>537</v>
      </c>
      <c r="C35" s="86">
        <v>725.8</v>
      </c>
      <c r="D35" s="1494">
        <v>722.7</v>
      </c>
      <c r="E35" s="1486">
        <v>716.6</v>
      </c>
      <c r="F35" s="1486">
        <v>776</v>
      </c>
      <c r="G35" s="1486">
        <v>785.4</v>
      </c>
      <c r="H35" s="1486">
        <v>780.9</v>
      </c>
      <c r="I35" s="1486">
        <v>659.8</v>
      </c>
      <c r="J35" s="1486">
        <v>665.9</v>
      </c>
      <c r="K35" s="1487">
        <v>651.5</v>
      </c>
      <c r="L35" s="1500"/>
    </row>
    <row r="36" spans="1:14" x14ac:dyDescent="0.35">
      <c r="A36" s="105">
        <v>29</v>
      </c>
      <c r="B36" s="97" t="s">
        <v>1862</v>
      </c>
      <c r="C36" s="86">
        <v>70.7</v>
      </c>
      <c r="D36" s="1494">
        <v>69.400000000000006</v>
      </c>
      <c r="E36" s="1486">
        <v>69.400000000000006</v>
      </c>
      <c r="F36" s="1486">
        <v>69.400000000000006</v>
      </c>
      <c r="G36" s="1486">
        <v>69.5</v>
      </c>
      <c r="H36" s="1486">
        <v>69.599999999999994</v>
      </c>
      <c r="I36" s="1486">
        <v>71</v>
      </c>
      <c r="J36" s="1486">
        <v>71.3</v>
      </c>
      <c r="K36" s="1487">
        <v>71.599999999999994</v>
      </c>
      <c r="L36" s="1500"/>
    </row>
    <row r="37" spans="1:14" s="1529" customFormat="1" x14ac:dyDescent="0.35">
      <c r="A37" s="1522">
        <v>30</v>
      </c>
      <c r="B37" s="1533" t="s">
        <v>1863</v>
      </c>
      <c r="C37" s="1534">
        <v>1683.6</v>
      </c>
      <c r="D37" s="1535">
        <v>1695.6</v>
      </c>
      <c r="E37" s="1536">
        <v>1707.7</v>
      </c>
      <c r="F37" s="1536">
        <v>1715.4</v>
      </c>
      <c r="G37" s="1536">
        <v>1721.7</v>
      </c>
      <c r="H37" s="1536">
        <v>1726.3</v>
      </c>
      <c r="I37" s="1536">
        <v>1749.9</v>
      </c>
      <c r="J37" s="1536">
        <v>1754.2</v>
      </c>
      <c r="K37" s="1537">
        <v>1759.2</v>
      </c>
      <c r="L37" s="1528">
        <f>Taxes!V13+Taxes!V26</f>
        <v>1768.5369491928343</v>
      </c>
    </row>
    <row r="38" spans="1:14" s="1529" customFormat="1" x14ac:dyDescent="0.35">
      <c r="A38" s="1522">
        <v>31</v>
      </c>
      <c r="B38" s="1538" t="s">
        <v>242</v>
      </c>
      <c r="C38" s="1534">
        <v>3224.2</v>
      </c>
      <c r="D38" s="1535">
        <v>3236.7</v>
      </c>
      <c r="E38" s="1536">
        <v>3248.6</v>
      </c>
      <c r="F38" s="1536">
        <v>3244.8</v>
      </c>
      <c r="G38" s="1536">
        <v>3231.8</v>
      </c>
      <c r="H38" s="1536">
        <v>3220.3</v>
      </c>
      <c r="I38" s="1536">
        <v>2952.3</v>
      </c>
      <c r="J38" s="1536">
        <v>2935.7</v>
      </c>
      <c r="K38" s="1537">
        <v>2931.9</v>
      </c>
      <c r="L38" s="1528">
        <f>Taxes!V10+Taxes!V25</f>
        <v>2921.3010603319071</v>
      </c>
    </row>
    <row r="39" spans="1:14" x14ac:dyDescent="0.35">
      <c r="A39" s="105">
        <v>32</v>
      </c>
      <c r="B39" s="60" t="s">
        <v>1864</v>
      </c>
      <c r="C39" s="83">
        <v>18628.099999999999</v>
      </c>
      <c r="D39" s="1493">
        <v>18739.099999999999</v>
      </c>
      <c r="E39" s="1484">
        <v>18831.7</v>
      </c>
      <c r="F39" s="1484">
        <v>19038.2</v>
      </c>
      <c r="G39" s="1484">
        <v>19144.099999999999</v>
      </c>
      <c r="H39" s="1484">
        <v>19225.7</v>
      </c>
      <c r="I39" s="1484">
        <v>19623.3</v>
      </c>
      <c r="J39" s="1484">
        <v>19713.3</v>
      </c>
      <c r="K39" s="1485">
        <v>19785.099999999999</v>
      </c>
      <c r="L39" s="1500"/>
    </row>
    <row r="40" spans="1:14" x14ac:dyDescent="0.35">
      <c r="A40" s="105">
        <v>33</v>
      </c>
      <c r="B40" s="60" t="s">
        <v>243</v>
      </c>
      <c r="C40" s="83">
        <v>17983.400000000001</v>
      </c>
      <c r="D40" s="1493">
        <v>18132.7</v>
      </c>
      <c r="E40" s="1484">
        <v>18257.400000000001</v>
      </c>
      <c r="F40" s="1484">
        <v>18391.8</v>
      </c>
      <c r="G40" s="1484">
        <v>18362.3</v>
      </c>
      <c r="H40" s="1484">
        <v>18377.400000000001</v>
      </c>
      <c r="I40" s="1484">
        <v>18738.2</v>
      </c>
      <c r="J40" s="1484">
        <v>18761.7</v>
      </c>
      <c r="K40" s="1485">
        <v>18783.2</v>
      </c>
      <c r="L40" s="1500"/>
    </row>
    <row r="41" spans="1:14" x14ac:dyDescent="0.35">
      <c r="A41" s="105">
        <v>34</v>
      </c>
      <c r="B41" s="103" t="s">
        <v>1728</v>
      </c>
      <c r="C41" s="86">
        <v>17420.3</v>
      </c>
      <c r="D41" s="1494">
        <v>17550.900000000001</v>
      </c>
      <c r="E41" s="1486">
        <v>17656.8</v>
      </c>
      <c r="F41" s="1486">
        <v>17778.2</v>
      </c>
      <c r="G41" s="1486">
        <v>17735</v>
      </c>
      <c r="H41" s="1486">
        <v>17736.5</v>
      </c>
      <c r="I41" s="1486">
        <v>18085.8</v>
      </c>
      <c r="J41" s="1486">
        <v>18096</v>
      </c>
      <c r="K41" s="1487">
        <v>18104.2</v>
      </c>
      <c r="L41" s="1500"/>
    </row>
    <row r="42" spans="1:14" ht="16.399999999999999" customHeight="1" x14ac:dyDescent="0.35">
      <c r="A42" s="105">
        <v>35</v>
      </c>
      <c r="B42" s="58" t="s">
        <v>1769</v>
      </c>
      <c r="C42" s="86">
        <v>5988.2</v>
      </c>
      <c r="D42" s="1494">
        <v>5981.9</v>
      </c>
      <c r="E42" s="1486">
        <v>5995.6</v>
      </c>
      <c r="F42" s="1486">
        <v>6064.4</v>
      </c>
      <c r="G42" s="1486">
        <v>5974.1</v>
      </c>
      <c r="H42" s="1486">
        <v>5901.5</v>
      </c>
      <c r="I42" s="1486">
        <v>6105.8</v>
      </c>
      <c r="J42" s="1486">
        <v>6094.2</v>
      </c>
      <c r="K42" s="1487">
        <v>6057.5</v>
      </c>
      <c r="L42" s="1501"/>
      <c r="M42" s="80"/>
      <c r="N42" s="108"/>
    </row>
    <row r="43" spans="1:14" ht="16.399999999999999" customHeight="1" x14ac:dyDescent="0.35">
      <c r="A43" s="105">
        <v>36</v>
      </c>
      <c r="B43" s="98" t="s">
        <v>1865</v>
      </c>
      <c r="C43" s="86">
        <v>2189.5</v>
      </c>
      <c r="D43" s="1494">
        <v>2197.8000000000002</v>
      </c>
      <c r="E43" s="1486">
        <v>2200.1999999999998</v>
      </c>
      <c r="F43" s="1486">
        <v>2238.9</v>
      </c>
      <c r="G43" s="1486">
        <v>2167.3000000000002</v>
      </c>
      <c r="H43" s="1486">
        <v>2134.9</v>
      </c>
      <c r="I43" s="1486">
        <v>2290.9</v>
      </c>
      <c r="J43" s="1486">
        <v>2257.6</v>
      </c>
      <c r="K43" s="1487">
        <v>2237.6</v>
      </c>
      <c r="L43" s="1500"/>
      <c r="M43" s="80"/>
      <c r="N43" s="108"/>
    </row>
    <row r="44" spans="1:14" ht="16.399999999999999" customHeight="1" x14ac:dyDescent="0.35">
      <c r="A44" s="105">
        <v>37</v>
      </c>
      <c r="B44" s="98" t="s">
        <v>1866</v>
      </c>
      <c r="C44" s="86">
        <v>3798.7</v>
      </c>
      <c r="D44" s="1494">
        <v>3784.1</v>
      </c>
      <c r="E44" s="1486">
        <v>3795.4</v>
      </c>
      <c r="F44" s="1486">
        <v>3825.6</v>
      </c>
      <c r="G44" s="1486">
        <v>3806.8</v>
      </c>
      <c r="H44" s="1486">
        <v>3766.5</v>
      </c>
      <c r="I44" s="1486">
        <v>3814.9</v>
      </c>
      <c r="J44" s="1486">
        <v>3836.7</v>
      </c>
      <c r="K44" s="1487">
        <v>3820</v>
      </c>
      <c r="L44" s="1500"/>
      <c r="M44" s="80"/>
      <c r="N44" s="108"/>
    </row>
    <row r="45" spans="1:14" ht="16.399999999999999" customHeight="1" x14ac:dyDescent="0.35">
      <c r="A45" s="105">
        <v>38</v>
      </c>
      <c r="B45" s="58" t="s">
        <v>1775</v>
      </c>
      <c r="C45" s="86">
        <v>11432.1</v>
      </c>
      <c r="D45" s="1494">
        <v>11568.9</v>
      </c>
      <c r="E45" s="1486">
        <v>11661.2</v>
      </c>
      <c r="F45" s="1486">
        <v>11713.7</v>
      </c>
      <c r="G45" s="1486">
        <v>11760.9</v>
      </c>
      <c r="H45" s="1486">
        <v>11835</v>
      </c>
      <c r="I45" s="1486">
        <v>11980</v>
      </c>
      <c r="J45" s="1486">
        <v>12001.7</v>
      </c>
      <c r="K45" s="1487">
        <v>12046.6</v>
      </c>
      <c r="L45" s="1500"/>
      <c r="M45" s="80"/>
      <c r="N45" s="108"/>
    </row>
    <row r="46" spans="1:14" ht="16.399999999999999" customHeight="1" x14ac:dyDescent="0.35">
      <c r="A46" s="105">
        <v>39</v>
      </c>
      <c r="B46" s="103" t="s">
        <v>1867</v>
      </c>
      <c r="C46" s="86">
        <v>338.7</v>
      </c>
      <c r="D46" s="1494">
        <v>357.1</v>
      </c>
      <c r="E46" s="1486">
        <v>375.6</v>
      </c>
      <c r="F46" s="1486">
        <v>389.1</v>
      </c>
      <c r="G46" s="1486">
        <v>402.6</v>
      </c>
      <c r="H46" s="1486">
        <v>416.1</v>
      </c>
      <c r="I46" s="1486">
        <v>429.1</v>
      </c>
      <c r="J46" s="1486">
        <v>442.1</v>
      </c>
      <c r="K46" s="1487">
        <v>455.1</v>
      </c>
      <c r="L46" s="1501"/>
      <c r="M46" s="80"/>
      <c r="N46" s="108"/>
    </row>
    <row r="47" spans="1:14" x14ac:dyDescent="0.35">
      <c r="A47" s="105">
        <v>40</v>
      </c>
      <c r="B47" s="103" t="s">
        <v>1868</v>
      </c>
      <c r="C47" s="86">
        <v>224.4</v>
      </c>
      <c r="D47" s="1494">
        <v>224.7</v>
      </c>
      <c r="E47" s="1486">
        <v>225</v>
      </c>
      <c r="F47" s="1486">
        <v>224.5</v>
      </c>
      <c r="G47" s="1486">
        <v>224.7</v>
      </c>
      <c r="H47" s="1486">
        <v>224.8</v>
      </c>
      <c r="I47" s="1486">
        <v>223.3</v>
      </c>
      <c r="J47" s="1486">
        <v>223.6</v>
      </c>
      <c r="K47" s="1487">
        <v>223.8</v>
      </c>
      <c r="L47" s="1500"/>
      <c r="M47" s="80"/>
      <c r="N47" s="108"/>
    </row>
    <row r="48" spans="1:14" x14ac:dyDescent="0.35">
      <c r="A48" s="105">
        <v>41</v>
      </c>
      <c r="B48" s="58" t="s">
        <v>1869</v>
      </c>
      <c r="C48" s="86">
        <v>116.1</v>
      </c>
      <c r="D48" s="1494">
        <v>116.4</v>
      </c>
      <c r="E48" s="1486">
        <v>116.7</v>
      </c>
      <c r="F48" s="1486">
        <v>116.9</v>
      </c>
      <c r="G48" s="1486">
        <v>117.1</v>
      </c>
      <c r="H48" s="1486">
        <v>117.2</v>
      </c>
      <c r="I48" s="1486">
        <v>117.5</v>
      </c>
      <c r="J48" s="1486">
        <v>117.8</v>
      </c>
      <c r="K48" s="1487">
        <v>118</v>
      </c>
      <c r="L48" s="1158"/>
      <c r="M48" s="80"/>
      <c r="N48" s="108"/>
    </row>
    <row r="49" spans="1:14" x14ac:dyDescent="0.35">
      <c r="A49" s="105">
        <v>42</v>
      </c>
      <c r="B49" s="58" t="s">
        <v>1870</v>
      </c>
      <c r="C49" s="86">
        <v>108.3</v>
      </c>
      <c r="D49" s="1494">
        <v>108.3</v>
      </c>
      <c r="E49" s="1486">
        <v>108.3</v>
      </c>
      <c r="F49" s="1486">
        <v>107.6</v>
      </c>
      <c r="G49" s="1486">
        <v>107.6</v>
      </c>
      <c r="H49" s="1486">
        <v>107.6</v>
      </c>
      <c r="I49" s="1486">
        <v>105.8</v>
      </c>
      <c r="J49" s="1486">
        <v>105.8</v>
      </c>
      <c r="K49" s="1487">
        <v>105.8</v>
      </c>
      <c r="L49" s="1158"/>
      <c r="M49" s="80"/>
      <c r="N49" s="108"/>
    </row>
    <row r="50" spans="1:14" x14ac:dyDescent="0.35">
      <c r="A50" s="105">
        <v>43</v>
      </c>
      <c r="B50" s="60" t="s">
        <v>244</v>
      </c>
      <c r="C50" s="83">
        <v>644.70000000000005</v>
      </c>
      <c r="D50" s="1493">
        <v>606.4</v>
      </c>
      <c r="E50" s="1484">
        <v>574.4</v>
      </c>
      <c r="F50" s="1484">
        <v>646.4</v>
      </c>
      <c r="G50" s="1484">
        <v>781.8</v>
      </c>
      <c r="H50" s="1484">
        <v>848.3</v>
      </c>
      <c r="I50" s="1484">
        <v>885.1</v>
      </c>
      <c r="J50" s="1484">
        <v>951.6</v>
      </c>
      <c r="K50" s="1485">
        <v>1001.9</v>
      </c>
      <c r="L50" s="1500"/>
      <c r="M50" s="70"/>
    </row>
    <row r="51" spans="1:14" x14ac:dyDescent="0.35">
      <c r="A51" s="106">
        <v>44</v>
      </c>
      <c r="B51" s="101" t="s">
        <v>1871</v>
      </c>
      <c r="C51" s="83">
        <v>3.5</v>
      </c>
      <c r="D51" s="1493">
        <v>3.2</v>
      </c>
      <c r="E51" s="1484">
        <v>3</v>
      </c>
      <c r="F51" s="1484">
        <v>3.4</v>
      </c>
      <c r="G51" s="1484">
        <v>4.0999999999999996</v>
      </c>
      <c r="H51" s="1484">
        <v>4.4000000000000004</v>
      </c>
      <c r="I51" s="1484">
        <v>4.5</v>
      </c>
      <c r="J51" s="1484">
        <v>4.8</v>
      </c>
      <c r="K51" s="1485">
        <v>5.0999999999999996</v>
      </c>
      <c r="L51" s="1500"/>
      <c r="M51" s="70"/>
    </row>
    <row r="52" spans="1:14" x14ac:dyDescent="0.35">
      <c r="A52" s="105"/>
      <c r="B52" s="60" t="s">
        <v>1776</v>
      </c>
      <c r="C52" s="83"/>
      <c r="D52" s="1493"/>
      <c r="E52" s="1484"/>
      <c r="F52" s="1484"/>
      <c r="G52" s="1484"/>
      <c r="H52" s="1484"/>
      <c r="I52" s="1484"/>
      <c r="J52" s="1484"/>
      <c r="K52" s="1485"/>
      <c r="L52" s="1500"/>
    </row>
    <row r="53" spans="1:14" ht="31" customHeight="1" x14ac:dyDescent="0.35">
      <c r="A53" s="106">
        <v>45</v>
      </c>
      <c r="B53" s="101" t="s">
        <v>1872</v>
      </c>
      <c r="C53" s="83">
        <v>14559.1</v>
      </c>
      <c r="D53" s="1493">
        <v>14618.2</v>
      </c>
      <c r="E53" s="1484">
        <v>14653.2</v>
      </c>
      <c r="F53" s="1484">
        <v>14683.1</v>
      </c>
      <c r="G53" s="1484">
        <v>14715.9</v>
      </c>
      <c r="H53" s="1484">
        <v>14735.4</v>
      </c>
      <c r="I53" s="1484">
        <v>14742.2</v>
      </c>
      <c r="J53" s="1484">
        <v>14735.2</v>
      </c>
      <c r="K53" s="1485">
        <v>14778.8</v>
      </c>
      <c r="L53" s="1500"/>
    </row>
    <row r="54" spans="1:14" x14ac:dyDescent="0.35">
      <c r="A54" s="105"/>
      <c r="B54" s="94" t="s">
        <v>1873</v>
      </c>
      <c r="C54" s="83"/>
      <c r="D54" s="1493"/>
      <c r="E54" s="1484"/>
      <c r="F54" s="1484"/>
      <c r="G54" s="1484"/>
      <c r="H54" s="1484"/>
      <c r="I54" s="1484"/>
      <c r="J54" s="1484"/>
      <c r="K54" s="1485"/>
      <c r="L54" s="1500"/>
    </row>
    <row r="55" spans="1:14" ht="16.399999999999999" customHeight="1" x14ac:dyDescent="0.35">
      <c r="A55" s="105">
        <v>46</v>
      </c>
      <c r="B55" s="97" t="s">
        <v>1874</v>
      </c>
      <c r="C55" s="86">
        <v>15100.2</v>
      </c>
      <c r="D55" s="1494">
        <v>15149.6</v>
      </c>
      <c r="E55" s="1486">
        <v>15172.2</v>
      </c>
      <c r="F55" s="1486">
        <v>15274.2</v>
      </c>
      <c r="G55" s="1486">
        <v>15332.9</v>
      </c>
      <c r="H55" s="1486">
        <v>15367.3</v>
      </c>
      <c r="I55" s="1486">
        <v>15590.8</v>
      </c>
      <c r="J55" s="1486">
        <v>15615.4</v>
      </c>
      <c r="K55" s="1487">
        <v>15660.3</v>
      </c>
      <c r="L55" s="1500"/>
    </row>
    <row r="56" spans="1:14" x14ac:dyDescent="0.35">
      <c r="A56" s="105"/>
      <c r="B56" s="58" t="s">
        <v>1875</v>
      </c>
      <c r="C56" s="86"/>
      <c r="D56" s="1494"/>
      <c r="E56" s="1486"/>
      <c r="F56" s="1486"/>
      <c r="G56" s="1486"/>
      <c r="H56" s="1486"/>
      <c r="I56" s="1486"/>
      <c r="J56" s="1486"/>
      <c r="K56" s="1487"/>
      <c r="L56" s="1500"/>
    </row>
    <row r="57" spans="1:14" x14ac:dyDescent="0.35">
      <c r="A57" s="105">
        <v>47</v>
      </c>
      <c r="B57" s="98" t="s">
        <v>1876</v>
      </c>
      <c r="C57" s="88">
        <v>55836</v>
      </c>
      <c r="D57" s="1495">
        <v>56139</v>
      </c>
      <c r="E57" s="1488">
        <v>56387</v>
      </c>
      <c r="F57" s="1488">
        <v>56976</v>
      </c>
      <c r="G57" s="1488">
        <v>57269</v>
      </c>
      <c r="H57" s="1488">
        <v>57490</v>
      </c>
      <c r="I57" s="1488">
        <v>58659</v>
      </c>
      <c r="J57" s="1488">
        <v>58910</v>
      </c>
      <c r="K57" s="1489">
        <v>59103</v>
      </c>
      <c r="L57" s="1500"/>
    </row>
    <row r="58" spans="1:14" x14ac:dyDescent="0.35">
      <c r="A58" s="105">
        <v>48</v>
      </c>
      <c r="B58" s="98" t="s">
        <v>1877</v>
      </c>
      <c r="C58" s="88">
        <v>45261</v>
      </c>
      <c r="D58" s="1495">
        <v>45385</v>
      </c>
      <c r="E58" s="1488">
        <v>45429</v>
      </c>
      <c r="F58" s="1488">
        <v>45712</v>
      </c>
      <c r="G58" s="1488">
        <v>45868</v>
      </c>
      <c r="H58" s="1488">
        <v>45952</v>
      </c>
      <c r="I58" s="1488">
        <v>46605</v>
      </c>
      <c r="J58" s="1488">
        <v>46664</v>
      </c>
      <c r="K58" s="1489">
        <v>46782</v>
      </c>
      <c r="L58" s="1500"/>
    </row>
    <row r="59" spans="1:14" ht="15" customHeight="1" x14ac:dyDescent="0.35">
      <c r="A59" s="107">
        <v>49</v>
      </c>
      <c r="B59" s="103" t="s">
        <v>1878</v>
      </c>
      <c r="C59" s="89">
        <v>333624</v>
      </c>
      <c r="D59" s="1496">
        <v>333799</v>
      </c>
      <c r="E59" s="1490">
        <v>333976</v>
      </c>
      <c r="F59" s="1490">
        <v>334141</v>
      </c>
      <c r="G59" s="1490">
        <v>334287</v>
      </c>
      <c r="H59" s="1490">
        <v>334420</v>
      </c>
      <c r="I59" s="1490">
        <v>334533</v>
      </c>
      <c r="J59" s="1490">
        <v>334637</v>
      </c>
      <c r="K59" s="1491">
        <v>334753</v>
      </c>
      <c r="L59" s="1502"/>
    </row>
    <row r="60" spans="1:14" x14ac:dyDescent="0.35">
      <c r="A60" s="1604" t="s">
        <v>1879</v>
      </c>
      <c r="B60" s="1604"/>
      <c r="C60" s="1604"/>
      <c r="D60" s="1604"/>
      <c r="E60" s="1604"/>
      <c r="F60" s="1604"/>
      <c r="G60" s="1604"/>
      <c r="H60" s="1604"/>
      <c r="I60" s="1604"/>
      <c r="J60" s="1604"/>
      <c r="K60" s="1480"/>
    </row>
    <row r="61" spans="1:14" x14ac:dyDescent="0.35">
      <c r="A61" s="1605" t="s">
        <v>1880</v>
      </c>
      <c r="B61" s="1605"/>
      <c r="C61" s="1605"/>
      <c r="D61" s="1605"/>
      <c r="E61" s="1605"/>
      <c r="F61" s="1605"/>
      <c r="G61" s="1605"/>
      <c r="H61" s="1605"/>
      <c r="I61" s="1605"/>
      <c r="J61" s="1605"/>
      <c r="K61" s="1120"/>
    </row>
    <row r="62" spans="1:14" x14ac:dyDescent="0.35">
      <c r="A62" s="1605" t="s">
        <v>1881</v>
      </c>
      <c r="B62" s="1605"/>
      <c r="C62" s="1605"/>
      <c r="D62" s="1605"/>
      <c r="E62" s="1605"/>
      <c r="F62" s="1605"/>
      <c r="G62" s="1605"/>
      <c r="H62" s="1605"/>
      <c r="I62" s="1605"/>
      <c r="J62" s="1605"/>
      <c r="K62" s="1120"/>
    </row>
    <row r="63" spans="1:14" x14ac:dyDescent="0.35">
      <c r="A63" s="1605" t="s">
        <v>1882</v>
      </c>
      <c r="B63" s="1605"/>
      <c r="C63" s="1605"/>
      <c r="D63" s="1605"/>
      <c r="E63" s="1605"/>
      <c r="F63" s="1605"/>
      <c r="G63" s="1605"/>
      <c r="H63" s="1605"/>
      <c r="I63" s="1605"/>
      <c r="J63" s="1605"/>
      <c r="K63" s="1120"/>
    </row>
    <row r="64" spans="1:14" x14ac:dyDescent="0.35">
      <c r="A64" s="1605" t="s">
        <v>1883</v>
      </c>
      <c r="B64" s="1605"/>
      <c r="C64" s="1605"/>
      <c r="D64" s="1605"/>
      <c r="E64" s="1605"/>
      <c r="F64" s="1605"/>
      <c r="G64" s="1605"/>
      <c r="H64" s="1605"/>
      <c r="I64" s="1605"/>
      <c r="J64" s="1605"/>
      <c r="K64" s="1120"/>
    </row>
    <row r="65" spans="1:11" x14ac:dyDescent="0.35">
      <c r="A65" s="1605" t="s">
        <v>1884</v>
      </c>
      <c r="B65" s="1605"/>
      <c r="C65" s="1605"/>
      <c r="D65" s="1605"/>
      <c r="E65" s="1605"/>
      <c r="F65" s="1605"/>
      <c r="G65" s="1605"/>
      <c r="H65" s="1605"/>
      <c r="I65" s="1605"/>
      <c r="J65" s="1605"/>
      <c r="K65" s="1120"/>
    </row>
    <row r="66" spans="1:11" ht="14.5" customHeight="1" x14ac:dyDescent="0.35">
      <c r="A66" s="1605" t="s">
        <v>1885</v>
      </c>
      <c r="B66" s="1605"/>
      <c r="C66" s="1605"/>
      <c r="D66" s="1605"/>
      <c r="E66" s="1605"/>
      <c r="F66" s="1605"/>
      <c r="G66" s="1605"/>
      <c r="H66" s="1605"/>
      <c r="I66" s="1605"/>
      <c r="J66" s="1605"/>
      <c r="K66" s="1120"/>
    </row>
    <row r="67" spans="1:11" ht="14.5" customHeight="1" x14ac:dyDescent="0.35">
      <c r="A67" s="1606" t="s">
        <v>1886</v>
      </c>
      <c r="B67" s="1606"/>
      <c r="C67" s="1606"/>
      <c r="D67" s="1606"/>
      <c r="E67" s="1606"/>
      <c r="F67" s="1606"/>
      <c r="G67" s="1606"/>
      <c r="H67" s="1606"/>
      <c r="I67" s="1606"/>
      <c r="J67" s="1606"/>
      <c r="K67" s="1121"/>
    </row>
    <row r="68" spans="1:11" ht="14.5" customHeight="1" x14ac:dyDescent="0.35">
      <c r="A68" s="1607" t="s">
        <v>246</v>
      </c>
      <c r="B68" s="1607"/>
      <c r="C68" s="1607"/>
      <c r="D68" s="1607"/>
      <c r="E68" s="1607"/>
      <c r="F68" s="1607"/>
      <c r="G68" s="1607"/>
      <c r="H68" s="1607"/>
      <c r="I68" s="1607"/>
      <c r="J68" s="1607"/>
      <c r="K68" s="1122"/>
    </row>
    <row r="69" spans="1:11" x14ac:dyDescent="0.35">
      <c r="A69" s="1589" t="s">
        <v>891</v>
      </c>
      <c r="B69" s="1589"/>
      <c r="C69" s="1589"/>
      <c r="D69" s="1589"/>
      <c r="E69" s="1589"/>
      <c r="F69" s="1589"/>
      <c r="G69" s="1589"/>
    </row>
    <row r="70" spans="1:11" x14ac:dyDescent="0.35">
      <c r="A70" s="1590" t="s">
        <v>892</v>
      </c>
      <c r="B70" s="1590"/>
      <c r="C70" s="1590"/>
      <c r="D70" s="1590"/>
      <c r="E70" s="1590"/>
      <c r="F70" s="1590"/>
      <c r="G70" s="1590"/>
    </row>
    <row r="71" spans="1:11" x14ac:dyDescent="0.35">
      <c r="A71" s="1591" t="s">
        <v>893</v>
      </c>
      <c r="B71" s="1591"/>
      <c r="C71" s="1591"/>
      <c r="D71" s="1591"/>
      <c r="E71" s="1591"/>
      <c r="F71" s="1591"/>
      <c r="G71" s="1591"/>
    </row>
    <row r="72" spans="1:11" x14ac:dyDescent="0.35">
      <c r="A72" s="1592" t="s">
        <v>894</v>
      </c>
      <c r="B72" s="1592"/>
      <c r="C72" s="1592"/>
      <c r="D72" s="1592"/>
      <c r="E72" s="1592"/>
      <c r="F72" s="1592"/>
      <c r="G72" s="1592"/>
    </row>
    <row r="73" spans="1:11" x14ac:dyDescent="0.35">
      <c r="A73" s="1592" t="s">
        <v>895</v>
      </c>
      <c r="B73" s="1592"/>
      <c r="C73" s="1592"/>
      <c r="D73" s="1592"/>
      <c r="E73" s="1592"/>
      <c r="F73" s="1592"/>
      <c r="G73" s="1592"/>
    </row>
    <row r="74" spans="1:11" x14ac:dyDescent="0.35">
      <c r="A74" s="1591" t="s">
        <v>896</v>
      </c>
      <c r="B74" s="1591"/>
      <c r="C74" s="1591"/>
      <c r="D74" s="1591"/>
      <c r="E74" s="1591"/>
      <c r="F74" s="1591"/>
      <c r="G74" s="1591"/>
    </row>
    <row r="76" spans="1:11" x14ac:dyDescent="0.35">
      <c r="A76" s="1589" t="s">
        <v>897</v>
      </c>
      <c r="B76" s="1589"/>
      <c r="C76" s="1589"/>
      <c r="D76" s="1589"/>
      <c r="E76" s="1589"/>
      <c r="F76" s="1589"/>
      <c r="G76" s="1589"/>
    </row>
    <row r="78" spans="1:11" x14ac:dyDescent="0.35">
      <c r="A78" s="35" t="s">
        <v>245</v>
      </c>
    </row>
    <row r="80" spans="1:11" x14ac:dyDescent="0.35">
      <c r="A80" s="35" t="s">
        <v>246</v>
      </c>
    </row>
    <row r="82" spans="1:1" x14ac:dyDescent="0.35">
      <c r="A82" s="77"/>
    </row>
    <row r="88" spans="1:1" x14ac:dyDescent="0.35">
      <c r="A88" s="76"/>
    </row>
    <row r="89" spans="1:1" x14ac:dyDescent="0.35">
      <c r="A89" s="76"/>
    </row>
    <row r="90" spans="1:1" x14ac:dyDescent="0.35">
      <c r="A90" s="76"/>
    </row>
  </sheetData>
  <mergeCells count="24">
    <mergeCell ref="A73:G73"/>
    <mergeCell ref="A74:G74"/>
    <mergeCell ref="A76:G76"/>
    <mergeCell ref="A5:A7"/>
    <mergeCell ref="A60:J60"/>
    <mergeCell ref="A66:J66"/>
    <mergeCell ref="A67:J67"/>
    <mergeCell ref="A68:J68"/>
    <mergeCell ref="B5:B7"/>
    <mergeCell ref="C5:J5"/>
    <mergeCell ref="A61:J61"/>
    <mergeCell ref="A62:J62"/>
    <mergeCell ref="A63:J63"/>
    <mergeCell ref="A64:J64"/>
    <mergeCell ref="A65:J65"/>
    <mergeCell ref="A2:J2"/>
    <mergeCell ref="A69:G69"/>
    <mergeCell ref="A70:G70"/>
    <mergeCell ref="A71:G71"/>
    <mergeCell ref="A72:G72"/>
    <mergeCell ref="A3:P3"/>
    <mergeCell ref="A4:C4"/>
    <mergeCell ref="I6:K6"/>
    <mergeCell ref="C6:H6"/>
  </mergeCells>
  <hyperlinks>
    <hyperlink ref="A74:G74" r:id="rId1" display="2. Interest payments due on certain categories of federally-held student loans were initially suspended by the CARES Act. For more information, see &quot;How does the federal response to the COVID-19 pandemic affect BEA's estimate of personal interest payments?&quot;." xr:uid="{00000000-0004-0000-0800-000000000000}"/>
    <hyperlink ref="A76:G76" r:id="rId2" display="NOTE: For national statistics detailing the amount of federal government receipts and expenditure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Why does BEA publish estimates at annual rates? on BEA's website." xr:uid="{00000000-0004-0000-0800-000001000000}"/>
    <hyperlink ref="A69" r:id="rId3" display="5. Unemployment insurance benefits were expanded through several programs that were initially established through the CARES Act. For more information, see How will the expansion of unemployment benefits in response to the COVID-19 pandemic be recorded in the NIPAs?" xr:uid="{00000000-0004-0000-0800-000002000000}"/>
    <hyperlink ref="A71:G71" r:id="rId4" display="4. Economic impact payments, initially established by the CARES Act, provide direct payments to individuals. For more information, see &quot;How are federal economic impact payments to support individuals during the COVID-19 pandemic recorded in the NIPAs?&quot;." xr:uid="{00000000-0004-0000-0800-000003000000}"/>
    <hyperlink ref="C74:H74" r:id="rId5" display="2. Interest payments due on certain categories of federally-held student loans were initially suspended by the CARES Act. For more information, see &quot;How does the federal response to the COVID-19 pandemic affect BEA's estimate of personal interest payments?&quot;." xr:uid="{00000000-0004-0000-0800-000004000000}"/>
    <hyperlink ref="C76:H76" r:id="rId6" display="NOTE: For national statistics detailing the amount of federal government receipts and expenditure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Why does BEA publish estimates at annual rates? on BEA's website." xr:uid="{00000000-0004-0000-0800-000005000000}"/>
    <hyperlink ref="C71:H71" r:id="rId7" display="4. Economic impact payments, initially established by the CARES Act, provide direct payments to individuals. For more information, see &quot;How are federal economic impact payments to support individuals during the COVID-19 pandemic recorded in the NIPAs?&quot;." xr:uid="{00000000-0004-0000-0800-000006000000}"/>
  </hyperlinks>
  <pageMargins left="0.7" right="0.7" top="0.75" bottom="0.75" header="0.3" footer="0.3"/>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34</vt:i4>
      </vt:variant>
    </vt:vector>
  </HeadingPairs>
  <TitlesOfParts>
    <vt:vector size="34" baseType="lpstr">
      <vt:lpstr>Guide to the FIM Spreadsheet</vt:lpstr>
      <vt:lpstr>Checklist (New Quarter Release)</vt:lpstr>
      <vt:lpstr>Checklist (Monthly Revision)</vt:lpstr>
      <vt:lpstr>Checklist (CBO Budget Release)</vt:lpstr>
      <vt:lpstr>Haver Pivoted</vt:lpstr>
      <vt:lpstr>Revisions</vt:lpstr>
      <vt:lpstr>forecast comparison</vt:lpstr>
      <vt:lpstr>forecast</vt:lpstr>
      <vt:lpstr>March - MPI</vt:lpstr>
      <vt:lpstr>March MPI - PCE</vt:lpstr>
      <vt:lpstr>historical overrides</vt:lpstr>
      <vt:lpstr>deflators_override</vt:lpstr>
      <vt:lpstr>mpc</vt:lpstr>
      <vt:lpstr>Unemployment Insurance</vt:lpstr>
      <vt:lpstr>Unemployment Insurance - lorae</vt:lpstr>
      <vt:lpstr>Grants</vt:lpstr>
      <vt:lpstr>Federal and State Purchases</vt:lpstr>
      <vt:lpstr>Subsidies</vt:lpstr>
      <vt:lpstr>Medicaid</vt:lpstr>
      <vt:lpstr>Medicare</vt:lpstr>
      <vt:lpstr>Student loans</vt:lpstr>
      <vt:lpstr>Social Benefits</vt:lpstr>
      <vt:lpstr>Deflators</vt:lpstr>
      <vt:lpstr>Taxes</vt:lpstr>
      <vt:lpstr>PPP (expired)</vt:lpstr>
      <vt:lpstr>Provider Relief (expired)</vt:lpstr>
      <vt:lpstr>Rebate Checks (expired)</vt:lpstr>
      <vt:lpstr>Cares Act Scores</vt:lpstr>
      <vt:lpstr>IRA and CHIPS</vt:lpstr>
      <vt:lpstr>Response and Relief Act Score</vt:lpstr>
      <vt:lpstr>ARP Score</vt:lpstr>
      <vt:lpstr>ARP Timing</vt:lpstr>
      <vt:lpstr>ARP Quarterly</vt:lpstr>
      <vt:lpstr>Deflators_original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Louise Sheiner</dc:creator>
  <cp:keywords/>
  <dc:description/>
  <cp:lastModifiedBy>Lorae Stojanovic</cp:lastModifiedBy>
  <cp:revision/>
  <dcterms:created xsi:type="dcterms:W3CDTF">2021-05-28T15:43:48Z</dcterms:created>
  <dcterms:modified xsi:type="dcterms:W3CDTF">2023-04-28T16:36:43Z</dcterms:modified>
  <cp:category/>
  <cp:contentStatus/>
</cp:coreProperties>
</file>