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D99C1E7B-5736-0141-BCDD-59761BA2A8BA}" xr6:coauthVersionLast="46" xr6:coauthVersionMax="46" xr10:uidLastSave="{00000000-0000-0000-0000-000000000000}"/>
  <bookViews>
    <workbookView xWindow="0" yWindow="500" windowWidth="33600" windowHeight="19500" activeTab="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0" i="1" l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O70" i="1"/>
  <c r="O89" i="1"/>
  <c r="O88" i="1" s="1"/>
  <c r="O90" i="1"/>
  <c r="O91" i="1"/>
  <c r="O92" i="1"/>
  <c r="O93" i="1"/>
  <c r="O94" i="1"/>
  <c r="N86" i="1"/>
  <c r="D22" i="5"/>
  <c r="D29" i="5"/>
  <c r="D36" i="5"/>
  <c r="D42" i="5"/>
  <c r="D48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M8" i="9"/>
  <c r="M7" i="9"/>
  <c r="M6" i="9"/>
  <c r="M5" i="9"/>
  <c r="K3" i="9"/>
  <c r="J3" i="9"/>
  <c r="I3" i="9"/>
  <c r="J12" i="9"/>
  <c r="J11" i="9"/>
  <c r="J10" i="9"/>
  <c r="J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7" i="1"/>
  <c r="N82" i="1" l="1"/>
  <c r="F21" i="5"/>
  <c r="F24" i="5" s="1"/>
  <c r="G47" i="5"/>
  <c r="G50" i="5" s="1"/>
  <c r="N55" i="1"/>
  <c r="I4" i="9"/>
  <c r="N50" i="1"/>
  <c r="N31" i="1"/>
  <c r="O26" i="4"/>
  <c r="N26" i="4"/>
  <c r="L111" i="1"/>
  <c r="D21" i="5" s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C14" i="16"/>
  <c r="C12" i="16"/>
  <c r="P64" i="1" s="1"/>
  <c r="C11" i="16"/>
  <c r="C6" i="16"/>
  <c r="C5" i="16"/>
  <c r="T79" i="1" s="1"/>
  <c r="C4" i="16"/>
  <c r="O37" i="1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R66" i="1"/>
  <c r="S78" i="1"/>
  <c r="R8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K12" i="9" s="1"/>
  <c r="V18" i="4"/>
  <c r="U46" i="1" s="1"/>
  <c r="K11" i="9" s="1"/>
  <c r="U18" i="4"/>
  <c r="T46" i="1" s="1"/>
  <c r="K10" i="9" s="1"/>
  <c r="T18" i="4"/>
  <c r="S46" i="1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I11" i="9" s="1"/>
  <c r="V40" i="1"/>
  <c r="I12" i="9" s="1"/>
  <c r="S40" i="1"/>
  <c r="I9" i="9" s="1"/>
  <c r="T40" i="1"/>
  <c r="I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G101" i="1"/>
  <c r="H101" i="1"/>
  <c r="I101" i="1"/>
  <c r="F101" i="1"/>
  <c r="F15" i="7" l="1"/>
  <c r="F13" i="7" s="1"/>
  <c r="L82" i="1"/>
  <c r="E68" i="5" s="1"/>
  <c r="H2" i="9" s="1"/>
  <c r="H15" i="7"/>
  <c r="H13" i="7" s="1"/>
  <c r="AJ99" i="1" s="1"/>
  <c r="K15" i="7"/>
  <c r="K13" i="7" s="1"/>
  <c r="G15" i="7"/>
  <c r="G13" i="7" s="1"/>
  <c r="AI99" i="1" s="1"/>
  <c r="I15" i="7"/>
  <c r="I13" i="7" s="1"/>
  <c r="AK99" i="1" s="1"/>
  <c r="K82" i="1"/>
  <c r="T106" i="1"/>
  <c r="J15" i="7" l="1"/>
  <c r="J13" i="7" s="1"/>
  <c r="U106" i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2" i="1"/>
  <c r="F54" i="6"/>
  <c r="Q99" i="1"/>
  <c r="F68" i="5"/>
  <c r="H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H2" i="12" a="1"/>
  <c r="H12" i="12" s="1"/>
  <c r="Q24" i="11"/>
  <c r="P27" i="11"/>
  <c r="F3" i="9" a="1"/>
  <c r="X82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F3" i="9"/>
  <c r="F21" i="9"/>
  <c r="F7" i="9"/>
  <c r="F18" i="9"/>
  <c r="F20" i="9"/>
  <c r="F22" i="9"/>
  <c r="F19" i="9"/>
  <c r="F8" i="9"/>
  <c r="F12" i="9"/>
  <c r="F6" i="9"/>
  <c r="F17" i="9"/>
  <c r="F5" i="9"/>
  <c r="F4" i="9"/>
  <c r="F13" i="9"/>
  <c r="F10" i="9"/>
  <c r="F14" i="9"/>
  <c r="F16" i="9"/>
  <c r="F9" i="9"/>
  <c r="F11" i="9"/>
  <c r="F15" i="9"/>
  <c r="F24" i="9"/>
  <c r="F23" i="9"/>
  <c r="Z82" i="1" l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K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D54" i="5" s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K6" i="9" s="1"/>
  <c r="S17" i="4"/>
  <c r="R43" i="1" s="1"/>
  <c r="L26" i="4"/>
  <c r="M26" i="4"/>
  <c r="M28" i="4"/>
  <c r="Q17" i="4" l="1"/>
  <c r="P43" i="1" s="1"/>
  <c r="P42" i="1" s="1"/>
  <c r="J6" i="9" s="1"/>
  <c r="W24" i="11"/>
  <c r="V27" i="11"/>
  <c r="R17" i="4"/>
  <c r="Q43" i="1" s="1"/>
  <c r="Q42" i="1" s="1"/>
  <c r="J7" i="9" s="1"/>
  <c r="P17" i="4"/>
  <c r="O43" i="1" s="1"/>
  <c r="O42" i="1" s="1"/>
  <c r="J5" i="9" s="1"/>
  <c r="O17" i="4"/>
  <c r="N43" i="1" s="1"/>
  <c r="W68" i="5"/>
  <c r="V71" i="5"/>
  <c r="R42" i="1"/>
  <c r="J8" i="9" s="1"/>
  <c r="M33" i="4"/>
  <c r="M37" i="4" s="1"/>
  <c r="AF43" i="1"/>
  <c r="L34" i="4"/>
  <c r="L38" i="4"/>
  <c r="L18" i="4" s="1"/>
  <c r="P18" i="4"/>
  <c r="O46" i="1" s="1"/>
  <c r="K5" i="9" s="1"/>
  <c r="O18" i="4"/>
  <c r="R18" i="4"/>
  <c r="Q46" i="1" s="1"/>
  <c r="K7" i="9" s="1"/>
  <c r="N42" i="1" l="1"/>
  <c r="J4" i="9" s="1"/>
  <c r="N93" i="1"/>
  <c r="N46" i="1"/>
  <c r="M17" i="4"/>
  <c r="L43" i="1" s="1"/>
  <c r="L42" i="1" s="1"/>
  <c r="J2" i="9" s="1"/>
  <c r="P40" i="1"/>
  <c r="I6" i="9" s="1"/>
  <c r="Q40" i="1"/>
  <c r="I7" i="9" s="1"/>
  <c r="AE43" i="1"/>
  <c r="X24" i="11"/>
  <c r="W27" i="11"/>
  <c r="R40" i="1"/>
  <c r="I8" i="9" s="1"/>
  <c r="O40" i="1"/>
  <c r="I5" i="9" s="1"/>
  <c r="M34" i="4"/>
  <c r="X68" i="5"/>
  <c r="W71" i="5"/>
  <c r="N33" i="4"/>
  <c r="N10" i="4"/>
  <c r="M38" i="4"/>
  <c r="M18" i="4" s="1"/>
  <c r="L46" i="1" s="1"/>
  <c r="K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K4" i="9" l="1"/>
  <c r="N110" i="1"/>
  <c r="AF40" i="1"/>
  <c r="AE46" i="1"/>
  <c r="N37" i="4"/>
  <c r="N38" i="4" s="1"/>
  <c r="N18" i="4" s="1"/>
  <c r="L93" i="1"/>
  <c r="E54" i="5" s="1"/>
  <c r="L40" i="1"/>
  <c r="I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H4" i="9"/>
  <c r="O111" i="1"/>
  <c r="G21" i="5" s="1"/>
  <c r="G24" i="5" s="1"/>
  <c r="H68" i="5"/>
  <c r="H71" i="5" s="1"/>
  <c r="H47" i="5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G3" i="9" a="1"/>
  <c r="G5" i="9" s="1"/>
  <c r="I2" i="12" a="1"/>
  <c r="S111" i="1"/>
  <c r="K21" i="5" s="1"/>
  <c r="K24" i="5" s="1"/>
  <c r="S94" i="1"/>
  <c r="O50" i="5" l="1"/>
  <c r="L50" i="5"/>
  <c r="G16" i="9"/>
  <c r="G4" i="9"/>
  <c r="G7" i="9"/>
  <c r="G19" i="9"/>
  <c r="G12" i="9"/>
  <c r="G11" i="9"/>
  <c r="G13" i="9"/>
  <c r="G3" i="9"/>
  <c r="G20" i="9"/>
  <c r="G22" i="9"/>
  <c r="G14" i="9"/>
  <c r="G10" i="9"/>
  <c r="G17" i="9"/>
  <c r="G18" i="9"/>
  <c r="G6" i="9"/>
  <c r="G15" i="9"/>
  <c r="G24" i="9"/>
  <c r="G21" i="9"/>
  <c r="G9" i="9"/>
  <c r="G23" i="9"/>
  <c r="G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D3" i="9" a="1"/>
  <c r="O34" i="11" l="1"/>
  <c r="P31" i="11"/>
  <c r="W24" i="5"/>
  <c r="X21" i="5"/>
  <c r="Q31" i="5"/>
  <c r="D4" i="9"/>
  <c r="D21" i="9"/>
  <c r="D12" i="9"/>
  <c r="D23" i="9"/>
  <c r="D13" i="9"/>
  <c r="D24" i="9"/>
  <c r="D9" i="9"/>
  <c r="D3" i="9"/>
  <c r="D16" i="9"/>
  <c r="D22" i="9"/>
  <c r="D15" i="9"/>
  <c r="D6" i="9"/>
  <c r="D20" i="9"/>
  <c r="D5" i="9"/>
  <c r="D18" i="9"/>
  <c r="D19" i="9"/>
  <c r="D8" i="9"/>
  <c r="D10" i="9"/>
  <c r="D11" i="9"/>
  <c r="D17" i="9"/>
  <c r="D7" i="9"/>
  <c r="D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H54" i="5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E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4" i="9"/>
  <c r="G22" i="12"/>
  <c r="E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E2" i="12" a="1"/>
  <c r="S30" i="1"/>
  <c r="T30" i="1" s="1"/>
  <c r="U30" i="1" s="1"/>
  <c r="V30" i="1" s="1"/>
  <c r="K41" i="5"/>
  <c r="K43" i="5" s="1"/>
  <c r="D7" i="12"/>
  <c r="S26" i="1"/>
  <c r="T27" i="1"/>
  <c r="E15" i="12" l="1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E6" i="12"/>
  <c r="U27" i="1"/>
  <c r="T26" i="1"/>
  <c r="E7" i="12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<sst xmlns="http://schemas.openxmlformats.org/spreadsheetml/2006/main" count="1011" uniqueCount="383">
  <si>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</si>
  <si>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</si>
  <si>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</si>
  <si>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</si>
  <si>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</si>
  <si>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</si>
  <si>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</si>
  <si>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</si>
  <si>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</si>
  <si>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</si>
  <si>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</si>
  <si>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</si>
  <si>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</si>
  <si>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</si>
  <si>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</si>
  <si>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</si>
  <si>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</si>
  <si>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</si>
  <si>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</si>
  <si>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</si>
  <si>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</si>
  <si>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</si>
  <si>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</si>
  <si>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</si>
  <si>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</si>
  <si>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</si>
  <si>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</si>
  <si>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</si>
  <si>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</si>
  <si>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</si>
  <si>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</si>
  <si>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</si>
  <si>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</si>
  <si>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</si>
  <si>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</si>
  <si>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</si>
  <si>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</si>
  <si>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</si>
  <si>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</si>
  <si>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</si>
  <si>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</si>
  <si>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</si>
  <si>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</si>
  <si>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</si>
  <si>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</si>
  <si>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</si>
  <si>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</si>
  <si>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</si>
  <si>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</si>
  <si>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</si>
  <si>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</si>
  <si>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</si>
  <si>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</si>
  <si>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</si>
  <si>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</si>
  <si>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</si>
  <si>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</si>
  <si>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</si>
  <si>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</si>
  <si>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</si>
  <si>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</si>
  <si>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</si>
  <si>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</si>
  <si>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</si>
  <si>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</si>
  <si>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</si>
  <si>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</si>
  <si>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</si>
  <si>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</si>
  <si>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</si>
  <si>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</si>
  <si>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</si>
  <si>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</si>
  <si>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</si>
  <si>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</si>
  <si>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</si>
  <si>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</si>
  <si>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</si>
  <si>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</si>
  <si>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</si>
  <si>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</si>
  <si>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</si>
  <si>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</si>
  <si>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</si>
  <si>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</si>
  <si>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</si>
  <si>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</si>
  <si>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</si>
  <si>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</si>
  <si>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</si>
  <si>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</si>
  <si>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</si>
  <si>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</si>
  <si>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</si>
  <si>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</si>
  <si>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</si>
  <si>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</si>
  <si>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</si>
  <si>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</si>
  <si>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</si>
  <si>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</si>
  <si>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</si>
  <si>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</si>
  <si>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</si>
  <si>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</si>
  <si>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</si>
  <si>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</si>
  <si>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</si>
  <si>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</si>
  <si>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</si>
  <si>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</si>
  <si>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</si>
  <si>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</si>
  <si>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</si>
  <si>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</si>
  <si>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</si>
  <si>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</si>
  <si>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</si>
  <si>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</si>
  <si>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</si>
  <si>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</si>
  <si>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</si>
  <si>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</si>
  <si>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</si>
  <si>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</si>
  <si>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</si>
  <si>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</si>
  <si>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</si>
  <si>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</si>
  <si>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</si>
  <si>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</si>
  <si>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</si>
  <si>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</si>
  <si>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</si>
  <si>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</si>
  <si>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</si>
  <si>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</si>
  <si>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</si>
  <si>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</si>
  <si>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</si>
  <si>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</si>
  <si>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</si>
  <si>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</si>
  <si>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</si>
  <si>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</si>
  <si>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</si>
  <si>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</si>
  <si>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</si>
  <si>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</si>
  <si>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</si>
  <si>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</si>
  <si>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</si>
  <si>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</si>
  <si>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</si>
  <si>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</si>
  <si>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</si>
  <si>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</si>
  <si>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</si>
  <si>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</si>
  <si>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</si>
  <si>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</si>
  <si>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</si>
  <si>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</si>
  <si>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</si>
  <si>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</si>
  <si>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</si>
  <si>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</si>
  <si>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</si>
  <si>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</si>
  <si>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</si>
  <si>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</si>
  <si>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</si>
  <si>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</si>
  <si>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</si>
  <si>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</si>
  <si>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</si>
  <si>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</si>
  <si>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</si>
  <si>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</si>
  <si>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</si>
  <si>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</si>
  <si>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</si>
  <si>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</si>
  <si>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</si>
  <si>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</si>
  <si>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</si>
  <si>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</si>
  <si>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</si>
  <si>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</si>
  <si>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</si>
  <si>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</si>
  <si>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</si>
  <si>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</si>
  <si>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</si>
  <si>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</si>
  <si>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</si>
  <si>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</si>
  <si>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</si>
  <si>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</si>
  <si>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</si>
  <si>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</si>
  <si>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</si>
  <si>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</si>
  <si>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</si>
  <si>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</si>
  <si>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</si>
  <si>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</si>
  <si>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</si>
  <si>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</si>
  <si>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</si>
  <si>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</si>
  <si>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</si>
  <si>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</si>
  <si>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</si>
  <si>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</si>
  <si>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</si>
  <si>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</si>
  <si>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</si>
  <si>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</si>
  <si>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</si>
  <si>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</si>
  <si>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</si>
  <si>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</si>
  <si>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</si>
  <si>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</si>
  <si>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</si>
  <si>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</si>
  <si>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</si>
  <si>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</si>
  <si>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</si>
  <si>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</si>
  <si>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</si>
  <si>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</si>
  <si>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</si>
  <si>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</si>
  <si>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</si>
  <si>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</si>
  <si>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</si>
  <si>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</si>
  <si>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</si>
  <si>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</si>
  <si>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</si>
  <si>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</si>
  <si>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</si>
  <si>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</si>
  <si>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</si>
  <si>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</si>
  <si>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</si>
  <si>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</si>
  <si>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</si>
  <si>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</si>
  <si>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</si>
  <si>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</si>
  <si>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</si>
  <si>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</si>
  <si>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</si>
  <si>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</si>
  <si>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</si>
  <si>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</si>
  <si>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</si>
  <si>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</si>
  <si>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</si>
  <si>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</si>
  <si>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</si>
  <si>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</si>
  <si>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</si>
  <si>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</si>
  <si>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</si>
  <si>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</si>
  <si>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</si>
  <si>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</si>
  <si>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</si>
  <si>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</si>
  <si>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</si>
  <si>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</si>
  <si>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</si>
  <si>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</si>
  <si>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</si>
  <si>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</si>
  <si>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</si>
  <si>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</si>
  <si>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</si>
  <si>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</si>
  <si>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</si>
  <si>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</si>
  <si>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</si>
  <si>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</si>
  <si>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</si>
  <si>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</si>
  <si>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</si>
  <si>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</si>
  <si>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</si>
  <si>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</si>
  <si>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</si>
  <si>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</si>
  <si>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</si>
  <si>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</si>
  <si>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</si>
  <si>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</si>
  <si>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</si>
  <si>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</si>
  <si>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</si>
  <si>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</si>
  <si>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</si>
  <si>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</si>
  <si>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</si>
  <si>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</si>
  <si>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</si>
  <si>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</si>
  <si>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</si>
  <si>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</si>
  <si>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</si>
  <si>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</si>
  <si>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</si>
  <si>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</si>
  <si>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</si>
  <si>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</si>
  <si>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</si>
  <si>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</si>
  <si>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</si>
  <si>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</si>
  <si>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</si>
  <si>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</si>
  <si>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</si>
  <si>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</si>
  <si>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</si>
  <si>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</si>
  <si>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</si>
  <si>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</si>
  <si>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</si>
  <si>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</si>
  <si>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</si>
  <si>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</si>
  <si>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</si>
  <si>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</si>
  <si>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</si>
  <si>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</si>
  <si>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</si>
  <si>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</si>
  <si>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</si>
  <si>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</si>
  <si>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</si>
  <si>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</si>
  <si>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</si>
  <si>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</si>
  <si>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</si>
  <si>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</si>
  <si>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</si>
  <si>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</si>
  <si>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</si>
  <si>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</si>
  <si>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</si>
  <si>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</si>
  <si>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</si>
  <si>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</si>
  <si>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</si>
  <si>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</si>
  <si>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</si>
  <si>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</si>
  <si>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</si>
  <si>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</si>
  <si>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</si>
  <si>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</si>
  <si>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</si>
  <si>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</si>
  <si>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</si>
  <si>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</si>
  <si>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</si>
  <si>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</si>
  <si>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</si>
  <si>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</si>
  <si>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</si>
  <si>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</si>
  <si>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</si>
  <si>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</si>
  <si>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</si>
  <si>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</si>
  <si>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</si>
  <si>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>add_consumption_grants</t>
  </si>
  <si>
    <t>consumption_grants_override</t>
  </si>
  <si>
    <t>ui_override</t>
  </si>
  <si>
    <t>federal_ui_override</t>
  </si>
  <si>
    <t>state_ui_override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</si>
</sst>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zoomScale="134" zoomScaleNormal="110" workbookViewId="0">
      <pane xSplit="2" ySplit="3" topLeftCell="J20" activePane="bottomRight" state="frozen"/>
      <selection pane="topRight" activeCell="C1" sqref="C1"/>
      <selection pane="bottomLeft" activeCell="A4" sqref="A4"/>
      <selection pane="bottomRight" activeCell="O37" sqref="O37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368</v>
      </c>
      <c r="B1" s="328"/>
      <c r="C1" s="268"/>
      <c r="D1" s="268"/>
      <c r="E1" s="35"/>
      <c r="N1" t="s">
        <v>370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278</v>
      </c>
      <c r="AJ1" s="330"/>
      <c r="AK1" s="330"/>
      <c r="AL1" s="330"/>
      <c r="AM1" s="329" t="s">
        <v>276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280</v>
      </c>
      <c r="C5" s="35" t="s">
        <v>288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280</v>
      </c>
      <c r="C7" s="35" t="s">
        <v>289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280</v>
      </c>
      <c r="C12" t="s">
        <v>290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280</v>
      </c>
      <c r="C15" t="s">
        <v>291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280</v>
      </c>
      <c r="C18" t="s">
        <v>292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280</v>
      </c>
      <c r="C21" t="s">
        <v>293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294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295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296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297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280</v>
      </c>
      <c r="C34" t="s">
        <v>298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280</v>
      </c>
      <c r="C35" t="s">
        <v>299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335</v>
      </c>
      <c r="B36" t="s">
        <v>280</v>
      </c>
      <c r="C36" t="s">
        <v>300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336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343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347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329</v>
      </c>
      <c r="B41" t="s">
        <v>280</v>
      </c>
      <c r="C41" t="s">
        <v>301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341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280</v>
      </c>
      <c r="C48" t="s">
        <v>302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280</v>
      </c>
      <c r="C49" t="s">
        <v>303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280</v>
      </c>
      <c r="C54" t="s">
        <v>304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333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331</v>
      </c>
      <c r="C57" t="s">
        <v>305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330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281</v>
      </c>
      <c r="B59" s="185" t="s">
        <v>280</v>
      </c>
      <c r="C59" t="s">
        <v>306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282</v>
      </c>
      <c r="B60" s="185" t="s">
        <v>280</v>
      </c>
      <c r="C60" t="s">
        <v>307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283</v>
      </c>
      <c r="B61" s="185" t="s">
        <v>280</v>
      </c>
      <c r="C61" t="s">
        <v>308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334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332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348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280</v>
      </c>
      <c r="C68" t="s">
        <v>309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197738.804</v>
      </c>
      <c r="P70" s="116">
        <f t="shared" ref="P70:Z70" si="44">O70*(1+P86)</f>
        <v>198529.75921600001</v>
      </c>
      <c r="Q70" s="116">
        <f t="shared" si="44"/>
        <v>199323.878252864</v>
      </c>
      <c r="R70" s="116">
        <f t="shared" si="44"/>
        <v>200121.17376587546</v>
      </c>
      <c r="S70" s="116">
        <f t="shared" si="44"/>
        <v>200921.65846093895</v>
      </c>
      <c r="T70" s="116">
        <f t="shared" si="44"/>
        <v>201725.34509478271</v>
      </c>
      <c r="U70" s="116">
        <f t="shared" si="44"/>
        <v>202532.24647516184</v>
      </c>
      <c r="V70" s="116">
        <f t="shared" si="44"/>
        <v>203342.37546106247</v>
      </c>
      <c r="W70" s="116">
        <f t="shared" si="44"/>
        <v>204155.74496290673</v>
      </c>
      <c r="X70" s="116">
        <f t="shared" si="44"/>
        <v>204972.36794275834</v>
      </c>
      <c r="Y70" s="116">
        <f t="shared" si="44"/>
        <v>205792.25741452936</v>
      </c>
      <c r="Z70" s="116">
        <f t="shared" si="44"/>
        <v>206615.42644418747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280</v>
      </c>
      <c r="C71" t="s">
        <v>310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337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374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375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376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338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339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340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346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346738.804</v>
      </c>
      <c r="P82" s="144">
        <f t="shared" si="48"/>
        <v>319529.75921599998</v>
      </c>
      <c r="Q82" s="144">
        <f t="shared" si="48"/>
        <v>320323.878252864</v>
      </c>
      <c r="R82" s="144">
        <f t="shared" si="48"/>
        <v>315121.17376587546</v>
      </c>
      <c r="S82" s="144">
        <f t="shared" si="48"/>
        <v>309921.65846093895</v>
      </c>
      <c r="T82" s="144">
        <f t="shared" si="48"/>
        <v>310725.34509478271</v>
      </c>
      <c r="U82" s="144">
        <f t="shared" si="48"/>
        <v>311532.24647516187</v>
      </c>
      <c r="V82" s="144">
        <f t="shared" si="48"/>
        <v>312342.37546106247</v>
      </c>
      <c r="W82" s="144">
        <f t="shared" si="48"/>
        <v>313155.7449629067</v>
      </c>
      <c r="X82" s="144">
        <f t="shared" si="48"/>
        <v>263972.36794275837</v>
      </c>
      <c r="Y82" s="144">
        <f t="shared" si="48"/>
        <v>264792.25741452933</v>
      </c>
      <c r="Z82" s="144">
        <f t="shared" si="48"/>
        <v>265615.42644418747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280</v>
      </c>
      <c r="C84" t="s">
        <v>311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280</v>
      </c>
      <c r="C85" t="s">
        <v>312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377</v>
      </c>
      <c r="C86"/>
      <c r="D86"/>
      <c r="F86" s="197"/>
      <c r="G86" s="197"/>
      <c r="H86" s="197"/>
      <c r="I86" s="197"/>
      <c r="J86" s="197"/>
      <c r="K86" s="197"/>
      <c r="L86" s="197"/>
      <c r="M86" s="302">
        <v>-1.1805555555555514E-2</v>
      </c>
      <c r="N86" s="311">
        <f>N84/M84-1</f>
        <v>-1.3676540090014067E-3</v>
      </c>
      <c r="O86" s="196">
        <v>4.0000000000000001E-3</v>
      </c>
      <c r="P86" s="196">
        <v>4.0000000000000001E-3</v>
      </c>
      <c r="Q86" s="196">
        <v>4.0000000000000001E-3</v>
      </c>
      <c r="R86" s="196">
        <v>4.0000000000000001E-3</v>
      </c>
      <c r="S86" s="196">
        <v>4.0000000000000001E-3</v>
      </c>
      <c r="T86" s="196">
        <v>4.0000000000000001E-3</v>
      </c>
      <c r="U86" s="196">
        <v>4.0000000000000001E-3</v>
      </c>
      <c r="V86" s="196">
        <v>4.0000000000000001E-3</v>
      </c>
      <c r="W86" s="196">
        <v>4.0000000000000001E-3</v>
      </c>
      <c r="X86" s="196">
        <v>4.0000000000000001E-3</v>
      </c>
      <c r="Y86" s="196">
        <v>4.0000000000000001E-3</v>
      </c>
      <c r="Z86" s="196">
        <v>4.0000000000000001E-3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185" customFormat="1" ht="12" x14ac:dyDescent="0.15">
      <c r="A87" s="169" t="s">
        <v>202</v>
      </c>
      <c r="F87" s="207"/>
      <c r="G87" s="207"/>
      <c r="H87" s="207"/>
      <c r="I87" s="207"/>
      <c r="J87" s="207"/>
      <c r="K87" s="207"/>
      <c r="L87" s="207"/>
      <c r="M87" s="302">
        <v>-1.1805555555555514E-2</v>
      </c>
      <c r="N87" s="311">
        <f>N85/M85-1</f>
        <v>4.3832189558417056E-3</v>
      </c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353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349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350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351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280</v>
      </c>
      <c r="C92" t="s">
        <v>313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507477.24811825115</v>
      </c>
      <c r="P92" s="116">
        <f t="shared" si="50"/>
        <v>512541.31638321205</v>
      </c>
      <c r="Q92" s="116">
        <f t="shared" si="50"/>
        <v>512541.31638321205</v>
      </c>
      <c r="R92" s="116">
        <f t="shared" si="50"/>
        <v>512541.31638321205</v>
      </c>
      <c r="S92" s="116">
        <f t="shared" si="50"/>
        <v>512541.31638321205</v>
      </c>
      <c r="T92" s="116">
        <f>T99*0.68</f>
        <v>470983.91235214088</v>
      </c>
      <c r="U92" s="116">
        <f>U99*0.68</f>
        <v>470983.91235214088</v>
      </c>
      <c r="V92" s="116">
        <f>V99*0.68</f>
        <v>470983.91235214088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511188.22022116883</v>
      </c>
      <c r="AF92" s="45">
        <f>AVERAGE(R92:U92)</f>
        <v>491762.61436767643</v>
      </c>
      <c r="AH92" s="35">
        <v>409.42</v>
      </c>
      <c r="AI92" s="84">
        <f>'figuring out Medicaid'!G11</f>
        <v>466.24400000000003</v>
      </c>
      <c r="AJ92" s="84">
        <f>'figuring out Medicaid'!H11</f>
        <v>537.41499999999996</v>
      </c>
      <c r="AK92" s="84">
        <f>'figuring out Medicaid'!I11</f>
        <v>516.01800000000003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 t="shared" ref="N94:Z94" si="53">N92+N35</f>
        <v>1372787</v>
      </c>
      <c r="O94" s="143">
        <f t="shared" si="53"/>
        <v>1390610.1625906522</v>
      </c>
      <c r="P94" s="143">
        <f t="shared" si="53"/>
        <v>1418489.158978964</v>
      </c>
      <c r="Q94" s="143">
        <f t="shared" si="53"/>
        <v>1441583.4808422038</v>
      </c>
      <c r="R94" s="143">
        <f t="shared" si="53"/>
        <v>1483962.7404801806</v>
      </c>
      <c r="S94" s="143">
        <f t="shared" si="53"/>
        <v>1515727.7827888038</v>
      </c>
      <c r="T94" s="143">
        <f t="shared" si="53"/>
        <v>1506974.123618965</v>
      </c>
      <c r="U94" s="143">
        <f t="shared" si="53"/>
        <v>1540850.5361376633</v>
      </c>
      <c r="V94" s="143">
        <f t="shared" si="53"/>
        <v>1551631.6801380017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280</v>
      </c>
      <c r="C96" t="s">
        <v>314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831250.83502466371</v>
      </c>
      <c r="P96" s="133">
        <f t="shared" si="54"/>
        <v>838457.84744285408</v>
      </c>
      <c r="Q96" s="133">
        <f t="shared" si="54"/>
        <v>839187.01967747905</v>
      </c>
      <c r="R96" s="133">
        <f t="shared" si="54"/>
        <v>840286.24682117626</v>
      </c>
      <c r="S96" s="133">
        <f t="shared" si="54"/>
        <v>841762.8752842095</v>
      </c>
      <c r="T96" s="133">
        <f t="shared" si="54"/>
        <v>843107.97501111636</v>
      </c>
      <c r="U96" s="133">
        <f t="shared" si="54"/>
        <v>844539.45728929248</v>
      </c>
      <c r="V96" s="133">
        <f t="shared" ref="V96" si="55">V97+V99</f>
        <v>846032.64138980373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280</v>
      </c>
      <c r="C99" t="s">
        <v>315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685780.06502466369</v>
      </c>
      <c r="P99" s="135">
        <f>O99*(($AJ$99/$AI$99)^0.1)</f>
        <v>692623.40051785414</v>
      </c>
      <c r="Q99" s="135">
        <f>P99*(1+Q100)</f>
        <v>692623.40051785414</v>
      </c>
      <c r="R99" s="135">
        <f t="shared" ref="R99:V99" si="59">Q99*(1+R100)</f>
        <v>692623.40051785414</v>
      </c>
      <c r="S99" s="135">
        <f t="shared" si="59"/>
        <v>692623.40051785414</v>
      </c>
      <c r="T99" s="135">
        <f t="shared" si="59"/>
        <v>692623.40051785414</v>
      </c>
      <c r="U99" s="135">
        <f t="shared" si="59"/>
        <v>692623.40051785414</v>
      </c>
      <c r="V99" s="135">
        <f t="shared" si="59"/>
        <v>692623.40051785414</v>
      </c>
      <c r="AD99" s="45">
        <f>AVERAGE(J99:M99)/1000</f>
        <v>649.06349999999998</v>
      </c>
      <c r="AE99" s="45">
        <f>AVERAGE(N99:Q99)/1000</f>
        <v>686.16471651509301</v>
      </c>
      <c r="AF99" s="45">
        <f>AVERAGE(R99:U99)/1000</f>
        <v>692.62340051785418</v>
      </c>
      <c r="AH99" s="84"/>
      <c r="AI99" s="84">
        <f>'figuring out Medicaid'!G13</f>
        <v>657.17435271149407</v>
      </c>
      <c r="AJ99" s="84">
        <f>'figuring out Medicaid'!H13</f>
        <v>725.7777402928042</v>
      </c>
      <c r="AK99" s="84">
        <f>'figuring out Medicaid'!I13</f>
        <v>727.33117238501666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280</v>
      </c>
      <c r="C102" t="s">
        <v>316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284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285</v>
      </c>
      <c r="B104" s="35" t="s">
        <v>280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280</v>
      </c>
      <c r="C105" t="s">
        <v>317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284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285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369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 t="shared" ref="N110:Y110" si="69">N96+N46-N92</f>
        <v>343247</v>
      </c>
      <c r="O110" s="215">
        <f t="shared" si="69"/>
        <v>383773.58690641256</v>
      </c>
      <c r="P110" s="215">
        <f t="shared" si="69"/>
        <v>369916.53105964203</v>
      </c>
      <c r="Q110" s="215">
        <f t="shared" si="69"/>
        <v>370645.703294267</v>
      </c>
      <c r="R110" s="215">
        <f t="shared" si="69"/>
        <v>371744.93043796421</v>
      </c>
      <c r="S110" s="215">
        <f t="shared" si="69"/>
        <v>373221.55890099745</v>
      </c>
      <c r="T110" s="215">
        <f t="shared" si="69"/>
        <v>416124.06265897548</v>
      </c>
      <c r="U110" s="215">
        <f t="shared" si="69"/>
        <v>417555.5449371516</v>
      </c>
      <c r="V110" s="215">
        <f t="shared" si="69"/>
        <v>419048.72903766285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178302.81690641254</v>
      </c>
      <c r="P111" s="142">
        <f t="shared" si="71"/>
        <v>180082.08413464209</v>
      </c>
      <c r="Q111" s="142">
        <f t="shared" si="71"/>
        <v>180082.08413464209</v>
      </c>
      <c r="R111" s="142">
        <f t="shared" si="71"/>
        <v>180082.08413464209</v>
      </c>
      <c r="S111" s="142">
        <f t="shared" si="71"/>
        <v>180082.08413464209</v>
      </c>
      <c r="T111" s="142">
        <f t="shared" si="71"/>
        <v>221639.48816571326</v>
      </c>
      <c r="U111" s="142">
        <f t="shared" si="71"/>
        <v>221639.48816571326</v>
      </c>
      <c r="V111" s="142">
        <f t="shared" si="71"/>
        <v>221639.48816571326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9" t="s">
        <v>357</v>
      </c>
      <c r="B2" s="289">
        <v>325</v>
      </c>
      <c r="C2" s="290">
        <f>B2*1000</f>
        <v>325000</v>
      </c>
    </row>
    <row r="3" spans="1:3" x14ac:dyDescent="0.2">
      <c r="A3" s="289" t="s">
        <v>358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359</v>
      </c>
      <c r="B6" s="289">
        <v>63</v>
      </c>
      <c r="C6" s="290">
        <f t="shared" si="0"/>
        <v>63000</v>
      </c>
    </row>
    <row r="7" spans="1:3" x14ac:dyDescent="0.2">
      <c r="A7" s="291" t="s">
        <v>349</v>
      </c>
      <c r="B7">
        <v>22</v>
      </c>
      <c r="C7" s="290">
        <f>B7*1000</f>
        <v>22000</v>
      </c>
    </row>
    <row r="8" spans="1:3" x14ac:dyDescent="0.2">
      <c r="A8" s="176" t="s">
        <v>350</v>
      </c>
      <c r="B8">
        <v>20</v>
      </c>
      <c r="C8" s="290">
        <f>B8*1000</f>
        <v>20000</v>
      </c>
    </row>
    <row r="9" spans="1:3" x14ac:dyDescent="0.2">
      <c r="A9" s="176" t="s">
        <v>351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360</v>
      </c>
      <c r="B11" s="289">
        <v>45</v>
      </c>
      <c r="C11" s="290">
        <f t="shared" si="0"/>
        <v>45000</v>
      </c>
    </row>
    <row r="12" spans="1:3" x14ac:dyDescent="0.2">
      <c r="A12" s="291" t="s">
        <v>361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362</v>
      </c>
      <c r="B14" s="289">
        <v>80</v>
      </c>
      <c r="C14" s="290">
        <f t="shared" si="0"/>
        <v>80000</v>
      </c>
    </row>
    <row r="15" spans="1:3" x14ac:dyDescent="0.2">
      <c r="A15" s="291" t="s">
        <v>343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363</v>
      </c>
      <c r="B17">
        <v>30</v>
      </c>
      <c r="C17" s="290">
        <f t="shared" si="0"/>
        <v>30000</v>
      </c>
    </row>
    <row r="18" spans="1:3" x14ac:dyDescent="0.2">
      <c r="A18" s="291" t="s">
        <v>364</v>
      </c>
      <c r="B18">
        <v>20</v>
      </c>
      <c r="C18" s="290">
        <f t="shared" si="0"/>
        <v>20000</v>
      </c>
    </row>
    <row r="19" spans="1:3" x14ac:dyDescent="0.2">
      <c r="A19" s="291" t="s">
        <v>365</v>
      </c>
      <c r="B19">
        <v>5</v>
      </c>
      <c r="C19" s="290">
        <f t="shared" si="0"/>
        <v>5000</v>
      </c>
    </row>
    <row r="20" spans="1:3" ht="16" thickBot="1" x14ac:dyDescent="0.25">
      <c r="A20" s="293" t="s">
        <v>366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279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178.30281690641254</v>
      </c>
      <c r="H21" s="104">
        <f>main!P111/1000</f>
        <v>180.08208413464209</v>
      </c>
      <c r="I21" s="104">
        <f>main!Q111/1000</f>
        <v>180.08208413464209</v>
      </c>
      <c r="J21" s="104">
        <f>main!R111/1000</f>
        <v>180.08208413464209</v>
      </c>
      <c r="K21" s="149">
        <f>main!S111/1000</f>
        <v>180.08208413464209</v>
      </c>
      <c r="L21" s="104">
        <f>main!T111/1000</f>
        <v>221.63948816571326</v>
      </c>
      <c r="M21" s="223">
        <f>main!U111/1000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1390.6101625906522</v>
      </c>
      <c r="I47" s="104">
        <f>main!P94/1000</f>
        <v>1418.489158978964</v>
      </c>
      <c r="J47" s="223">
        <f>main!Q94/1000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346.73880400000002</v>
      </c>
      <c r="I68" s="218">
        <f>main!P82/1000</f>
        <v>319.529759216</v>
      </c>
      <c r="J68" s="218">
        <f>main!Q82/1000</f>
        <v>320.32387825286401</v>
      </c>
      <c r="K68" s="151">
        <f>main!R82/1000</f>
        <v>315.12117376587548</v>
      </c>
      <c r="L68" s="218">
        <f>main!S82/1000</f>
        <v>309.92165846093894</v>
      </c>
      <c r="M68" s="218">
        <f>main!T82/1000</f>
        <v>310.72534509478271</v>
      </c>
      <c r="N68" s="218">
        <f>main!U82/1000</f>
        <v>311.53224647516186</v>
      </c>
      <c r="O68" s="151">
        <f>main!V82/1000</f>
        <v>312.34237546106249</v>
      </c>
      <c r="P68" s="248">
        <f>main!W82/1000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N24"/>
  <sheetViews>
    <sheetView tabSelected="1" zoomScale="120" zoomScaleNormal="120" workbookViewId="0">
      <pane xSplit="1" topLeftCell="B1" activePane="topRight" state="frozen"/>
      <selection pane="topRight" activeCell="C5" sqref="C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4" x14ac:dyDescent="0.2">
      <c r="A1" t="s">
        <v>256</v>
      </c>
      <c r="B1" t="s">
        <v>249</v>
      </c>
      <c r="C1" t="s">
        <v>250</v>
      </c>
      <c r="D1" t="s">
        <v>253</v>
      </c>
      <c r="E1" t="s">
        <v>254</v>
      </c>
      <c r="F1" t="s">
        <v>255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342</v>
      </c>
      <c r="M1" t="s">
        <v>356</v>
      </c>
      <c r="N1" t="s">
        <v>367</v>
      </c>
    </row>
    <row r="2" spans="1:14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02">
        <f>'add-ons calculations'!E68</f>
        <v>279.25</v>
      </c>
      <c r="I2" s="102">
        <f>main!L$40/1000</f>
        <v>1084</v>
      </c>
      <c r="J2" s="102">
        <f>main!L$42/1000</f>
        <v>822.93333333333328</v>
      </c>
      <c r="K2" s="102">
        <f>main!L$46/1000</f>
        <v>261.06666666666672</v>
      </c>
      <c r="L2">
        <v>0</v>
      </c>
      <c r="M2">
        <v>0</v>
      </c>
      <c r="N2">
        <v>0</v>
      </c>
    </row>
    <row r="3" spans="1:14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calculations'!F50:AA50)</f>
        <v>3.3000000000129148E-2</v>
      </c>
      <c r="E3">
        <f t="array" ref="E3:E24">TRANSPOSE('add-ons calculations'!F57:AA57)</f>
        <v>-106.19899999999961</v>
      </c>
      <c r="F3">
        <f t="array" ref="F3:F24">TRANSPOSE('add-ons calculations'!F64:AA64)</f>
        <v>0.57999999999992724</v>
      </c>
      <c r="G3">
        <f t="array" ref="G3:G24">TRANSPOSE('add-ons calculations'!F71:AA71)</f>
        <v>0</v>
      </c>
      <c r="H3" s="102">
        <f>'add-ons calculations'!F68</f>
        <v>300.60000000000002</v>
      </c>
      <c r="I3" s="102">
        <f>main!M$40/1000</f>
        <v>881.35400000000004</v>
      </c>
      <c r="J3" s="102">
        <f>main!M$42/1000</f>
        <v>695.2</v>
      </c>
      <c r="K3" s="102">
        <f>main!M$46/1000</f>
        <v>186</v>
      </c>
      <c r="L3">
        <v>0</v>
      </c>
      <c r="M3">
        <v>0</v>
      </c>
      <c r="N3">
        <v>0</v>
      </c>
    </row>
    <row r="4" spans="1:14" x14ac:dyDescent="0.2">
      <c r="A4" s="188">
        <v>44196</v>
      </c>
      <c r="B4">
        <v>16.895816906412534</v>
      </c>
      <c r="C4">
        <v>35.907999999999987</v>
      </c>
      <c r="D4">
        <v>-5.9999999998581188E-3</v>
      </c>
      <c r="E4">
        <v>-35.906999999999925</v>
      </c>
      <c r="F4">
        <v>0.63599999999996726</v>
      </c>
      <c r="G4">
        <v>0</v>
      </c>
      <c r="H4" s="151">
        <f>'add-ons calculations'!G68</f>
        <v>303.95100000000002</v>
      </c>
      <c r="I4" s="102">
        <f>main!N$40/1000</f>
        <v>338.26900000000001</v>
      </c>
      <c r="J4" s="102">
        <f>main!N$42/1000</f>
        <v>301.60000000000002</v>
      </c>
      <c r="K4" s="102">
        <f>main!N$46/1000</f>
        <v>36.699999999999989</v>
      </c>
      <c r="L4">
        <v>0</v>
      </c>
      <c r="M4">
        <v>0</v>
      </c>
      <c r="N4">
        <v>0</v>
      </c>
    </row>
    <row r="5" spans="1:14" x14ac:dyDescent="0.2">
      <c r="A5" s="188">
        <v>44286</v>
      </c>
      <c r="B5">
        <v>14.491993784139481</v>
      </c>
      <c r="C5">
        <v>82.282942388641018</v>
      </c>
      <c r="D5">
        <v>25.381437624588216</v>
      </c>
      <c r="E5">
        <v>1287.8874972143794</v>
      </c>
      <c r="F5">
        <v>181.40020106674513</v>
      </c>
      <c r="G5">
        <v>89.585217722945004</v>
      </c>
      <c r="I5" s="102">
        <f>main!O$40/1000</f>
        <v>724</v>
      </c>
      <c r="J5" s="102">
        <f>main!O$42/1000</f>
        <v>664</v>
      </c>
      <c r="K5" s="102">
        <f>main!O$46/1000</f>
        <v>60</v>
      </c>
      <c r="L5">
        <v>59</v>
      </c>
      <c r="M5">
        <f>71400/1000</f>
        <v>71.400000000000006</v>
      </c>
      <c r="N5" s="296">
        <v>664</v>
      </c>
    </row>
    <row r="6" spans="1:14" x14ac:dyDescent="0.2">
      <c r="A6" s="188">
        <v>44377</v>
      </c>
      <c r="B6">
        <v>10.308903433636999</v>
      </c>
      <c r="C6">
        <v>89.353669827281948</v>
      </c>
      <c r="D6">
        <v>60.824709046836006</v>
      </c>
      <c r="E6">
        <v>251.22365666746987</v>
      </c>
      <c r="F6">
        <v>178.52885638089663</v>
      </c>
      <c r="G6">
        <v>91.070987120173811</v>
      </c>
      <c r="I6" s="323">
        <f>main!P$40/1000</f>
        <v>152</v>
      </c>
      <c r="J6" s="102">
        <f>main!P$42/1000</f>
        <v>108</v>
      </c>
      <c r="K6" s="102">
        <f>main!P$46/1000</f>
        <v>44</v>
      </c>
      <c r="L6">
        <v>59</v>
      </c>
      <c r="M6">
        <f>71400/1000</f>
        <v>71.400000000000006</v>
      </c>
      <c r="N6">
        <v>0</v>
      </c>
    </row>
    <row r="7" spans="1:14" x14ac:dyDescent="0.2">
      <c r="A7" s="188">
        <v>44469</v>
      </c>
      <c r="B7">
        <v>6.1258130831341759</v>
      </c>
      <c r="C7">
        <v>110.72575134117292</v>
      </c>
      <c r="D7">
        <v>91.483305944011818</v>
      </c>
      <c r="E7">
        <v>199.35773501319068</v>
      </c>
      <c r="F7">
        <v>-474.40846011939709</v>
      </c>
      <c r="G7">
        <v>108.2731768418378</v>
      </c>
      <c r="I7" s="102">
        <f>main!Q$40/1000</f>
        <v>44</v>
      </c>
      <c r="J7" s="102">
        <f>main!Q$42</f>
        <v>0</v>
      </c>
      <c r="K7" s="102">
        <f>main!Q$46/1000</f>
        <v>44</v>
      </c>
      <c r="L7">
        <v>59</v>
      </c>
      <c r="M7">
        <f>30600/1000</f>
        <v>30.6</v>
      </c>
      <c r="N7">
        <v>0</v>
      </c>
    </row>
    <row r="8" spans="1:14" x14ac:dyDescent="0.2">
      <c r="A8" s="188">
        <v>44561</v>
      </c>
      <c r="B8">
        <v>5.5355405576544001</v>
      </c>
      <c r="C8">
        <v>98.17289763461801</v>
      </c>
      <c r="D8">
        <v>93.444253570889032</v>
      </c>
      <c r="E8">
        <v>157.47974440731628</v>
      </c>
      <c r="F8">
        <v>-498.7387987375219</v>
      </c>
      <c r="G8">
        <v>97.918975558200771</v>
      </c>
      <c r="I8" s="102">
        <f>main!R$40/1000</f>
        <v>44</v>
      </c>
      <c r="J8" s="102">
        <f>main!R$42</f>
        <v>0</v>
      </c>
      <c r="K8" s="102">
        <f>main!R$46/1000</f>
        <v>44</v>
      </c>
      <c r="L8">
        <v>59</v>
      </c>
      <c r="M8">
        <f>30600/1000</f>
        <v>30.6</v>
      </c>
      <c r="N8">
        <v>0</v>
      </c>
    </row>
    <row r="9" spans="1:14" x14ac:dyDescent="0.2">
      <c r="A9" s="188">
        <v>44651</v>
      </c>
      <c r="B9">
        <v>46.502672063245768</v>
      </c>
      <c r="C9">
        <v>83.866064612314361</v>
      </c>
      <c r="D9">
        <v>95.405201197766473</v>
      </c>
      <c r="E9">
        <v>158.70723906824014</v>
      </c>
      <c r="F9">
        <v>-547.1903606870228</v>
      </c>
      <c r="G9">
        <v>86.862558765131354</v>
      </c>
      <c r="I9" s="102">
        <f>main!S$40/1000</f>
        <v>44</v>
      </c>
      <c r="J9" s="102">
        <f>main!S$42</f>
        <v>0</v>
      </c>
      <c r="K9" s="102">
        <f>main!S$46/1000</f>
        <v>44</v>
      </c>
      <c r="L9">
        <v>59</v>
      </c>
      <c r="M9">
        <v>0</v>
      </c>
      <c r="N9">
        <v>0</v>
      </c>
    </row>
    <row r="10" spans="1:14" x14ac:dyDescent="0.2">
      <c r="A10" s="188">
        <v>44742</v>
      </c>
      <c r="B10">
        <v>45.912399537766049</v>
      </c>
      <c r="C10">
        <v>96.38873274839203</v>
      </c>
      <c r="D10">
        <v>97.366148824643687</v>
      </c>
      <c r="E10">
        <v>158.19073805116454</v>
      </c>
      <c r="F10">
        <v>-549.83002927139501</v>
      </c>
      <c r="G10">
        <v>82.127767407325109</v>
      </c>
      <c r="I10" s="102">
        <f>main!T$40/1000</f>
        <v>44</v>
      </c>
      <c r="J10" s="102">
        <f>main!T$42</f>
        <v>0</v>
      </c>
      <c r="K10" s="102">
        <f>main!T$46/1000</f>
        <v>44</v>
      </c>
      <c r="L10">
        <v>59</v>
      </c>
      <c r="M10">
        <v>0</v>
      </c>
      <c r="N10">
        <v>0</v>
      </c>
    </row>
    <row r="11" spans="1:14" x14ac:dyDescent="0.2">
      <c r="A11" s="188">
        <v>44834</v>
      </c>
      <c r="B11">
        <v>46.066620655509439</v>
      </c>
      <c r="C11">
        <v>108.23854020959135</v>
      </c>
      <c r="D11">
        <v>99.327096451521129</v>
      </c>
      <c r="E11">
        <v>155.25936244187733</v>
      </c>
      <c r="F11">
        <v>-552.4284100259805</v>
      </c>
      <c r="G11">
        <v>77.353129721712861</v>
      </c>
      <c r="I11" s="102">
        <f>main!U$40/1000</f>
        <v>44</v>
      </c>
      <c r="J11" s="102">
        <f>main!U$42</f>
        <v>0</v>
      </c>
      <c r="K11" s="102">
        <f>main!U$46/1000</f>
        <v>44</v>
      </c>
      <c r="L11">
        <v>59</v>
      </c>
      <c r="M11">
        <v>0</v>
      </c>
      <c r="N11">
        <v>0</v>
      </c>
    </row>
    <row r="12" spans="1:14" x14ac:dyDescent="0.2">
      <c r="A12" s="188">
        <v>44926</v>
      </c>
      <c r="B12">
        <v>45.567625181294545</v>
      </c>
      <c r="C12">
        <v>119.30558501006593</v>
      </c>
      <c r="D12">
        <v>100.1353376752661</v>
      </c>
      <c r="E12">
        <v>155.33284803552056</v>
      </c>
      <c r="F12">
        <v>-555.01027564865115</v>
      </c>
      <c r="G12">
        <v>64.474970584203191</v>
      </c>
      <c r="I12" s="102">
        <f>main!V$40/1000</f>
        <v>44</v>
      </c>
      <c r="J12" s="102">
        <f>main!V$42</f>
        <v>0</v>
      </c>
      <c r="K12" s="102">
        <f>main!V$46/1000</f>
        <v>44</v>
      </c>
      <c r="L12">
        <v>59</v>
      </c>
      <c r="M12">
        <v>0</v>
      </c>
      <c r="N12">
        <v>0</v>
      </c>
    </row>
    <row r="13" spans="1:14" x14ac:dyDescent="0.2">
      <c r="A13" s="188">
        <v>45016</v>
      </c>
      <c r="B13">
        <v>45.068629707079623</v>
      </c>
      <c r="C13">
        <v>130.18422882157338</v>
      </c>
      <c r="D13">
        <v>100.94357889901084</v>
      </c>
      <c r="E13">
        <v>155.5071465700205</v>
      </c>
      <c r="F13">
        <v>-557.58663622735014</v>
      </c>
      <c r="G13">
        <v>51.59860482993048</v>
      </c>
      <c r="I13" s="102">
        <v>44</v>
      </c>
      <c r="J13">
        <v>0</v>
      </c>
      <c r="K13">
        <v>44</v>
      </c>
      <c r="L13">
        <v>59</v>
      </c>
      <c r="M13">
        <v>0</v>
      </c>
      <c r="N13">
        <v>0</v>
      </c>
    </row>
    <row r="14" spans="1:14" x14ac:dyDescent="0.2">
      <c r="A14" s="188">
        <v>45107</v>
      </c>
      <c r="B14">
        <v>44.569634232864729</v>
      </c>
      <c r="C14">
        <v>141.6549900269753</v>
      </c>
      <c r="D14">
        <v>101.75182012275604</v>
      </c>
      <c r="E14">
        <v>155.75039098680099</v>
      </c>
      <c r="F14">
        <v>-560.17125437200662</v>
      </c>
      <c r="G14">
        <v>55.115350410659346</v>
      </c>
      <c r="I14" s="102">
        <v>0</v>
      </c>
      <c r="L14">
        <v>59</v>
      </c>
      <c r="M14">
        <v>0</v>
      </c>
      <c r="N14">
        <v>0</v>
      </c>
    </row>
    <row r="15" spans="1:14" x14ac:dyDescent="0.2">
      <c r="A15" s="188">
        <v>45199</v>
      </c>
      <c r="B15">
        <v>44.070638758649835</v>
      </c>
      <c r="C15">
        <v>153.07192237838635</v>
      </c>
      <c r="D15">
        <v>102.56006134650079</v>
      </c>
      <c r="E15">
        <v>156.19117934771998</v>
      </c>
      <c r="F15">
        <v>-562.78064521453507</v>
      </c>
      <c r="G15">
        <v>41.140887976761235</v>
      </c>
      <c r="I15" s="102">
        <v>0</v>
      </c>
      <c r="L15">
        <v>59</v>
      </c>
      <c r="M15">
        <v>0</v>
      </c>
      <c r="N15">
        <v>0</v>
      </c>
    </row>
    <row r="16" spans="1:14" x14ac:dyDescent="0.2">
      <c r="A16" s="188">
        <v>45291</v>
      </c>
      <c r="B16">
        <v>44.331280287489619</v>
      </c>
      <c r="C16">
        <v>152.92993797639971</v>
      </c>
      <c r="D16">
        <v>103.25397008032428</v>
      </c>
      <c r="E16">
        <v>157.82060816439548</v>
      </c>
      <c r="F16">
        <v>-565.41480875493562</v>
      </c>
      <c r="G16">
        <v>36.20171054730281</v>
      </c>
      <c r="I16" s="102">
        <v>0</v>
      </c>
      <c r="L16">
        <v>59</v>
      </c>
      <c r="M16">
        <v>0</v>
      </c>
      <c r="N16">
        <v>0</v>
      </c>
    </row>
    <row r="17" spans="1:14" x14ac:dyDescent="0.2">
      <c r="A17" s="188">
        <v>45382</v>
      </c>
      <c r="B17">
        <v>44.59192181632946</v>
      </c>
      <c r="C17">
        <v>153.110926698355</v>
      </c>
      <c r="D17">
        <v>103.94787881414754</v>
      </c>
      <c r="E17">
        <v>159.3837158227152</v>
      </c>
      <c r="F17">
        <v>-568.06548742725101</v>
      </c>
      <c r="G17">
        <v>36.828990157049986</v>
      </c>
      <c r="I17" s="102">
        <v>0</v>
      </c>
      <c r="L17">
        <v>59</v>
      </c>
      <c r="M17">
        <v>0</v>
      </c>
      <c r="N17">
        <v>0</v>
      </c>
    </row>
    <row r="18" spans="1:14" x14ac:dyDescent="0.2">
      <c r="A18" s="188">
        <v>45473</v>
      </c>
      <c r="B18">
        <v>44.852563345169301</v>
      </c>
      <c r="C18">
        <v>153.58797411725675</v>
      </c>
      <c r="D18">
        <v>104.64178754797103</v>
      </c>
      <c r="E18">
        <v>160.63759358658922</v>
      </c>
      <c r="F18">
        <v>-570.71066105559476</v>
      </c>
      <c r="G18">
        <v>37.463678233921371</v>
      </c>
      <c r="I18" s="102">
        <v>0</v>
      </c>
      <c r="L18">
        <v>59</v>
      </c>
      <c r="M18">
        <v>0</v>
      </c>
      <c r="N18">
        <v>0</v>
      </c>
    </row>
    <row r="19" spans="1:14" x14ac:dyDescent="0.2">
      <c r="A19" s="188">
        <v>45565</v>
      </c>
      <c r="B19">
        <v>45.113204874009142</v>
      </c>
      <c r="C19">
        <v>154.49565236808115</v>
      </c>
      <c r="D19">
        <v>105.3356962817943</v>
      </c>
      <c r="E19">
        <v>161.7019229101536</v>
      </c>
      <c r="F19">
        <v>-573.36409224989586</v>
      </c>
      <c r="G19">
        <v>38.110892014683543</v>
      </c>
      <c r="I19" s="102">
        <v>0</v>
      </c>
      <c r="L19">
        <v>59</v>
      </c>
      <c r="M19">
        <v>0</v>
      </c>
      <c r="N19">
        <v>0</v>
      </c>
    </row>
    <row r="20" spans="1:14" x14ac:dyDescent="0.2">
      <c r="A20" s="188">
        <v>45657</v>
      </c>
      <c r="B20">
        <v>45.783624344460833</v>
      </c>
      <c r="C20">
        <v>153.89533516396961</v>
      </c>
      <c r="D20">
        <v>107.91303693773443</v>
      </c>
      <c r="E20">
        <v>165.36037422478853</v>
      </c>
      <c r="F20">
        <v>-576.02302848816862</v>
      </c>
      <c r="G20">
        <v>38.157160115537408</v>
      </c>
      <c r="I20" s="102">
        <v>0</v>
      </c>
      <c r="L20">
        <v>59</v>
      </c>
      <c r="M20">
        <v>0</v>
      </c>
      <c r="N20">
        <v>0</v>
      </c>
    </row>
    <row r="21" spans="1:14" x14ac:dyDescent="0.2">
      <c r="A21" s="188">
        <v>45747</v>
      </c>
      <c r="B21">
        <v>46.454043814912495</v>
      </c>
      <c r="C21">
        <v>153.24118910586807</v>
      </c>
      <c r="D21">
        <v>110.49037759367457</v>
      </c>
      <c r="E21">
        <v>168.39490836958566</v>
      </c>
      <c r="F21">
        <v>-578.67921220445555</v>
      </c>
      <c r="G21">
        <v>38.208074215356021</v>
      </c>
      <c r="I21" s="102">
        <v>0</v>
      </c>
      <c r="L21">
        <v>59</v>
      </c>
      <c r="M21">
        <v>0</v>
      </c>
      <c r="N21">
        <v>0</v>
      </c>
    </row>
    <row r="22" spans="1:14" x14ac:dyDescent="0.2">
      <c r="A22" s="188">
        <v>45838</v>
      </c>
      <c r="B22">
        <v>47.124463285364214</v>
      </c>
      <c r="C22">
        <v>152.8023584637275</v>
      </c>
      <c r="D22">
        <v>113.0677182496147</v>
      </c>
      <c r="E22">
        <v>170.87673605644864</v>
      </c>
      <c r="F22">
        <v>-581.30236565691303</v>
      </c>
      <c r="G22">
        <v>38.264934161420854</v>
      </c>
      <c r="I22" s="102">
        <v>0</v>
      </c>
      <c r="L22">
        <v>59</v>
      </c>
      <c r="M22">
        <v>0</v>
      </c>
      <c r="N22">
        <v>0</v>
      </c>
    </row>
    <row r="23" spans="1:14" x14ac:dyDescent="0.2">
      <c r="A23" s="188">
        <v>45930</v>
      </c>
      <c r="B23">
        <v>47.794882755815905</v>
      </c>
      <c r="C23">
        <v>152.60575766454329</v>
      </c>
      <c r="D23">
        <v>115.64505890555483</v>
      </c>
      <c r="E23">
        <v>172.74637807665476</v>
      </c>
      <c r="F23">
        <v>-583.90625145546994</v>
      </c>
      <c r="G23">
        <v>38.326825369819289</v>
      </c>
      <c r="I23" s="102">
        <v>0</v>
      </c>
      <c r="L23">
        <v>59</v>
      </c>
      <c r="M23">
        <v>0</v>
      </c>
      <c r="N23">
        <v>0</v>
      </c>
    </row>
    <row r="24" spans="1:14" x14ac:dyDescent="0.2">
      <c r="A24" s="188">
        <v>46022</v>
      </c>
      <c r="B24">
        <v>48.462524678177488</v>
      </c>
      <c r="C24">
        <v>152.31820617542058</v>
      </c>
      <c r="D24">
        <v>117.57287113278448</v>
      </c>
      <c r="E24">
        <v>173.70686178614119</v>
      </c>
      <c r="F24">
        <v>-586.4908696001263</v>
      </c>
      <c r="G24">
        <v>38.401387580592541</v>
      </c>
      <c r="I24" s="102">
        <v>0</v>
      </c>
      <c r="L24">
        <v>59</v>
      </c>
      <c r="M24">
        <v>0</v>
      </c>
      <c r="N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831250.83502466371</v>
      </c>
      <c r="N5" s="262">
        <f>main!P96</f>
        <v>838457.84744285408</v>
      </c>
      <c r="O5" s="262">
        <f>main!Q96</f>
        <v>839187.01967747905</v>
      </c>
      <c r="P5" s="262">
        <f>main!R96</f>
        <v>840286.24682117626</v>
      </c>
      <c r="Q5" s="262">
        <f>main!S96</f>
        <v>841762.8752842095</v>
      </c>
      <c r="R5" s="262">
        <f>main!T96</f>
        <v>843107.97501111636</v>
      </c>
      <c r="S5" s="262">
        <f>main!U96</f>
        <v>844539.45728929248</v>
      </c>
      <c r="T5" s="262">
        <f>main!V96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685780.06502466369</v>
      </c>
      <c r="N6" s="35">
        <f>main!P99</f>
        <v>692623.40051785414</v>
      </c>
      <c r="O6" s="35">
        <f>main!Q99</f>
        <v>692623.40051785414</v>
      </c>
      <c r="P6" s="35">
        <f>main!R99</f>
        <v>692623.40051785414</v>
      </c>
      <c r="Q6" s="35">
        <f>main!S99</f>
        <v>692623.40051785414</v>
      </c>
      <c r="R6" s="35">
        <f>main!T99</f>
        <v>692623.40051785414</v>
      </c>
      <c r="S6" s="35">
        <f>main!U99</f>
        <v>692623.40051785414</v>
      </c>
      <c r="T6" s="35">
        <f>main!V99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279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273</v>
      </c>
      <c r="T7" s="341"/>
      <c r="U7" s="341"/>
      <c r="V7" s="341"/>
      <c r="W7" s="340" t="s">
        <v>274</v>
      </c>
      <c r="X7" s="341"/>
      <c r="Y7" s="341"/>
      <c r="Z7" s="341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318</v>
      </c>
      <c r="B1" s="297" t="s">
        <v>319</v>
      </c>
      <c r="C1" s="297" t="s">
        <v>320</v>
      </c>
      <c r="D1" s="297" t="s">
        <v>321</v>
      </c>
      <c r="E1" s="297" t="s">
        <v>322</v>
      </c>
      <c r="F1" s="297" t="s">
        <v>323</v>
      </c>
      <c r="G1" s="297" t="s">
        <v>324</v>
      </c>
      <c r="H1" s="297" t="s">
        <v>325</v>
      </c>
      <c r="I1" s="297" t="s">
        <v>326</v>
      </c>
      <c r="J1" s="297" t="s">
        <v>371</v>
      </c>
    </row>
    <row r="2" spans="1:10" x14ac:dyDescent="0.2">
      <c r="A2" t="s">
        <v>288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289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290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291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292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293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294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295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327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328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297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298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299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300</v>
      </c>
      <c r="H15">
        <v>1078100</v>
      </c>
      <c r="I15">
        <v>15600</v>
      </c>
      <c r="J15">
        <v>5000</v>
      </c>
    </row>
    <row r="16" spans="1:10" x14ac:dyDescent="0.2">
      <c r="A16" t="s">
        <v>301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302</v>
      </c>
      <c r="H17">
        <v>19100</v>
      </c>
      <c r="I17">
        <v>27000</v>
      </c>
      <c r="J17">
        <v>10800</v>
      </c>
    </row>
    <row r="18" spans="1:10" x14ac:dyDescent="0.2">
      <c r="A18" t="s">
        <v>303</v>
      </c>
      <c r="H18">
        <v>160900</v>
      </c>
      <c r="I18">
        <v>58400</v>
      </c>
      <c r="J18">
        <v>34500</v>
      </c>
    </row>
    <row r="19" spans="1:10" x14ac:dyDescent="0.2">
      <c r="A19" t="s">
        <v>304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305</v>
      </c>
      <c r="H20">
        <v>609300</v>
      </c>
      <c r="I20">
        <v>865600</v>
      </c>
      <c r="J20">
        <v>260300</v>
      </c>
    </row>
    <row r="21" spans="1:10" x14ac:dyDescent="0.2">
      <c r="A21" t="s">
        <v>306</v>
      </c>
      <c r="H21">
        <v>63800</v>
      </c>
      <c r="I21">
        <v>15000</v>
      </c>
      <c r="J21">
        <v>100</v>
      </c>
    </row>
    <row r="22" spans="1:10" x14ac:dyDescent="0.2">
      <c r="A22" t="s">
        <v>307</v>
      </c>
      <c r="H22">
        <v>73300</v>
      </c>
      <c r="I22">
        <v>73300</v>
      </c>
      <c r="J22">
        <v>73300</v>
      </c>
    </row>
    <row r="23" spans="1:10" x14ac:dyDescent="0.2">
      <c r="A23" t="s">
        <v>308</v>
      </c>
      <c r="H23">
        <v>140000</v>
      </c>
      <c r="I23">
        <v>140000</v>
      </c>
      <c r="J23">
        <v>140000</v>
      </c>
    </row>
    <row r="24" spans="1:10" x14ac:dyDescent="0.2">
      <c r="A24" t="s">
        <v>309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312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311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313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314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315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316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317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296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330</v>
      </c>
      <c r="H33">
        <v>277100</v>
      </c>
      <c r="I33">
        <v>228300</v>
      </c>
      <c r="J33">
        <v>213400</v>
      </c>
    </row>
    <row r="34" spans="1:10" x14ac:dyDescent="0.2">
      <c r="A34" t="s">
        <v>310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2021-02-26T19:41:54Z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