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65D595B5-8BA2-4938-B934-CE83FD0A7762}" xr6:coauthVersionLast="45" xr6:coauthVersionMax="45" xr10:uidLastSave="{00000000-0000-0000-0000-000000000000}"/>
  <bookViews>
    <workbookView xWindow="-110" yWindow="-110" windowWidth="19420" windowHeight="10420" firstSheet="17" activeTab="21"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32"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0" l="1"/>
  <c r="P12" i="30"/>
  <c r="G22" i="21"/>
  <c r="M55" i="32" l="1"/>
  <c r="E53" i="32"/>
  <c r="F53" i="32"/>
  <c r="G53" i="32"/>
  <c r="H53" i="32"/>
  <c r="I53" i="32"/>
  <c r="D53" i="32"/>
  <c r="D50" i="32"/>
  <c r="G50" i="32"/>
  <c r="P50" i="32"/>
  <c r="Q50" i="32"/>
  <c r="R50" i="32"/>
  <c r="S50" i="32"/>
  <c r="T50" i="32"/>
  <c r="U50" i="32"/>
  <c r="V50" i="32"/>
  <c r="W50" i="32"/>
  <c r="X50" i="32"/>
  <c r="Y50" i="32"/>
  <c r="Z50" i="32"/>
  <c r="AA50" i="32"/>
  <c r="AB50" i="32"/>
  <c r="AC50" i="32"/>
  <c r="E50" i="32"/>
  <c r="F50" i="32"/>
  <c r="H50" i="32"/>
  <c r="I50" i="32"/>
  <c r="J50" i="32"/>
  <c r="K50" i="32"/>
  <c r="L50" i="32"/>
  <c r="M50" i="32"/>
  <c r="N50" i="32"/>
  <c r="O50" i="32"/>
  <c r="N20" i="32"/>
  <c r="D26" i="32"/>
  <c r="E26" i="32"/>
  <c r="F26" i="32"/>
  <c r="G26" i="32"/>
  <c r="H26" i="32"/>
  <c r="I26" i="32"/>
  <c r="J26" i="32"/>
  <c r="K26" i="32"/>
  <c r="L26" i="32"/>
  <c r="N26" i="32"/>
  <c r="O26" i="32"/>
  <c r="P26" i="32"/>
  <c r="Q26" i="32"/>
  <c r="R26" i="32"/>
  <c r="S26" i="32"/>
  <c r="T26" i="32"/>
  <c r="U26" i="32"/>
  <c r="V26" i="32"/>
  <c r="W26" i="32"/>
  <c r="X26" i="32"/>
  <c r="Y26" i="32"/>
  <c r="Z26" i="32"/>
  <c r="AA26" i="32"/>
  <c r="AB26" i="32"/>
  <c r="AC26" i="32"/>
  <c r="M26" i="32"/>
  <c r="E6" i="5"/>
  <c r="E7" i="5"/>
  <c r="E8" i="5"/>
  <c r="E9" i="5"/>
  <c r="E10" i="5"/>
  <c r="E11" i="5"/>
  <c r="E12" i="5"/>
  <c r="E13" i="5"/>
  <c r="E14" i="5"/>
  <c r="E15" i="5"/>
  <c r="E5" i="5"/>
  <c r="R19" i="32"/>
  <c r="Q19" i="32"/>
  <c r="P19" i="32"/>
  <c r="N99" i="48" l="1"/>
  <c r="O99" i="48"/>
  <c r="M85" i="48"/>
  <c r="N85" i="48"/>
  <c r="O85" i="48"/>
  <c r="G94" i="48"/>
  <c r="H94" i="48"/>
  <c r="I94" i="48"/>
  <c r="J94" i="48"/>
  <c r="K94" i="48"/>
  <c r="L94" i="48"/>
  <c r="M94" i="48"/>
  <c r="N94" i="48"/>
  <c r="O94" i="48"/>
  <c r="F94" i="48"/>
  <c r="G93" i="48"/>
  <c r="H93" i="48"/>
  <c r="I93" i="48"/>
  <c r="J93" i="48"/>
  <c r="K93" i="48"/>
  <c r="L93" i="48"/>
  <c r="M93" i="48"/>
  <c r="N93" i="48"/>
  <c r="O93" i="48"/>
  <c r="F93" i="48"/>
  <c r="G91" i="48"/>
  <c r="H91" i="48"/>
  <c r="I91" i="48"/>
  <c r="J91" i="48"/>
  <c r="K91" i="48"/>
  <c r="L91" i="48"/>
  <c r="M91" i="48"/>
  <c r="N91" i="48"/>
  <c r="O91" i="48"/>
  <c r="F91" i="48"/>
  <c r="G90" i="48"/>
  <c r="H90" i="48"/>
  <c r="I90" i="48"/>
  <c r="J90" i="48"/>
  <c r="K90" i="48"/>
  <c r="L90" i="48"/>
  <c r="M90" i="48"/>
  <c r="N90" i="48"/>
  <c r="O90" i="48"/>
  <c r="F90" i="48"/>
  <c r="G89" i="48"/>
  <c r="H89" i="48"/>
  <c r="I89" i="48"/>
  <c r="J89" i="48"/>
  <c r="K89" i="48"/>
  <c r="L89" i="48"/>
  <c r="M89" i="48"/>
  <c r="N89" i="48"/>
  <c r="O89" i="48"/>
  <c r="F89" i="48"/>
  <c r="G88" i="48"/>
  <c r="H88" i="48"/>
  <c r="I88" i="48"/>
  <c r="J88" i="48"/>
  <c r="K88" i="48"/>
  <c r="L88" i="48"/>
  <c r="M88" i="48"/>
  <c r="M92" i="48" s="1"/>
  <c r="N88" i="48"/>
  <c r="N92" i="48" s="1"/>
  <c r="O88" i="48"/>
  <c r="F88" i="48"/>
  <c r="G92" i="48"/>
  <c r="H92" i="48"/>
  <c r="I92" i="48"/>
  <c r="J92" i="48"/>
  <c r="K92" i="48"/>
  <c r="L92" i="48"/>
  <c r="O92" i="48"/>
  <c r="F92" i="48"/>
  <c r="O22" i="30"/>
  <c r="N22" i="30"/>
  <c r="O23" i="30"/>
  <c r="N23" i="30"/>
  <c r="D4" i="50"/>
  <c r="E4" i="50"/>
  <c r="D5" i="50"/>
  <c r="E5" i="50"/>
  <c r="C5" i="50"/>
  <c r="C4" i="50"/>
  <c r="F13" i="27"/>
  <c r="F87" i="48" l="1"/>
  <c r="O25" i="30"/>
  <c r="D10" i="26"/>
  <c r="E10" i="26"/>
  <c r="F10" i="26"/>
  <c r="G10" i="26"/>
  <c r="D9" i="26"/>
  <c r="E9" i="26"/>
  <c r="E11" i="26" s="1"/>
  <c r="E20" i="26" s="1"/>
  <c r="F9" i="26"/>
  <c r="F11" i="26" s="1"/>
  <c r="F20" i="26" s="1"/>
  <c r="G9" i="26"/>
  <c r="L47" i="38"/>
  <c r="D90" i="55"/>
  <c r="D11" i="26" l="1"/>
  <c r="D20" i="26" s="1"/>
  <c r="G11" i="26"/>
  <c r="G20" i="26" s="1"/>
  <c r="AD16" i="26"/>
  <c r="AD15" i="26"/>
  <c r="U14" i="26"/>
  <c r="O22" i="25"/>
  <c r="O87" i="48" l="1"/>
  <c r="O17" i="48"/>
  <c r="O18" i="48"/>
  <c r="O97" i="48" s="1"/>
  <c r="O19" i="48"/>
  <c r="O98" i="48" s="1"/>
  <c r="O10" i="48"/>
  <c r="O11" i="48"/>
  <c r="O83" i="48" s="1"/>
  <c r="O12" i="48"/>
  <c r="O84" i="48" s="1"/>
  <c r="O64" i="32"/>
  <c r="O54" i="32"/>
  <c r="O29" i="32"/>
  <c r="O12" i="32"/>
  <c r="O9" i="29"/>
  <c r="O10" i="29" s="1"/>
  <c r="O11" i="33"/>
  <c r="O12" i="33" s="1"/>
  <c r="O9" i="49"/>
  <c r="K25" i="49" s="1"/>
  <c r="O10" i="49"/>
  <c r="O14" i="30"/>
  <c r="O11" i="30"/>
  <c r="O16" i="30"/>
  <c r="O17" i="30"/>
  <c r="O18" i="30"/>
  <c r="O19" i="30"/>
  <c r="O20" i="30"/>
  <c r="O21" i="30"/>
  <c r="O25" i="20"/>
  <c r="O9" i="20"/>
  <c r="O13" i="20" s="1"/>
  <c r="O93" i="26"/>
  <c r="O19" i="26"/>
  <c r="O14" i="26"/>
  <c r="O13" i="26"/>
  <c r="O81" i="26" s="1"/>
  <c r="O10" i="26"/>
  <c r="O9" i="26"/>
  <c r="O54" i="38"/>
  <c r="O53" i="38"/>
  <c r="O13" i="40"/>
  <c r="O12" i="40"/>
  <c r="O11" i="40"/>
  <c r="D33" i="25"/>
  <c r="O18" i="25"/>
  <c r="O17" i="25"/>
  <c r="O16" i="25"/>
  <c r="O15" i="25"/>
  <c r="O14" i="25"/>
  <c r="O12" i="25"/>
  <c r="O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O82" i="48" l="1"/>
  <c r="O96" i="48"/>
  <c r="O11" i="49"/>
  <c r="O12" i="49" s="1"/>
  <c r="K26" i="49" s="1"/>
  <c r="O55" i="38"/>
  <c r="O56" i="38" s="1"/>
  <c r="P53" i="38" s="1"/>
  <c r="P54" i="38" s="1"/>
  <c r="O11" i="26"/>
  <c r="O14" i="40"/>
  <c r="O27" i="20"/>
  <c r="N66" i="38"/>
  <c r="M66" i="38"/>
  <c r="N65" i="38"/>
  <c r="M65" i="38"/>
  <c r="Q18" i="52"/>
  <c r="P18" i="52"/>
  <c r="Q21" i="52"/>
  <c r="P21" i="52"/>
  <c r="M21" i="52"/>
  <c r="O64" i="38" s="1"/>
  <c r="M18" i="52"/>
  <c r="O63" i="38" s="1"/>
  <c r="P63" i="38" s="1"/>
  <c r="R10" i="29"/>
  <c r="Q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O65" i="38" l="1"/>
  <c r="P64" i="38"/>
  <c r="P65" i="38" l="1"/>
  <c r="O15" i="40"/>
  <c r="F10" i="48"/>
  <c r="G10" i="48"/>
  <c r="F11" i="48"/>
  <c r="G11" i="48"/>
  <c r="F12" i="48"/>
  <c r="G12" i="48"/>
  <c r="F13" i="48"/>
  <c r="G13" i="48"/>
  <c r="F20" i="48"/>
  <c r="F99" i="48" s="1"/>
  <c r="G20" i="48"/>
  <c r="G99" i="48" s="1"/>
  <c r="F19" i="48"/>
  <c r="F98" i="48" s="1"/>
  <c r="G19" i="48"/>
  <c r="G98" i="48" s="1"/>
  <c r="F18" i="48"/>
  <c r="F97" i="48" s="1"/>
  <c r="G18" i="48"/>
  <c r="G97" i="48" s="1"/>
  <c r="F17" i="48"/>
  <c r="G17" i="48"/>
  <c r="G87" i="48"/>
  <c r="H87" i="48"/>
  <c r="I87" i="48"/>
  <c r="J87" i="48"/>
  <c r="K87" i="48"/>
  <c r="L87" i="48"/>
  <c r="M87" i="48"/>
  <c r="N87" i="48"/>
  <c r="G71" i="48"/>
  <c r="H71" i="48"/>
  <c r="I71" i="48"/>
  <c r="J71" i="48"/>
  <c r="K71" i="48"/>
  <c r="L71" i="48"/>
  <c r="M71" i="48"/>
  <c r="N71" i="48"/>
  <c r="O71" i="48"/>
  <c r="P71" i="48"/>
  <c r="Q71" i="48"/>
  <c r="R71" i="48"/>
  <c r="S71" i="48"/>
  <c r="T71" i="48"/>
  <c r="U71" i="48"/>
  <c r="V71" i="48"/>
  <c r="W71" i="48"/>
  <c r="X71" i="48"/>
  <c r="Y71" i="48"/>
  <c r="Z71" i="48"/>
  <c r="AA71" i="48"/>
  <c r="AB71" i="48"/>
  <c r="AC71" i="48"/>
  <c r="F71" i="48"/>
  <c r="F44" i="30"/>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F9" i="48" l="1"/>
  <c r="G96" i="48"/>
  <c r="F96" i="4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O14" i="56" l="1"/>
  <c r="O13" i="56"/>
  <c r="O12" i="56"/>
  <c r="O11" i="56"/>
  <c r="O10" i="56"/>
  <c r="O8"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L26" i="48" l="1"/>
  <c r="L57" i="48" s="1"/>
  <c r="K26" i="48"/>
  <c r="K57" i="48" s="1"/>
  <c r="J26" i="48"/>
  <c r="J57" i="48" s="1"/>
  <c r="I26" i="48"/>
  <c r="I57" i="48" s="1"/>
  <c r="H26" i="48"/>
  <c r="H57" i="48" s="1"/>
  <c r="D27" i="25" l="1"/>
  <c r="K19" i="26"/>
  <c r="L19" i="26"/>
  <c r="M19" i="26"/>
  <c r="N19" i="26"/>
  <c r="J12" i="26"/>
  <c r="C13" i="35" l="1"/>
  <c r="C14" i="35"/>
  <c r="Z15" i="32" l="1"/>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N14" i="26" l="1"/>
  <c r="N13" i="26"/>
  <c r="N81" i="26" s="1"/>
  <c r="N10" i="26"/>
  <c r="N9" i="26"/>
  <c r="N29" i="32"/>
  <c r="N12" i="32"/>
  <c r="N54" i="32"/>
  <c r="N64" i="32"/>
  <c r="N20" i="48"/>
  <c r="N19" i="48"/>
  <c r="N98" i="48" s="1"/>
  <c r="N18" i="48"/>
  <c r="N97" i="48" s="1"/>
  <c r="N17" i="48"/>
  <c r="N96" i="48" s="1"/>
  <c r="N13" i="48"/>
  <c r="N12" i="48"/>
  <c r="N11" i="48"/>
  <c r="N10" i="48"/>
  <c r="N13" i="40"/>
  <c r="L13" i="40"/>
  <c r="M13" i="40"/>
  <c r="K13" i="40"/>
  <c r="N12" i="40"/>
  <c r="N11" i="40"/>
  <c r="N11" i="33"/>
  <c r="N9" i="29"/>
  <c r="N10" i="29" s="1"/>
  <c r="N10" i="49"/>
  <c r="N9" i="49"/>
  <c r="J25" i="49" s="1"/>
  <c r="N30" i="32" s="1"/>
  <c r="N18" i="25"/>
  <c r="N17" i="25"/>
  <c r="N16" i="25"/>
  <c r="N15" i="25"/>
  <c r="N14" i="25"/>
  <c r="N12" i="25"/>
  <c r="N11" i="25"/>
  <c r="N21" i="30"/>
  <c r="N20" i="30"/>
  <c r="N19" i="30"/>
  <c r="N18" i="30"/>
  <c r="N17" i="30"/>
  <c r="N16" i="30"/>
  <c r="N14" i="30"/>
  <c r="N11" i="30"/>
  <c r="N54" i="38"/>
  <c r="N53" i="38"/>
  <c r="N25" i="20"/>
  <c r="N27" i="20" s="1"/>
  <c r="N9" i="20"/>
  <c r="N13" i="20" s="1"/>
  <c r="F28" i="46"/>
  <c r="G28" i="46" s="1"/>
  <c r="F29" i="46"/>
  <c r="G29" i="46" s="1"/>
  <c r="F30" i="46"/>
  <c r="G30" i="46" s="1"/>
  <c r="F31" i="46"/>
  <c r="G31" i="46" s="1"/>
  <c r="N10" i="33" l="1"/>
  <c r="N12" i="33"/>
  <c r="P96" i="48"/>
  <c r="N82" i="48"/>
  <c r="H63" i="48" s="1"/>
  <c r="I63" i="48" s="1"/>
  <c r="N83" i="48"/>
  <c r="H64" i="48" s="1"/>
  <c r="I64" i="48" s="1"/>
  <c r="P12" i="48"/>
  <c r="N84" i="48"/>
  <c r="H65" i="48" s="1"/>
  <c r="P13" i="48"/>
  <c r="N15" i="30"/>
  <c r="N13" i="30"/>
  <c r="N12" i="30" s="1"/>
  <c r="N11" i="49"/>
  <c r="N11" i="26"/>
  <c r="N14" i="40"/>
  <c r="B21" i="53"/>
  <c r="B20" i="53"/>
  <c r="B19" i="53"/>
  <c r="B18" i="53"/>
  <c r="B17" i="53"/>
  <c r="B16" i="53"/>
  <c r="B15" i="53"/>
  <c r="B14" i="53"/>
  <c r="B13" i="53"/>
  <c r="B12" i="53"/>
  <c r="B11" i="53"/>
  <c r="B10" i="53"/>
  <c r="P12" i="33" l="1"/>
  <c r="O10" i="33"/>
  <c r="Q96" i="48"/>
  <c r="P17" i="48"/>
  <c r="P11" i="48"/>
  <c r="P10" i="48"/>
  <c r="J63" i="48"/>
  <c r="Q10" i="48"/>
  <c r="N15" i="40"/>
  <c r="N16" i="40"/>
  <c r="N17" i="40"/>
  <c r="H9" i="20"/>
  <c r="I9" i="20"/>
  <c r="J9" i="20"/>
  <c r="K9" i="20"/>
  <c r="L9" i="20"/>
  <c r="M9" i="20"/>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C4" i="35"/>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C3" i="35"/>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E54" i="32"/>
  <c r="F54" i="32"/>
  <c r="G54" i="32"/>
  <c r="H54" i="32"/>
  <c r="I54" i="32"/>
  <c r="J54" i="32"/>
  <c r="K54" i="32"/>
  <c r="L54" i="32"/>
  <c r="M54" i="32"/>
  <c r="D54" i="32"/>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F64" i="32"/>
  <c r="G64" i="32"/>
  <c r="H64" i="32"/>
  <c r="I64" i="32"/>
  <c r="J64" i="32"/>
  <c r="K64" i="32"/>
  <c r="L64" i="32"/>
  <c r="M64" i="32"/>
  <c r="E64" i="32"/>
  <c r="D64"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N65" i="32" l="1"/>
  <c r="O65" i="32"/>
  <c r="O63" i="32"/>
  <c r="O16" i="32" s="1"/>
  <c r="Y12" i="33"/>
  <c r="X11" i="33"/>
  <c r="Y17" i="48"/>
  <c r="Z96" i="48"/>
  <c r="V13" i="33"/>
  <c r="U10" i="33"/>
  <c r="N63" i="32"/>
  <c r="N16" i="32" s="1"/>
  <c r="K65" i="32"/>
  <c r="M65" i="32"/>
  <c r="L65" i="32"/>
  <c r="M63" i="32"/>
  <c r="M16" i="32" s="1"/>
  <c r="J63" i="32"/>
  <c r="J16" i="32" s="1"/>
  <c r="I63" i="32"/>
  <c r="I16" i="32" s="1"/>
  <c r="K63" i="32"/>
  <c r="K16" i="32" s="1"/>
  <c r="L63" i="32"/>
  <c r="L16" i="32" s="1"/>
  <c r="J65" i="32"/>
  <c r="Y11" i="33" l="1"/>
  <c r="Z12" i="33"/>
  <c r="Z17" i="48"/>
  <c r="AA96" i="48"/>
  <c r="W13" i="33"/>
  <c r="V10" i="33"/>
  <c r="E9" i="49"/>
  <c r="F9" i="49"/>
  <c r="G9" i="49"/>
  <c r="H9" i="49"/>
  <c r="D25" i="49" s="1"/>
  <c r="H30" i="32" s="1"/>
  <c r="I9" i="49"/>
  <c r="E25" i="49" s="1"/>
  <c r="I30" i="32" s="1"/>
  <c r="J9" i="49"/>
  <c r="F25" i="49" s="1"/>
  <c r="J30" i="32" s="1"/>
  <c r="K9" i="49"/>
  <c r="G25" i="49" s="1"/>
  <c r="K30" i="32" s="1"/>
  <c r="L9" i="49"/>
  <c r="H25" i="49" s="1"/>
  <c r="L30" i="32" s="1"/>
  <c r="M9" i="49"/>
  <c r="I25" i="49" s="1"/>
  <c r="M30"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M99" i="48" l="1"/>
  <c r="Z11" i="33"/>
  <c r="AA12" i="33"/>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H66" i="48"/>
  <c r="X13" i="33"/>
  <c r="W10" i="33"/>
  <c r="H33" i="48"/>
  <c r="H40" i="48" s="1"/>
  <c r="H35" i="48"/>
  <c r="H42" i="48" s="1"/>
  <c r="H32" i="48"/>
  <c r="H39" i="48" s="1"/>
  <c r="H34" i="48"/>
  <c r="H41" i="48" s="1"/>
  <c r="K45" i="49"/>
  <c r="F44" i="49"/>
  <c r="N12" i="49" s="1"/>
  <c r="L11" i="49"/>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I66" i="48" l="1"/>
  <c r="Q13" i="48" s="1"/>
  <c r="R13" i="48" s="1"/>
  <c r="S13" i="48" s="1"/>
  <c r="T13" i="48" s="1"/>
  <c r="AB12" i="33"/>
  <c r="AA11" i="33"/>
  <c r="AB17" i="48"/>
  <c r="AC96" i="48"/>
  <c r="AC17" i="48" s="1"/>
  <c r="P97" i="48"/>
  <c r="P98" i="48"/>
  <c r="P99" i="48"/>
  <c r="P20" i="48" s="1"/>
  <c r="C22" i="35"/>
  <c r="D24" i="55" s="1"/>
  <c r="D99" i="55"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F27" i="49"/>
  <c r="D27" i="49"/>
  <c r="I27" i="49"/>
  <c r="E27" i="49"/>
  <c r="G27" i="49"/>
  <c r="C17" i="49"/>
  <c r="C18" i="49" s="1"/>
  <c r="AB11" i="33" l="1"/>
  <c r="AC12" i="33"/>
  <c r="AC11" i="33" s="1"/>
  <c r="D22" i="35"/>
  <c r="E24" i="55" s="1"/>
  <c r="Q99" i="48"/>
  <c r="D74" i="55"/>
  <c r="Q98" i="48"/>
  <c r="P19" i="48"/>
  <c r="Q97" i="48"/>
  <c r="P18" i="48"/>
  <c r="P16" i="48" s="1"/>
  <c r="J66" i="48"/>
  <c r="K66" i="48" s="1"/>
  <c r="L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O30" i="32" l="1"/>
  <c r="O31" i="32" s="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L25" i="49" s="1"/>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F98"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G44" i="30" l="1"/>
  <c r="Y77" i="26"/>
  <c r="AD26" i="26"/>
  <c r="AD27" i="26"/>
  <c r="P19" i="26"/>
  <c r="R19" i="26"/>
  <c r="S19" i="26"/>
  <c r="T19" i="26"/>
  <c r="U19" i="26"/>
  <c r="V19" i="26"/>
  <c r="W19" i="26"/>
  <c r="X19" i="26"/>
  <c r="Y19" i="26"/>
  <c r="Y15" i="26"/>
  <c r="T14" i="26"/>
  <c r="T76" i="26" s="1"/>
  <c r="U76" i="26"/>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36" i="26" l="1"/>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1" i="32"/>
  <c r="E41" i="32"/>
  <c r="F41" i="32"/>
  <c r="G41" i="32"/>
  <c r="C41"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2" i="32"/>
  <c r="P37" i="26"/>
  <c r="D42" i="32"/>
  <c r="Y38" i="26"/>
  <c r="U38" i="26"/>
  <c r="U17" i="26" s="1"/>
  <c r="W38" i="26"/>
  <c r="W17" i="26" s="1"/>
  <c r="S38" i="26"/>
  <c r="S17" i="26" s="1"/>
  <c r="Q38" i="26"/>
  <c r="Q17" i="26" s="1"/>
  <c r="O38" i="26"/>
  <c r="O17" i="26" s="1"/>
  <c r="O20" i="26" s="1"/>
  <c r="O79"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2" i="32"/>
  <c r="F42" i="32"/>
  <c r="C12" i="21"/>
  <c r="Y36" i="26"/>
  <c r="Y13" i="26" s="1"/>
  <c r="P36" i="26"/>
  <c r="P13" i="26" s="1"/>
  <c r="V36" i="26"/>
  <c r="V13" i="26" s="1"/>
  <c r="R36" i="26"/>
  <c r="R13" i="26" s="1"/>
  <c r="X36" i="26"/>
  <c r="X13" i="26" s="1"/>
  <c r="T36" i="26"/>
  <c r="T13" i="26" s="1"/>
  <c r="E12" i="21"/>
  <c r="O36" i="26"/>
  <c r="W36" i="26"/>
  <c r="W13" i="26" s="1"/>
  <c r="Q36" i="26"/>
  <c r="Q13" i="26" s="1"/>
  <c r="S36"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H4" i="21"/>
  <c r="I4" i="21"/>
  <c r="U5" i="21"/>
  <c r="S5" i="21"/>
  <c r="AC25" i="32" s="1"/>
  <c r="Q15" i="35" s="1"/>
  <c r="R17" i="55" s="1"/>
  <c r="R5" i="21"/>
  <c r="AB25" i="32" s="1"/>
  <c r="T5" i="21"/>
  <c r="N7" i="21"/>
  <c r="O7" i="21"/>
  <c r="P7" i="21"/>
  <c r="Q7" i="21"/>
  <c r="N5" i="21"/>
  <c r="O5" i="21"/>
  <c r="Y25" i="32" s="1"/>
  <c r="P5" i="21"/>
  <c r="Z25" i="32" s="1"/>
  <c r="Q5" i="21"/>
  <c r="AA25" i="32" s="1"/>
  <c r="O15" i="35" s="1"/>
  <c r="P17" i="55" s="1"/>
  <c r="N4" i="21"/>
  <c r="O4" i="21"/>
  <c r="P4" i="21"/>
  <c r="N16" i="35" s="1"/>
  <c r="O18" i="55" s="1"/>
  <c r="Q4" i="21"/>
  <c r="M5" i="21"/>
  <c r="W25" i="32" s="1"/>
  <c r="K5" i="21"/>
  <c r="U25" i="32" s="1"/>
  <c r="J5" i="21"/>
  <c r="L5" i="21"/>
  <c r="V25" i="32" s="1"/>
  <c r="F5" i="21"/>
  <c r="G5" i="21"/>
  <c r="Q25" i="32" s="1"/>
  <c r="H5" i="21"/>
  <c r="R25" i="32" s="1"/>
  <c r="I5" i="21"/>
  <c r="S25" i="32" s="1"/>
  <c r="S6" i="21"/>
  <c r="T6" i="21"/>
  <c r="U6" i="21"/>
  <c r="R6" i="21"/>
  <c r="D7" i="21"/>
  <c r="H7" i="21"/>
  <c r="F7" i="21"/>
  <c r="G7" i="21"/>
  <c r="I7" i="21"/>
  <c r="J7" i="21"/>
  <c r="K7" i="21"/>
  <c r="L7" i="21"/>
  <c r="M7" i="21"/>
  <c r="C6" i="21"/>
  <c r="D6" i="21"/>
  <c r="Q6" i="21"/>
  <c r="N6" i="21"/>
  <c r="O6" i="21"/>
  <c r="P6" i="21"/>
  <c r="E7" i="21"/>
  <c r="E6" i="21"/>
  <c r="J4" i="21"/>
  <c r="K4" i="21"/>
  <c r="L4" i="21"/>
  <c r="M4" i="21"/>
  <c r="K6" i="21"/>
  <c r="K21" i="21" s="1"/>
  <c r="L6" i="21"/>
  <c r="L21" i="21" s="1"/>
  <c r="M6" i="21"/>
  <c r="M21" i="21" s="1"/>
  <c r="J6" i="21"/>
  <c r="J21" i="21" s="1"/>
  <c r="R4" i="21"/>
  <c r="P16" i="35" s="1"/>
  <c r="Q18" i="55" s="1"/>
  <c r="T4" i="21"/>
  <c r="S4" i="21"/>
  <c r="U4" i="21"/>
  <c r="R7" i="21"/>
  <c r="S7" i="21"/>
  <c r="T7" i="21"/>
  <c r="U7" i="21"/>
  <c r="F6" i="21"/>
  <c r="F21" i="21" s="1"/>
  <c r="G6" i="21"/>
  <c r="G21" i="21" s="1"/>
  <c r="H6" i="21"/>
  <c r="H21" i="21" s="1"/>
  <c r="I6" i="21"/>
  <c r="I21" i="21" s="1"/>
  <c r="D5" i="21"/>
  <c r="N25" i="32" s="1"/>
  <c r="G4" i="50" s="1"/>
  <c r="E5" i="21"/>
  <c r="O25" i="32" s="1"/>
  <c r="H16" i="5"/>
  <c r="B16" i="5"/>
  <c r="C16" i="5"/>
  <c r="D21" i="21" l="1"/>
  <c r="N37" i="30" s="1"/>
  <c r="E21" i="21"/>
  <c r="O37" i="30" s="1"/>
  <c r="O43" i="30"/>
  <c r="O44" i="30" s="1"/>
  <c r="C15" i="35"/>
  <c r="H4" i="50"/>
  <c r="M22" i="21"/>
  <c r="W38" i="30" s="1"/>
  <c r="W23" i="30" s="1"/>
  <c r="W37" i="30"/>
  <c r="P67" i="55"/>
  <c r="P92" i="55"/>
  <c r="L22" i="21"/>
  <c r="V38" i="30" s="1"/>
  <c r="V23" i="30" s="1"/>
  <c r="V37" i="30"/>
  <c r="R67" i="55"/>
  <c r="R92" i="55"/>
  <c r="K22" i="21"/>
  <c r="U38" i="30" s="1"/>
  <c r="U23" i="30" s="1"/>
  <c r="U37" i="30"/>
  <c r="H22" i="21"/>
  <c r="R38" i="30" s="1"/>
  <c r="R37" i="30"/>
  <c r="O68" i="55"/>
  <c r="O93" i="55"/>
  <c r="I22" i="21"/>
  <c r="S38" i="30" s="1"/>
  <c r="S37" i="30"/>
  <c r="Q38" i="30"/>
  <c r="Q37" i="30"/>
  <c r="Q93" i="55"/>
  <c r="Q68" i="55"/>
  <c r="P37" i="30"/>
  <c r="F22" i="21"/>
  <c r="P38" i="30" s="1"/>
  <c r="J22" i="21"/>
  <c r="T38" i="30" s="1"/>
  <c r="T23"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22" i="21"/>
  <c r="O38" i="30" s="1"/>
  <c r="E18" i="21"/>
  <c r="O34" i="30" s="1"/>
  <c r="E20" i="21"/>
  <c r="O36"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4" i="32"/>
  <c r="AC20" i="32" s="1"/>
  <c r="Q16" i="35"/>
  <c r="R18" i="55" s="1"/>
  <c r="AA24" i="32"/>
  <c r="AA20" i="32" s="1"/>
  <c r="O16" i="35"/>
  <c r="P18" i="55" s="1"/>
  <c r="AA13" i="26"/>
  <c r="AA34" i="26"/>
  <c r="Z13" i="26"/>
  <c r="Z34" i="26"/>
  <c r="AC13" i="26"/>
  <c r="AC34" i="26"/>
  <c r="Z24" i="32"/>
  <c r="Z20" i="32" s="1"/>
  <c r="N15" i="35"/>
  <c r="O17" i="55" s="1"/>
  <c r="AB24" i="32"/>
  <c r="AB20" i="32" s="1"/>
  <c r="P15" i="35"/>
  <c r="Q17" i="55" s="1"/>
  <c r="Y78" i="26"/>
  <c r="Y17" i="26"/>
  <c r="AD17" i="26" s="1"/>
  <c r="H28" i="21"/>
  <c r="R81" i="26" s="1"/>
  <c r="F28" i="21"/>
  <c r="P81" i="26" s="1"/>
  <c r="G28" i="21"/>
  <c r="Q81" i="26" s="1"/>
  <c r="F87" i="21"/>
  <c r="D87" i="21"/>
  <c r="E4" i="21"/>
  <c r="D4" i="21"/>
  <c r="G5" i="50" s="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F77" i="21"/>
  <c r="D74" i="21"/>
  <c r="M25" i="32"/>
  <c r="F4" i="50" s="1"/>
  <c r="C75" i="21"/>
  <c r="G77" i="21"/>
  <c r="E77" i="21"/>
  <c r="T25" i="32"/>
  <c r="E75" i="21"/>
  <c r="C78" i="21"/>
  <c r="D77" i="21"/>
  <c r="X25" i="32"/>
  <c r="F75" i="21"/>
  <c r="D76" i="21"/>
  <c r="G74" i="21"/>
  <c r="E74" i="21"/>
  <c r="C76" i="21"/>
  <c r="C77" i="21"/>
  <c r="E76" i="21"/>
  <c r="P25" i="32"/>
  <c r="D75" i="21"/>
  <c r="W5" i="21"/>
  <c r="W7" i="21"/>
  <c r="W6" i="21"/>
  <c r="O24" i="30" l="1"/>
  <c r="C7" i="35"/>
  <c r="D9" i="55" s="1"/>
  <c r="D84" i="55" s="1"/>
  <c r="C16" i="35"/>
  <c r="H5" i="50"/>
  <c r="O24" i="32"/>
  <c r="O20" i="32" s="1"/>
  <c r="Z24" i="30"/>
  <c r="Z15" i="30" s="1"/>
  <c r="Q24" i="30"/>
  <c r="R24" i="30"/>
  <c r="R93" i="55"/>
  <c r="R68" i="55"/>
  <c r="Q25" i="21"/>
  <c r="AA41" i="30" s="1"/>
  <c r="AA39" i="30"/>
  <c r="AA24" i="30" s="1"/>
  <c r="AA15" i="30" s="1"/>
  <c r="V24" i="30"/>
  <c r="V13" i="30" s="1"/>
  <c r="Q92" i="55"/>
  <c r="Q67" i="55"/>
  <c r="T24" i="30"/>
  <c r="T13" i="30" s="1"/>
  <c r="X24" i="30"/>
  <c r="U24" i="30"/>
  <c r="O92" i="55"/>
  <c r="O67" i="55"/>
  <c r="P93" i="55"/>
  <c r="P68" i="55"/>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S47" i="21" s="1"/>
  <c r="AC83" i="26" s="1"/>
  <c r="L52" i="21"/>
  <c r="L47" i="21" s="1"/>
  <c r="V83" i="26" s="1"/>
  <c r="T52" i="21"/>
  <c r="T47" i="21" s="1"/>
  <c r="M52" i="21"/>
  <c r="M47" i="21" s="1"/>
  <c r="W83" i="26" s="1"/>
  <c r="U52" i="21"/>
  <c r="U47" i="21" s="1"/>
  <c r="N52" i="21"/>
  <c r="N47" i="21" s="1"/>
  <c r="X83" i="26" s="1"/>
  <c r="V52" i="21"/>
  <c r="V47" i="21" s="1"/>
  <c r="AB15" i="30"/>
  <c r="N44" i="30"/>
  <c r="L7" i="35"/>
  <c r="M9" i="55" s="1"/>
  <c r="M84" i="55" s="1"/>
  <c r="E59" i="55"/>
  <c r="D59" i="55"/>
  <c r="F59" i="55"/>
  <c r="I59" i="55"/>
  <c r="N59" i="55"/>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F5" i="50"/>
  <c r="W15" i="21"/>
  <c r="U13" i="30"/>
  <c r="U15" i="30"/>
  <c r="W13" i="30"/>
  <c r="W15" i="30"/>
  <c r="D78" i="21"/>
  <c r="F12" i="30"/>
  <c r="G12" i="30"/>
  <c r="K14" i="40"/>
  <c r="K16" i="40" s="1"/>
  <c r="L14" i="40"/>
  <c r="L16" i="40" s="1"/>
  <c r="M14" i="40"/>
  <c r="M15" i="40" s="1"/>
  <c r="J14" i="40"/>
  <c r="S23" i="38"/>
  <c r="S24" i="38" s="1"/>
  <c r="S25" i="38" s="1"/>
  <c r="S26" i="38" s="1"/>
  <c r="K55" i="38"/>
  <c r="M48" i="38" s="1"/>
  <c r="L55" i="38"/>
  <c r="M55" i="38"/>
  <c r="J55" i="38"/>
  <c r="J56" i="38" s="1"/>
  <c r="S38" i="38"/>
  <c r="S39" i="38" s="1"/>
  <c r="S40" i="38" s="1"/>
  <c r="S41" i="38" s="1"/>
  <c r="S42" i="38" s="1"/>
  <c r="S43" i="38" s="1"/>
  <c r="S44" i="38" s="1"/>
  <c r="S45" i="38" s="1"/>
  <c r="S28" i="38"/>
  <c r="S29" i="38" s="1"/>
  <c r="T15" i="30" l="1"/>
  <c r="Z13" i="30"/>
  <c r="V14" i="40"/>
  <c r="V15" i="30"/>
  <c r="M56" i="38"/>
  <c r="M68" i="38"/>
  <c r="M67" i="38" s="1"/>
  <c r="M69" i="38" s="1"/>
  <c r="O48" i="38"/>
  <c r="L56" i="38"/>
  <c r="N48" i="38"/>
  <c r="K56" i="38"/>
  <c r="I26" i="2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N18" i="32"/>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8" i="32"/>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76" i="26"/>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Q16" i="40"/>
  <c r="P13" i="40"/>
  <c r="P19" i="30" s="1"/>
  <c r="P15" i="30" s="1"/>
  <c r="Q17" i="40"/>
  <c r="Q13" i="40" s="1"/>
  <c r="R11" i="40"/>
  <c r="R18" i="32" s="1"/>
  <c r="S15" i="40"/>
  <c r="S11" i="40" s="1"/>
  <c r="T42" i="38"/>
  <c r="P41" i="38"/>
  <c r="R41" i="38" s="1"/>
  <c r="S16" i="38"/>
  <c r="L16" i="38" s="1"/>
  <c r="N16" i="38" s="1"/>
  <c r="S33" i="38"/>
  <c r="O33" i="38" s="1"/>
  <c r="Q33" i="38" s="1"/>
  <c r="P76" i="26" l="1"/>
  <c r="R16" i="40"/>
  <c r="Q12" i="40"/>
  <c r="Q14" i="26" s="1"/>
  <c r="Q76" i="26" s="1"/>
  <c r="R17" i="40"/>
  <c r="Q19" i="30"/>
  <c r="T43" i="38"/>
  <c r="P42" i="38"/>
  <c r="S17" i="38"/>
  <c r="L17" i="38" s="1"/>
  <c r="N17" i="38" s="1"/>
  <c r="S34" i="38"/>
  <c r="O34" i="38" s="1"/>
  <c r="Q13" i="30" l="1"/>
  <c r="Q15" i="30"/>
  <c r="S17" i="40"/>
  <c r="S13" i="40" s="1"/>
  <c r="S19" i="30" s="1"/>
  <c r="R13" i="40"/>
  <c r="R19" i="30" s="1"/>
  <c r="R12" i="40"/>
  <c r="R14" i="26" s="1"/>
  <c r="S16" i="40"/>
  <c r="S12" i="40" s="1"/>
  <c r="S14" i="26" s="1"/>
  <c r="S76" i="26" s="1"/>
  <c r="Q34" i="38"/>
  <c r="R42" i="38"/>
  <c r="T44" i="38"/>
  <c r="P43" i="38"/>
  <c r="R43" i="38" s="1"/>
  <c r="S18" i="38"/>
  <c r="S35" i="38"/>
  <c r="O35" i="38" s="1"/>
  <c r="Q35" i="38" s="1"/>
  <c r="R76" i="26" l="1"/>
  <c r="S13" i="30"/>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N68" i="38" l="1"/>
  <c r="N67" i="38" s="1"/>
  <c r="P48" i="38"/>
  <c r="N56" i="38"/>
  <c r="N69" i="38" l="1"/>
  <c r="O67" i="38"/>
  <c r="P56" i="38"/>
  <c r="D15" i="55"/>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D93" i="55" s="1"/>
  <c r="D16" i="35"/>
  <c r="E18" i="55" s="1"/>
  <c r="E93" i="55" s="1"/>
  <c r="E16" i="35"/>
  <c r="F18" i="55" s="1"/>
  <c r="F93" i="55" s="1"/>
  <c r="F16" i="35"/>
  <c r="G18" i="55" s="1"/>
  <c r="G93" i="55" s="1"/>
  <c r="G16" i="35"/>
  <c r="H18" i="55" s="1"/>
  <c r="H93" i="55" s="1"/>
  <c r="H16" i="35"/>
  <c r="I18" i="55" s="1"/>
  <c r="I93" i="55" s="1"/>
  <c r="J16" i="35"/>
  <c r="K18" i="55" s="1"/>
  <c r="K93" i="55" s="1"/>
  <c r="K16" i="35"/>
  <c r="L18" i="55" s="1"/>
  <c r="L93" i="55" s="1"/>
  <c r="L16" i="35"/>
  <c r="M18" i="55" s="1"/>
  <c r="M93" i="55" s="1"/>
  <c r="M16" i="35"/>
  <c r="N18" i="55" s="1"/>
  <c r="N93" i="55" s="1"/>
  <c r="D17" i="55"/>
  <c r="D92" i="55" s="1"/>
  <c r="E15" i="35"/>
  <c r="F17" i="55" s="1"/>
  <c r="F92" i="55" s="1"/>
  <c r="F15" i="35"/>
  <c r="G17" i="55" s="1"/>
  <c r="G92" i="55" s="1"/>
  <c r="G15" i="35"/>
  <c r="H17" i="55" s="1"/>
  <c r="H92" i="55" s="1"/>
  <c r="H15" i="35"/>
  <c r="I17" i="55" s="1"/>
  <c r="I92" i="55" s="1"/>
  <c r="I15" i="35"/>
  <c r="J17" i="55" s="1"/>
  <c r="J92" i="55" s="1"/>
  <c r="K15" i="35"/>
  <c r="L17" i="55" s="1"/>
  <c r="L92" i="55" s="1"/>
  <c r="L15" i="35"/>
  <c r="M17" i="55" s="1"/>
  <c r="M92" i="55" s="1"/>
  <c r="M15" i="35"/>
  <c r="N17" i="55" s="1"/>
  <c r="N92" i="55" s="1"/>
  <c r="O68" i="38" l="1"/>
  <c r="O69" i="38" s="1"/>
  <c r="P67" i="38"/>
  <c r="H67" i="55"/>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24" i="32"/>
  <c r="P20" i="32" s="1"/>
  <c r="U24" i="32"/>
  <c r="U20" i="32" s="1"/>
  <c r="I16" i="35"/>
  <c r="J18" i="55" s="1"/>
  <c r="J93" i="55" s="1"/>
  <c r="V24" i="32"/>
  <c r="V20" i="32" s="1"/>
  <c r="N24" i="32"/>
  <c r="J15" i="35"/>
  <c r="K17" i="55" s="1"/>
  <c r="K92" i="55" s="1"/>
  <c r="D15" i="35"/>
  <c r="E17" i="55" s="1"/>
  <c r="E92" i="55" s="1"/>
  <c r="X24" i="32"/>
  <c r="X20" i="32" s="1"/>
  <c r="M24" i="32"/>
  <c r="R24" i="32"/>
  <c r="R20" i="32" s="1"/>
  <c r="W24" i="32"/>
  <c r="W20" i="32" s="1"/>
  <c r="T24" i="32"/>
  <c r="T20" i="32" s="1"/>
  <c r="S24" i="32"/>
  <c r="S20" i="32" s="1"/>
  <c r="Y24" i="32"/>
  <c r="Y20" i="32" s="1"/>
  <c r="Q24" i="32"/>
  <c r="Q20" i="32" s="1"/>
  <c r="E67" i="55" l="1"/>
  <c r="K67" i="55"/>
  <c r="J68" i="55"/>
  <c r="P14" i="30"/>
  <c r="P13" i="30" s="1"/>
  <c r="P55" i="38"/>
  <c r="D12" i="32"/>
  <c r="E12" i="32"/>
  <c r="F12" i="32"/>
  <c r="G12" i="32"/>
  <c r="D29" i="32"/>
  <c r="E29" i="32"/>
  <c r="F29" i="32"/>
  <c r="G29" i="32"/>
  <c r="G51" i="32" l="1"/>
  <c r="F51" i="32"/>
  <c r="E51" i="32"/>
  <c r="D51" i="32"/>
  <c r="I15" i="32"/>
  <c r="H15" i="32"/>
  <c r="I12" i="32"/>
  <c r="J12" i="32"/>
  <c r="K12" i="32"/>
  <c r="L12" i="32"/>
  <c r="M12" i="32"/>
  <c r="H12" i="32"/>
  <c r="I29" i="32"/>
  <c r="J29" i="32"/>
  <c r="K29" i="32"/>
  <c r="L29" i="32"/>
  <c r="M29" i="32"/>
  <c r="H29" i="32"/>
  <c r="J51" i="32" l="1"/>
  <c r="M51" i="32"/>
  <c r="L51" i="32"/>
  <c r="K51" i="32"/>
  <c r="I51" i="32"/>
  <c r="H51"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2" i="33"/>
  <c r="K10" i="33"/>
  <c r="K14" i="32" s="1"/>
  <c r="G10" i="33"/>
  <c r="G14" i="32" s="1"/>
  <c r="D14" i="32"/>
  <c r="H14" i="32"/>
  <c r="D22" i="33"/>
  <c r="C22" i="33" l="1"/>
  <c r="F52" i="32"/>
  <c r="G52" i="32"/>
  <c r="E52" i="32"/>
  <c r="E55" i="32" s="1"/>
  <c r="E21" i="32" s="1"/>
  <c r="E22" i="32" s="1"/>
  <c r="E23" i="32" s="1"/>
  <c r="D52" i="32"/>
  <c r="D55" i="32" l="1"/>
  <c r="D21" i="32" s="1"/>
  <c r="D22" i="32" s="1"/>
  <c r="D23" i="32" s="1"/>
  <c r="G55" i="32"/>
  <c r="G21" i="32" s="1"/>
  <c r="G22" i="32" s="1"/>
  <c r="G23" i="32" s="1"/>
  <c r="F55" i="32"/>
  <c r="F21" i="32" s="1"/>
  <c r="F22" i="32" s="1"/>
  <c r="F23" i="32" s="1"/>
  <c r="N14" i="32"/>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1" i="32"/>
  <c r="E31" i="32"/>
  <c r="F31" i="32"/>
  <c r="G31" i="32"/>
  <c r="I31" i="32"/>
  <c r="Y14" i="32" l="1"/>
  <c r="M64" i="55"/>
  <c r="F32" i="32"/>
  <c r="G32" i="32"/>
  <c r="E32" i="32"/>
  <c r="H31" i="32"/>
  <c r="H32" i="32" s="1"/>
  <c r="M12" i="35" l="1"/>
  <c r="N14" i="55" s="1"/>
  <c r="N89" i="55" s="1"/>
  <c r="I32"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I11" i="30"/>
  <c r="I44" i="30" s="1"/>
  <c r="H11" i="30"/>
  <c r="J44" i="30" l="1"/>
  <c r="O89" i="55"/>
  <c r="O64" i="55"/>
  <c r="O12" i="35"/>
  <c r="P14" i="55" s="1"/>
  <c r="AA14" i="32"/>
  <c r="H44" i="30"/>
  <c r="AC12" i="30"/>
  <c r="AC11" i="30" s="1"/>
  <c r="AB12" i="30"/>
  <c r="AB11" i="30" s="1"/>
  <c r="Z12" i="30"/>
  <c r="Z11" i="30" s="1"/>
  <c r="AA12" i="30"/>
  <c r="AA11" i="30" s="1"/>
  <c r="L15" i="30"/>
  <c r="J15" i="30"/>
  <c r="I15" i="30"/>
  <c r="K13" i="30"/>
  <c r="K15" i="30"/>
  <c r="H13" i="30"/>
  <c r="H15" i="30"/>
  <c r="M15" i="30"/>
  <c r="J13" i="30"/>
  <c r="J12" i="30" s="1"/>
  <c r="M13" i="30"/>
  <c r="L13" i="30"/>
  <c r="I13" i="30"/>
  <c r="I12" i="30" s="1"/>
  <c r="R12" i="30"/>
  <c r="W12" i="30"/>
  <c r="W11" i="30" s="1"/>
  <c r="S12" i="30"/>
  <c r="T12" i="30"/>
  <c r="Y12" i="30"/>
  <c r="Y11" i="30" s="1"/>
  <c r="U12" i="30"/>
  <c r="V12" i="30"/>
  <c r="V11" i="30" s="1"/>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M12" i="30"/>
  <c r="Q11" i="30"/>
  <c r="T11" i="30"/>
  <c r="P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27" i="30"/>
  <c r="O16" i="48"/>
  <c r="M77" i="26"/>
  <c r="AD32" i="26"/>
  <c r="AD33" i="26"/>
  <c r="AD31" i="26"/>
  <c r="AE14" i="26" s="1"/>
  <c r="N78" i="26"/>
  <c r="M15" i="26"/>
  <c r="R78" i="26"/>
  <c r="H20" i="26"/>
  <c r="H79" i="26" s="1"/>
  <c r="M28" i="26"/>
  <c r="N29" i="26"/>
  <c r="N77" i="26" s="1"/>
  <c r="C57" i="26"/>
  <c r="C20" i="35" l="1"/>
  <c r="D22" i="55" s="1"/>
  <c r="D97" i="55" s="1"/>
  <c r="D20" i="35"/>
  <c r="E22" i="55" s="1"/>
  <c r="E97" i="55" s="1"/>
  <c r="O15" i="30"/>
  <c r="AE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4" i="26" l="1"/>
  <c r="AD12"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C5" i="35"/>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3" i="25"/>
  <c r="O20" i="25" s="1"/>
  <c r="O19" i="25" s="1"/>
  <c r="C9" i="35" l="1"/>
  <c r="B19" i="6"/>
  <c r="E57" i="55"/>
  <c r="E55" i="55"/>
  <c r="H52" i="32"/>
  <c r="R27" i="20"/>
  <c r="E5" i="35"/>
  <c r="F7" i="55" s="1"/>
  <c r="F82" i="55" s="1"/>
  <c r="E3" i="35"/>
  <c r="F5" i="55" s="1"/>
  <c r="F80" i="55" s="1"/>
  <c r="Q46" i="20"/>
  <c r="J19" i="25"/>
  <c r="J13" i="32" s="1"/>
  <c r="K19" i="25"/>
  <c r="K13" i="32" s="1"/>
  <c r="L19" i="25"/>
  <c r="L13" i="32" s="1"/>
  <c r="I19" i="25"/>
  <c r="I13" i="32" s="1"/>
  <c r="P14" i="25"/>
  <c r="P13" i="25" s="1"/>
  <c r="M19" i="25"/>
  <c r="M13" i="32" s="1"/>
  <c r="L52" i="32" l="1"/>
  <c r="J52" i="32"/>
  <c r="K52" i="32"/>
  <c r="M52" i="32"/>
  <c r="F57" i="55"/>
  <c r="F55" i="55"/>
  <c r="H55" i="32"/>
  <c r="H21" i="32" s="1"/>
  <c r="H22" i="32" s="1"/>
  <c r="H23" i="32" s="1"/>
  <c r="I52" i="32"/>
  <c r="S27" i="20"/>
  <c r="F5" i="35"/>
  <c r="G7" i="55" s="1"/>
  <c r="G82" i="55" s="1"/>
  <c r="F3" i="35"/>
  <c r="G5" i="55" s="1"/>
  <c r="G80" i="55" s="1"/>
  <c r="R46" i="20"/>
  <c r="D6" i="55"/>
  <c r="D81" i="55" s="1"/>
  <c r="D11" i="55"/>
  <c r="D86" i="55" s="1"/>
  <c r="Q12" i="25"/>
  <c r="Q14" i="25" s="1"/>
  <c r="Q13" i="25" s="1"/>
  <c r="J53" i="32" l="1"/>
  <c r="K53" i="32" s="1"/>
  <c r="D61" i="55"/>
  <c r="D56" i="55"/>
  <c r="G57" i="55"/>
  <c r="G55" i="55"/>
  <c r="N19" i="25"/>
  <c r="I55" i="32"/>
  <c r="I21" i="32" s="1"/>
  <c r="I22" i="32" s="1"/>
  <c r="I23" i="32" s="1"/>
  <c r="T27" i="20"/>
  <c r="G5" i="35"/>
  <c r="H7" i="55" s="1"/>
  <c r="H82" i="55" s="1"/>
  <c r="G3" i="35"/>
  <c r="H5" i="55" s="1"/>
  <c r="H80" i="55" s="1"/>
  <c r="S46" i="20"/>
  <c r="D4" i="35"/>
  <c r="E6" i="55" s="1"/>
  <c r="E81" i="55" s="1"/>
  <c r="P20" i="25"/>
  <c r="Q20" i="25" s="1"/>
  <c r="R12" i="25"/>
  <c r="R14" i="25" s="1"/>
  <c r="R13" i="25" s="1"/>
  <c r="J55" i="32" l="1"/>
  <c r="J21" i="32" s="1"/>
  <c r="J22" i="32" s="1"/>
  <c r="L53" i="32"/>
  <c r="K55" i="32"/>
  <c r="D9" i="35"/>
  <c r="E11" i="55" s="1"/>
  <c r="E86" i="55" s="1"/>
  <c r="P11" i="25"/>
  <c r="P19" i="25" s="1"/>
  <c r="C8" i="35"/>
  <c r="D10" i="55" s="1"/>
  <c r="D85" i="55" s="1"/>
  <c r="N13" i="32"/>
  <c r="E56" i="55"/>
  <c r="H57" i="55"/>
  <c r="H55" i="55"/>
  <c r="U27" i="20"/>
  <c r="H5" i="35"/>
  <c r="I7" i="55" s="1"/>
  <c r="I82" i="55" s="1"/>
  <c r="H3" i="35"/>
  <c r="I5" i="55" s="1"/>
  <c r="I80" i="55" s="1"/>
  <c r="T46" i="20"/>
  <c r="E4" i="35"/>
  <c r="F6" i="55" s="1"/>
  <c r="F81" i="55" s="1"/>
  <c r="E9" i="35"/>
  <c r="F11" i="55" s="1"/>
  <c r="F86" i="55" s="1"/>
  <c r="S12" i="25"/>
  <c r="S14" i="25" s="1"/>
  <c r="S13" i="25" s="1"/>
  <c r="K21" i="32" l="1"/>
  <c r="K22" i="32" s="1"/>
  <c r="C3" i="50"/>
  <c r="J23" i="32"/>
  <c r="M53" i="32"/>
  <c r="M21" i="32" s="1"/>
  <c r="M22" i="32" s="1"/>
  <c r="M23" i="32" s="1"/>
  <c r="L55" i="32"/>
  <c r="L21" i="32" s="1"/>
  <c r="L22" i="32" s="1"/>
  <c r="E61" i="55"/>
  <c r="O13" i="32"/>
  <c r="F61" i="55"/>
  <c r="D60" i="55"/>
  <c r="F56" i="55"/>
  <c r="I57" i="55"/>
  <c r="I55" i="55"/>
  <c r="I5" i="35"/>
  <c r="J7" i="55" s="1"/>
  <c r="J82" i="55" s="1"/>
  <c r="V27" i="20"/>
  <c r="I3" i="35"/>
  <c r="J5" i="55" s="1"/>
  <c r="J80" i="55" s="1"/>
  <c r="U46" i="20"/>
  <c r="F4" i="35"/>
  <c r="G6" i="55" s="1"/>
  <c r="G81" i="55" s="1"/>
  <c r="P13" i="32"/>
  <c r="D8" i="35"/>
  <c r="E10" i="55" s="1"/>
  <c r="E85" i="55" s="1"/>
  <c r="R20" i="25"/>
  <c r="F9" i="35" s="1"/>
  <c r="G11" i="55" s="1"/>
  <c r="G86" i="55" s="1"/>
  <c r="Q11" i="25"/>
  <c r="Q19" i="25" s="1"/>
  <c r="T12" i="25"/>
  <c r="T14" i="25" s="1"/>
  <c r="T13" i="25" s="1"/>
  <c r="D3" i="50" l="1"/>
  <c r="K23" i="32"/>
  <c r="L23" i="32"/>
  <c r="E3" i="50" s="1"/>
  <c r="F3" i="50"/>
  <c r="Q22" i="32"/>
  <c r="Q23" i="32" s="1"/>
  <c r="E17" i="35" s="1"/>
  <c r="N53" i="32"/>
  <c r="O53" i="32" s="1"/>
  <c r="E60" i="55"/>
  <c r="G61" i="55"/>
  <c r="G56" i="55"/>
  <c r="J57" i="55"/>
  <c r="J55" i="55"/>
  <c r="W27" i="20"/>
  <c r="J5" i="35"/>
  <c r="K7" i="55" s="1"/>
  <c r="K82" i="55" s="1"/>
  <c r="J3" i="35"/>
  <c r="K5" i="55" s="1"/>
  <c r="K80" i="55" s="1"/>
  <c r="V46" i="20"/>
  <c r="Q13" i="32"/>
  <c r="E8" i="35"/>
  <c r="F10" i="55" s="1"/>
  <c r="F85" i="55" s="1"/>
  <c r="G4" i="35"/>
  <c r="H6" i="55" s="1"/>
  <c r="H81" i="55" s="1"/>
  <c r="S20" i="25"/>
  <c r="G9" i="35" s="1"/>
  <c r="H11" i="55" s="1"/>
  <c r="H86" i="55" s="1"/>
  <c r="R11" i="25"/>
  <c r="R19" i="25" s="1"/>
  <c r="U12" i="25"/>
  <c r="U22" i="32" l="1"/>
  <c r="U23" i="32" s="1"/>
  <c r="I17" i="35" s="1"/>
  <c r="R22" i="32"/>
  <c r="R23" i="32" s="1"/>
  <c r="F17" i="35" s="1"/>
  <c r="H61" i="55"/>
  <c r="F60" i="55"/>
  <c r="K57" i="55"/>
  <c r="H56" i="55"/>
  <c r="K55" i="55"/>
  <c r="K5" i="35"/>
  <c r="L7" i="55" s="1"/>
  <c r="L82" i="55" s="1"/>
  <c r="X27" i="20"/>
  <c r="K3" i="35"/>
  <c r="L5" i="55" s="1"/>
  <c r="L80" i="55" s="1"/>
  <c r="W46" i="20"/>
  <c r="U14" i="25"/>
  <c r="U13" i="25" s="1"/>
  <c r="V12" i="25"/>
  <c r="Q12" i="32"/>
  <c r="Q51" i="32" s="1"/>
  <c r="R13" i="32"/>
  <c r="F8" i="35"/>
  <c r="G10" i="55" s="1"/>
  <c r="G85" i="55" s="1"/>
  <c r="H4" i="35"/>
  <c r="I6" i="55" s="1"/>
  <c r="I81" i="55" s="1"/>
  <c r="T20" i="25"/>
  <c r="H9" i="35" s="1"/>
  <c r="I11" i="55" s="1"/>
  <c r="I86" i="55" s="1"/>
  <c r="S11" i="25"/>
  <c r="S19" i="25" s="1"/>
  <c r="F19" i="55" l="1"/>
  <c r="Y22" i="32"/>
  <c r="Y23" i="32" s="1"/>
  <c r="M17" i="35" s="1"/>
  <c r="J19" i="55"/>
  <c r="V22" i="32"/>
  <c r="V23" i="32" s="1"/>
  <c r="J17" i="35" s="1"/>
  <c r="G19" i="55"/>
  <c r="S22" i="32"/>
  <c r="S23" i="32" s="1"/>
  <c r="G17" i="35" s="1"/>
  <c r="I61" i="55"/>
  <c r="G60" i="55"/>
  <c r="I56" i="55"/>
  <c r="L57" i="55"/>
  <c r="L55" i="55"/>
  <c r="L5" i="35"/>
  <c r="M7" i="55" s="1"/>
  <c r="M82" i="55" s="1"/>
  <c r="Y27" i="20"/>
  <c r="L3" i="35"/>
  <c r="M5" i="55" s="1"/>
  <c r="M80" i="55" s="1"/>
  <c r="X46" i="20"/>
  <c r="W12" i="25"/>
  <c r="V14" i="25"/>
  <c r="V13" i="25" s="1"/>
  <c r="R12" i="32"/>
  <c r="R51" i="32" s="1"/>
  <c r="S13" i="32"/>
  <c r="G8" i="35"/>
  <c r="H10" i="55" s="1"/>
  <c r="H85" i="55" s="1"/>
  <c r="I4" i="35"/>
  <c r="J6" i="55" s="1"/>
  <c r="J81" i="55" s="1"/>
  <c r="U20" i="25"/>
  <c r="T11" i="25"/>
  <c r="T19" i="25" s="1"/>
  <c r="F69" i="55" l="1"/>
  <c r="F94" i="55"/>
  <c r="G94" i="55"/>
  <c r="G69" i="55"/>
  <c r="H19" i="55"/>
  <c r="T22" i="32"/>
  <c r="T23" i="32" s="1"/>
  <c r="H17" i="35" s="1"/>
  <c r="K19" i="55"/>
  <c r="W22" i="32"/>
  <c r="W23" i="32" s="1"/>
  <c r="K17" i="35" s="1"/>
  <c r="J94" i="55"/>
  <c r="J69" i="55"/>
  <c r="Z22" i="32"/>
  <c r="Z23" i="32" s="1"/>
  <c r="N17" i="35" s="1"/>
  <c r="N19" i="55"/>
  <c r="M5" i="35"/>
  <c r="N7" i="55" s="1"/>
  <c r="N82" i="55" s="1"/>
  <c r="Z27" i="20"/>
  <c r="H60" i="55"/>
  <c r="M57" i="55"/>
  <c r="J56" i="55"/>
  <c r="M55" i="55"/>
  <c r="M3" i="35"/>
  <c r="N5" i="55" s="1"/>
  <c r="N80" i="55" s="1"/>
  <c r="Y46" i="20"/>
  <c r="I9" i="35"/>
  <c r="J11" i="55" s="1"/>
  <c r="J86" i="55" s="1"/>
  <c r="V20" i="25"/>
  <c r="X12" i="25"/>
  <c r="W14" i="25"/>
  <c r="W13" i="25" s="1"/>
  <c r="T13" i="32"/>
  <c r="H8" i="35"/>
  <c r="I10" i="55" s="1"/>
  <c r="I85" i="55" s="1"/>
  <c r="S12" i="32"/>
  <c r="S51" i="32"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H94" i="55" l="1"/>
  <c r="H69" i="55"/>
  <c r="K94" i="55"/>
  <c r="K69" i="55"/>
  <c r="L19" i="55"/>
  <c r="X22" i="32"/>
  <c r="X23" i="32" s="1"/>
  <c r="L17" i="35" s="1"/>
  <c r="I19" i="55"/>
  <c r="N94" i="55"/>
  <c r="N69" i="55"/>
  <c r="O19" i="55"/>
  <c r="AA22" i="32"/>
  <c r="AA23" i="32" s="1"/>
  <c r="O17" i="35" s="1"/>
  <c r="N57" i="55"/>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I8" i="35"/>
  <c r="J10" i="55" s="1"/>
  <c r="J85" i="55" s="1"/>
  <c r="K4" i="35"/>
  <c r="L6" i="55" s="1"/>
  <c r="L81" i="55" s="1"/>
  <c r="T12" i="32"/>
  <c r="T51" i="32" s="1"/>
  <c r="C64" i="26"/>
  <c r="N35" i="26" s="1"/>
  <c r="E46" i="26"/>
  <c r="I94" i="55" l="1"/>
  <c r="I69" i="55"/>
  <c r="M19" i="55"/>
  <c r="L94" i="55"/>
  <c r="L69" i="55"/>
  <c r="O69" i="55"/>
  <c r="O94" i="55"/>
  <c r="P19" i="55"/>
  <c r="AB22" i="32"/>
  <c r="AB23" i="32" s="1"/>
  <c r="P17" i="35" s="1"/>
  <c r="O57" i="55"/>
  <c r="O82" i="55"/>
  <c r="AB27" i="20"/>
  <c r="O5" i="35"/>
  <c r="P7" i="55" s="1"/>
  <c r="Z12" i="25"/>
  <c r="Y14" i="25"/>
  <c r="K61" i="55"/>
  <c r="J60" i="55"/>
  <c r="L56" i="55"/>
  <c r="K8" i="35"/>
  <c r="L10" i="55" s="1"/>
  <c r="L85" i="55" s="1"/>
  <c r="V13" i="32"/>
  <c r="X20" i="25"/>
  <c r="K9" i="35"/>
  <c r="L11" i="55" s="1"/>
  <c r="L86" i="55" s="1"/>
  <c r="W13" i="32"/>
  <c r="Y13" i="25"/>
  <c r="L4" i="35"/>
  <c r="M6" i="55" s="1"/>
  <c r="M81" i="55" s="1"/>
  <c r="U12" i="32"/>
  <c r="U51" i="32" s="1"/>
  <c r="C49" i="26"/>
  <c r="C63" i="26"/>
  <c r="C52" i="26" s="1"/>
  <c r="Q35" i="26"/>
  <c r="M94" i="55" l="1"/>
  <c r="M69" i="55"/>
  <c r="Q19" i="55"/>
  <c r="AC22" i="32"/>
  <c r="AC23" i="32" s="1"/>
  <c r="Q17" i="35" s="1"/>
  <c r="P94" i="55"/>
  <c r="P69" i="55"/>
  <c r="P82" i="55"/>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1" i="32" s="1"/>
  <c r="V12" i="32"/>
  <c r="V51" i="32" s="1"/>
  <c r="E49" i="26"/>
  <c r="E44" i="26" s="1"/>
  <c r="C44" i="26"/>
  <c r="Q34" i="26"/>
  <c r="N34" i="26"/>
  <c r="R19" i="55" l="1"/>
  <c r="Q69" i="55"/>
  <c r="Q94" i="55"/>
  <c r="Q57" i="55"/>
  <c r="Q82" i="55"/>
  <c r="Q5" i="35"/>
  <c r="R7" i="55" s="1"/>
  <c r="Z11" i="25"/>
  <c r="Z19" i="25" s="1"/>
  <c r="N8" i="35" s="1"/>
  <c r="O10" i="55" s="1"/>
  <c r="AB12" i="25"/>
  <c r="AA14" i="25"/>
  <c r="AA13" i="25" s="1"/>
  <c r="AA20" i="25"/>
  <c r="O9" i="35" s="1"/>
  <c r="P11" i="55" s="1"/>
  <c r="N9" i="35"/>
  <c r="O11" i="55" s="1"/>
  <c r="K60" i="55"/>
  <c r="M61" i="55"/>
  <c r="N56" i="55"/>
  <c r="L8" i="35"/>
  <c r="M10" i="55" s="1"/>
  <c r="M85" i="55" s="1"/>
  <c r="AD34" i="26"/>
  <c r="M9" i="35"/>
  <c r="N11" i="55" s="1"/>
  <c r="N86" i="55" s="1"/>
  <c r="Y11" i="25"/>
  <c r="Y19" i="25" s="1"/>
  <c r="R94" i="55" l="1"/>
  <c r="R69" i="55"/>
  <c r="Z13" i="32"/>
  <c r="O60" i="55"/>
  <c r="O85" i="55"/>
  <c r="P86" i="55"/>
  <c r="P61" i="55"/>
  <c r="R82" i="55"/>
  <c r="R57" i="55"/>
  <c r="O61" i="55"/>
  <c r="O86" i="55"/>
  <c r="Z12" i="32"/>
  <c r="Z51" i="32" s="1"/>
  <c r="AB20" i="25"/>
  <c r="P9" i="35" s="1"/>
  <c r="Q11" i="55" s="1"/>
  <c r="AA11" i="25"/>
  <c r="AA19" i="25" s="1"/>
  <c r="AB14" i="25"/>
  <c r="AB13" i="25" s="1"/>
  <c r="AC12" i="25"/>
  <c r="N61" i="55"/>
  <c r="M60" i="55"/>
  <c r="N79" i="26"/>
  <c r="N74" i="26" s="1"/>
  <c r="M8" i="35"/>
  <c r="N10" i="55" s="1"/>
  <c r="N85" i="55" s="1"/>
  <c r="X13" i="32"/>
  <c r="Y13" i="32"/>
  <c r="X12" i="32" l="1"/>
  <c r="X51" i="32" s="1"/>
  <c r="AB11" i="25"/>
  <c r="AB19" i="25" s="1"/>
  <c r="P8" i="35" s="1"/>
  <c r="Q10" i="55" s="1"/>
  <c r="Q60" i="55" s="1"/>
  <c r="Q61" i="55"/>
  <c r="Q86" i="55"/>
  <c r="G2" i="50"/>
  <c r="AA13" i="32"/>
  <c r="O8" i="35"/>
  <c r="P10" i="55" s="1"/>
  <c r="AC14" i="25"/>
  <c r="AC13" i="25" s="1"/>
  <c r="AC20" i="25"/>
  <c r="Q9" i="35" s="1"/>
  <c r="R11" i="55" s="1"/>
  <c r="N60" i="55"/>
  <c r="N47" i="20"/>
  <c r="N48" i="20" s="1"/>
  <c r="O74" i="26"/>
  <c r="H2" i="50" s="1"/>
  <c r="P20" i="26"/>
  <c r="P11" i="26" s="1"/>
  <c r="Y12" i="32"/>
  <c r="AB13" i="32" l="1"/>
  <c r="Q85" i="55"/>
  <c r="AA12" i="32"/>
  <c r="AA51" i="32" s="1"/>
  <c r="R86" i="55"/>
  <c r="R61" i="55"/>
  <c r="P85" i="55"/>
  <c r="P60" i="55"/>
  <c r="AC11" i="25"/>
  <c r="AC19" i="25" s="1"/>
  <c r="Q8" i="35" s="1"/>
  <c r="R10" i="55" s="1"/>
  <c r="P79" i="26"/>
  <c r="P74" i="26" s="1"/>
  <c r="Q20" i="26"/>
  <c r="C2" i="35"/>
  <c r="D4" i="55" s="1"/>
  <c r="D79" i="55" s="1"/>
  <c r="O47" i="20"/>
  <c r="O48" i="20" s="1"/>
  <c r="O28" i="20" s="1"/>
  <c r="N28" i="20"/>
  <c r="N29" i="20" s="1"/>
  <c r="AU61" i="20"/>
  <c r="AU60" i="20"/>
  <c r="AU62" i="20"/>
  <c r="N14" i="20"/>
  <c r="Y51" i="32"/>
  <c r="AB12" i="32" l="1"/>
  <c r="AB51" i="32" s="1"/>
  <c r="R85" i="55"/>
  <c r="R60" i="55"/>
  <c r="AC13" i="32"/>
  <c r="AV60" i="20"/>
  <c r="O29" i="20"/>
  <c r="AV62" i="20"/>
  <c r="AV61" i="20"/>
  <c r="O14" i="20"/>
  <c r="D54" i="55"/>
  <c r="R20" i="26"/>
  <c r="Q79" i="26"/>
  <c r="Q74" i="26" s="1"/>
  <c r="D2" i="35"/>
  <c r="E4" i="55" s="1"/>
  <c r="E79" i="55" s="1"/>
  <c r="P47" i="20"/>
  <c r="P48" i="20" s="1"/>
  <c r="H12" i="30"/>
  <c r="AC12" i="32" l="1"/>
  <c r="AC51" i="32" s="1"/>
  <c r="J26" i="49"/>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1" i="32"/>
  <c r="J32" i="32" s="1"/>
  <c r="P30" i="32" l="1"/>
  <c r="D11" i="35"/>
  <c r="E13" i="55" s="1"/>
  <c r="E88" i="55" s="1"/>
  <c r="L26" i="49"/>
  <c r="L27" i="49" s="1"/>
  <c r="AY62" i="20"/>
  <c r="AY60" i="20"/>
  <c r="AY61" i="20"/>
  <c r="R28" i="20"/>
  <c r="R29" i="20" s="1"/>
  <c r="R14" i="20"/>
  <c r="T79" i="26"/>
  <c r="T74" i="26" s="1"/>
  <c r="U20" i="26"/>
  <c r="T11" i="26"/>
  <c r="G54" i="55"/>
  <c r="S47" i="20"/>
  <c r="S48" i="20" s="1"/>
  <c r="G2" i="35"/>
  <c r="H4" i="55" s="1"/>
  <c r="H79" i="55" s="1"/>
  <c r="L31" i="32"/>
  <c r="K31" i="32"/>
  <c r="K32" i="32" s="1"/>
  <c r="M25" i="49"/>
  <c r="P10" i="26" l="1"/>
  <c r="P9" i="26" s="1"/>
  <c r="D10" i="35"/>
  <c r="E12" i="55" s="1"/>
  <c r="E87" i="55" s="1"/>
  <c r="Q30" i="32"/>
  <c r="E11" i="35"/>
  <c r="N25" i="49"/>
  <c r="O25" i="49" s="1"/>
  <c r="E63" i="55"/>
  <c r="U79" i="26"/>
  <c r="U74" i="26" s="1"/>
  <c r="U11" i="26"/>
  <c r="V20" i="26"/>
  <c r="AZ60" i="20"/>
  <c r="AZ62" i="20"/>
  <c r="AZ61" i="20"/>
  <c r="S28" i="20"/>
  <c r="S29" i="20" s="1"/>
  <c r="S14" i="20"/>
  <c r="H2" i="35"/>
  <c r="I4" i="55" s="1"/>
  <c r="I79" i="55" s="1"/>
  <c r="T47" i="20"/>
  <c r="T48" i="20" s="1"/>
  <c r="H54" i="55"/>
  <c r="L32" i="32"/>
  <c r="M31" i="32"/>
  <c r="M32" i="32" s="1"/>
  <c r="J27" i="49"/>
  <c r="C10" i="35"/>
  <c r="D13" i="55"/>
  <c r="D88" i="55" s="1"/>
  <c r="N31" i="32"/>
  <c r="E62" i="55" l="1"/>
  <c r="G44" i="49"/>
  <c r="S12" i="49" s="1"/>
  <c r="O26" i="49" s="1"/>
  <c r="S30" i="32"/>
  <c r="G11" i="35"/>
  <c r="R30" i="32"/>
  <c r="F11" i="35"/>
  <c r="D63" i="55"/>
  <c r="V79" i="26"/>
  <c r="V74" i="26" s="1"/>
  <c r="V11" i="26"/>
  <c r="W20" i="26"/>
  <c r="BA60" i="20"/>
  <c r="T28" i="20"/>
  <c r="T29" i="20" s="1"/>
  <c r="BA61" i="20"/>
  <c r="BA62" i="20"/>
  <c r="T14" i="20"/>
  <c r="I54" i="55"/>
  <c r="U47" i="20"/>
  <c r="U48" i="20" s="1"/>
  <c r="I2" i="35"/>
  <c r="J4" i="55" s="1"/>
  <c r="J79" i="55" s="1"/>
  <c r="D12" i="55"/>
  <c r="D87" i="55" s="1"/>
  <c r="K27" i="49"/>
  <c r="P25" i="49"/>
  <c r="C18" i="35"/>
  <c r="N32" i="32"/>
  <c r="Q12" i="49" l="1"/>
  <c r="M26" i="49" s="1"/>
  <c r="T30" i="32"/>
  <c r="H11" i="35"/>
  <c r="D62" i="55"/>
  <c r="J54" i="55"/>
  <c r="W79" i="26"/>
  <c r="W74" i="26" s="1"/>
  <c r="X20" i="26"/>
  <c r="W11" i="26"/>
  <c r="U28" i="20"/>
  <c r="U29" i="20" s="1"/>
  <c r="BB61" i="20"/>
  <c r="BB60" i="20"/>
  <c r="BB62" i="20"/>
  <c r="U14" i="20"/>
  <c r="J2" i="35"/>
  <c r="K4" i="55" s="1"/>
  <c r="K79" i="55" s="1"/>
  <c r="V47" i="20"/>
  <c r="V48" i="20" s="1"/>
  <c r="H13" i="55"/>
  <c r="H88" i="55" s="1"/>
  <c r="D20" i="55"/>
  <c r="D95" i="55" s="1"/>
  <c r="P31" i="32"/>
  <c r="O32" i="32"/>
  <c r="Q25" i="49"/>
  <c r="R12" i="49" l="1"/>
  <c r="N26" i="49" s="1"/>
  <c r="U30" i="32"/>
  <c r="I11" i="35"/>
  <c r="H63" i="55"/>
  <c r="D70" i="55"/>
  <c r="K54" i="55"/>
  <c r="X79" i="26"/>
  <c r="X74" i="26" s="1"/>
  <c r="X11" i="26"/>
  <c r="Y20" i="26"/>
  <c r="Z20" i="26" s="1"/>
  <c r="V28" i="20"/>
  <c r="V29" i="20" s="1"/>
  <c r="V14" i="20"/>
  <c r="K2" i="35"/>
  <c r="L4" i="55" s="1"/>
  <c r="L79" i="55" s="1"/>
  <c r="W47" i="20"/>
  <c r="W48" i="20" s="1"/>
  <c r="R25" i="49"/>
  <c r="Q31" i="32"/>
  <c r="D18" i="35"/>
  <c r="E20" i="55" s="1"/>
  <c r="E95" i="55" s="1"/>
  <c r="P32" i="32"/>
  <c r="F13" i="55"/>
  <c r="F88" i="55" s="1"/>
  <c r="P29" i="32"/>
  <c r="G10" i="35"/>
  <c r="H12" i="55" s="1"/>
  <c r="H87" i="55" s="1"/>
  <c r="S10" i="26"/>
  <c r="S9" i="26" s="1"/>
  <c r="O27" i="49"/>
  <c r="G13" i="55"/>
  <c r="G88" i="55" s="1"/>
  <c r="V30"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9" i="32"/>
  <c r="Q32" i="32"/>
  <c r="E18" i="35"/>
  <c r="F20" i="55" s="1"/>
  <c r="F95" i="55" s="1"/>
  <c r="R31" i="32"/>
  <c r="R10" i="26"/>
  <c r="R9" i="26" s="1"/>
  <c r="F10" i="35"/>
  <c r="G12" i="55" s="1"/>
  <c r="G87" i="55" s="1"/>
  <c r="N27" i="49"/>
  <c r="W30" i="32" l="1"/>
  <c r="K11" i="35"/>
  <c r="N2" i="35"/>
  <c r="O4" i="55" s="1"/>
  <c r="Z47" i="20"/>
  <c r="Z48" i="20" s="1"/>
  <c r="AB20" i="26"/>
  <c r="AA79" i="26"/>
  <c r="AA74" i="26" s="1"/>
  <c r="AA11" i="26"/>
  <c r="F70" i="55"/>
  <c r="G62" i="55"/>
  <c r="F62" i="55"/>
  <c r="M54" i="55"/>
  <c r="X28" i="20"/>
  <c r="X29" i="20" s="1"/>
  <c r="X14" i="20"/>
  <c r="Y47" i="20"/>
  <c r="Y48" i="20" s="1"/>
  <c r="M2" i="35"/>
  <c r="N4" i="55" s="1"/>
  <c r="N79" i="55" s="1"/>
  <c r="F18" i="35"/>
  <c r="G20" i="55" s="1"/>
  <c r="G95" i="55" s="1"/>
  <c r="R32" i="32"/>
  <c r="S31" i="32"/>
  <c r="T25" i="49"/>
  <c r="H44" i="49"/>
  <c r="R29" i="32"/>
  <c r="O54" i="55" l="1"/>
  <c r="O79" i="55"/>
  <c r="X30" i="32"/>
  <c r="L11" i="35"/>
  <c r="T12" i="49"/>
  <c r="P26" i="49" s="1"/>
  <c r="O2" i="35"/>
  <c r="P4" i="55" s="1"/>
  <c r="AA47" i="20"/>
  <c r="AA48" i="20" s="1"/>
  <c r="AC20" i="26"/>
  <c r="AB79" i="26"/>
  <c r="AB74" i="26" s="1"/>
  <c r="AB11" i="26"/>
  <c r="Z14" i="20"/>
  <c r="Z28" i="20"/>
  <c r="G70" i="55"/>
  <c r="N54" i="55"/>
  <c r="Y28" i="20"/>
  <c r="Y29" i="20" s="1"/>
  <c r="Y14" i="20"/>
  <c r="S29" i="32"/>
  <c r="G18" i="35"/>
  <c r="H20" i="55" s="1"/>
  <c r="H95" i="55" s="1"/>
  <c r="S32" i="32"/>
  <c r="T31" i="32"/>
  <c r="U25" i="49"/>
  <c r="I44" i="49"/>
  <c r="P54" i="55" l="1"/>
  <c r="P79" i="55"/>
  <c r="Z29" i="20"/>
  <c r="Y30" i="32"/>
  <c r="M11" i="35"/>
  <c r="U12" i="49"/>
  <c r="Q26" i="49" s="1"/>
  <c r="V25" i="49"/>
  <c r="P2" i="35"/>
  <c r="Q4" i="55" s="1"/>
  <c r="AB47" i="20"/>
  <c r="AB48" i="20" s="1"/>
  <c r="AC79" i="26"/>
  <c r="AC74" i="26" s="1"/>
  <c r="AC11" i="26"/>
  <c r="AA14" i="20"/>
  <c r="AA28" i="20"/>
  <c r="H70" i="55"/>
  <c r="T29" i="32"/>
  <c r="U31" i="32"/>
  <c r="T32" i="32"/>
  <c r="H18" i="35"/>
  <c r="I20" i="55" s="1"/>
  <c r="I95" i="55" s="1"/>
  <c r="I13" i="55"/>
  <c r="I88" i="55" s="1"/>
  <c r="V12" i="49" l="1"/>
  <c r="R26" i="49" s="1"/>
  <c r="Q54" i="55"/>
  <c r="Q79" i="55"/>
  <c r="Z30" i="32"/>
  <c r="N11" i="35"/>
  <c r="W25" i="49"/>
  <c r="X25" i="49" s="1"/>
  <c r="Q2" i="35"/>
  <c r="R4" i="55" s="1"/>
  <c r="AC47" i="20"/>
  <c r="AC48" i="20" s="1"/>
  <c r="AB14" i="20"/>
  <c r="AB28" i="20"/>
  <c r="I70" i="55"/>
  <c r="I63" i="55"/>
  <c r="H10" i="35"/>
  <c r="I12" i="55" s="1"/>
  <c r="I87" i="55" s="1"/>
  <c r="T10" i="26"/>
  <c r="T9" i="26" s="1"/>
  <c r="P27" i="49"/>
  <c r="U32" i="32"/>
  <c r="I18" i="35"/>
  <c r="J20" i="55" s="1"/>
  <c r="J95" i="55" s="1"/>
  <c r="V31" i="32"/>
  <c r="U29" i="32"/>
  <c r="W12" i="49"/>
  <c r="S26" i="49" s="1"/>
  <c r="J13" i="55"/>
  <c r="J88" i="55" s="1"/>
  <c r="AB30" i="32" l="1"/>
  <c r="P11" i="35"/>
  <c r="Q13" i="55" s="1"/>
  <c r="R79" i="55"/>
  <c r="R54" i="55"/>
  <c r="AA30" i="32"/>
  <c r="O11" i="35"/>
  <c r="P13" i="55" s="1"/>
  <c r="AC14" i="20"/>
  <c r="AC28" i="20"/>
  <c r="Y25" i="49"/>
  <c r="I62" i="55"/>
  <c r="J63" i="55"/>
  <c r="J70" i="55"/>
  <c r="J18" i="35"/>
  <c r="K20" i="55" s="1"/>
  <c r="K95" i="55" s="1"/>
  <c r="V32" i="32"/>
  <c r="V29" i="32"/>
  <c r="W31" i="32"/>
  <c r="I10" i="35"/>
  <c r="J12" i="55" s="1"/>
  <c r="J87" i="55" s="1"/>
  <c r="U10" i="26"/>
  <c r="U9" i="26" s="1"/>
  <c r="Q27" i="49"/>
  <c r="K13" i="55"/>
  <c r="K88" i="55" s="1"/>
  <c r="X12" i="49"/>
  <c r="T26" i="49" s="1"/>
  <c r="Q63" i="55" l="1"/>
  <c r="Q88" i="55"/>
  <c r="P88" i="55"/>
  <c r="P63" i="55"/>
  <c r="AC30" i="32"/>
  <c r="Q11" i="35"/>
  <c r="R13" i="55" s="1"/>
  <c r="K70" i="55"/>
  <c r="J62" i="55"/>
  <c r="K63" i="55"/>
  <c r="Y12" i="49"/>
  <c r="U26" i="49" s="1"/>
  <c r="L13" i="55"/>
  <c r="L88" i="55" s="1"/>
  <c r="J10" i="35"/>
  <c r="K12" i="55" s="1"/>
  <c r="K87" i="55" s="1"/>
  <c r="V10" i="26"/>
  <c r="V9" i="26" s="1"/>
  <c r="R27" i="49"/>
  <c r="X31" i="32"/>
  <c r="W29" i="32"/>
  <c r="K18" i="35"/>
  <c r="L20" i="55" s="1"/>
  <c r="L95" i="55" s="1"/>
  <c r="W32" i="32"/>
  <c r="R88" i="55" l="1"/>
  <c r="R63" i="55"/>
  <c r="Z12" i="49"/>
  <c r="V26" i="49" s="1"/>
  <c r="K62" i="55"/>
  <c r="L70" i="55"/>
  <c r="L63" i="55"/>
  <c r="X32" i="32"/>
  <c r="X29" i="32"/>
  <c r="Y31" i="32"/>
  <c r="Z31" i="32" s="1"/>
  <c r="L18" i="35"/>
  <c r="M20" i="55" s="1"/>
  <c r="M95" i="55" s="1"/>
  <c r="M13" i="55"/>
  <c r="M88" i="55" s="1"/>
  <c r="K10" i="35"/>
  <c r="L12" i="55" s="1"/>
  <c r="L87" i="55" s="1"/>
  <c r="W10" i="26"/>
  <c r="W9" i="26" s="1"/>
  <c r="S27" i="49"/>
  <c r="N13" i="55"/>
  <c r="N88" i="55" s="1"/>
  <c r="AA12" i="49" l="1"/>
  <c r="W26" i="49" s="1"/>
  <c r="AA31" i="32"/>
  <c r="N18" i="35"/>
  <c r="O20" i="55" s="1"/>
  <c r="Z32" i="32"/>
  <c r="Z29" i="32"/>
  <c r="L62" i="55"/>
  <c r="M63" i="55"/>
  <c r="M70" i="55"/>
  <c r="N63" i="55"/>
  <c r="Y10" i="26"/>
  <c r="Y9" i="26" s="1"/>
  <c r="M10" i="35"/>
  <c r="N12" i="55" s="1"/>
  <c r="N87" i="55" s="1"/>
  <c r="U27" i="49"/>
  <c r="X10" i="26"/>
  <c r="X9" i="26" s="1"/>
  <c r="L10" i="35"/>
  <c r="M12" i="55" s="1"/>
  <c r="M87" i="55" s="1"/>
  <c r="T27" i="49"/>
  <c r="M18" i="35"/>
  <c r="N20" i="55" s="1"/>
  <c r="N95" i="55" s="1"/>
  <c r="Y29" i="32"/>
  <c r="Y32" i="32"/>
  <c r="O9" i="48"/>
  <c r="N9" i="48"/>
  <c r="O95" i="55" l="1"/>
  <c r="O70" i="55"/>
  <c r="C19" i="35"/>
  <c r="D21" i="55" s="1"/>
  <c r="D96" i="55" s="1"/>
  <c r="AA32" i="32"/>
  <c r="O18" i="35"/>
  <c r="P20" i="55" s="1"/>
  <c r="AA29" i="32"/>
  <c r="AB31" i="32"/>
  <c r="AB12" i="49"/>
  <c r="X26" i="49" s="1"/>
  <c r="O13" i="55"/>
  <c r="N70" i="55"/>
  <c r="M62" i="55"/>
  <c r="N62" i="55"/>
  <c r="P95" i="55" l="1"/>
  <c r="P70" i="55"/>
  <c r="O63" i="55"/>
  <c r="O88" i="55"/>
  <c r="D71" i="55"/>
  <c r="Z10" i="26"/>
  <c r="Z9" i="26" s="1"/>
  <c r="N10" i="35"/>
  <c r="O12" i="55" s="1"/>
  <c r="V27" i="49"/>
  <c r="AB29" i="32"/>
  <c r="AC31" i="32"/>
  <c r="AB32" i="32"/>
  <c r="P18" i="35"/>
  <c r="Q20" i="55" s="1"/>
  <c r="AC12" i="49"/>
  <c r="Y26" i="49" s="1"/>
  <c r="P9" i="48"/>
  <c r="D19" i="35" s="1"/>
  <c r="E21" i="55" s="1"/>
  <c r="E96" i="55" s="1"/>
  <c r="O87" i="55" l="1"/>
  <c r="O62" i="55"/>
  <c r="Q70" i="55"/>
  <c r="Q95" i="55"/>
  <c r="O10" i="35"/>
  <c r="P12" i="55" s="1"/>
  <c r="AA10" i="26"/>
  <c r="AA9" i="26" s="1"/>
  <c r="W27" i="49"/>
  <c r="Q18" i="35"/>
  <c r="R20" i="55" s="1"/>
  <c r="AC32" i="32"/>
  <c r="AC29"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1" i="32"/>
  <c r="N52" i="32" s="1"/>
  <c r="N55" i="32" s="1"/>
  <c r="N21" i="32" s="1"/>
  <c r="N22" i="32" s="1"/>
  <c r="N23" i="32" s="1"/>
  <c r="G3" i="50" l="1"/>
  <c r="Z9" i="48"/>
  <c r="N19" i="35" s="1"/>
  <c r="O21" i="55" s="1"/>
  <c r="M71" i="55"/>
  <c r="N71" i="55"/>
  <c r="O96" i="55" l="1"/>
  <c r="O71" i="55"/>
  <c r="AA9" i="48"/>
  <c r="O19" i="35" s="1"/>
  <c r="P21" i="55" s="1"/>
  <c r="P71" i="55" l="1"/>
  <c r="P96" i="55"/>
  <c r="AC9" i="48"/>
  <c r="Q19" i="35" s="1"/>
  <c r="R21" i="55" s="1"/>
  <c r="AB9" i="48"/>
  <c r="P19" i="35" s="1"/>
  <c r="Q21" i="55" s="1"/>
  <c r="Q96" i="55" l="1"/>
  <c r="Q71" i="55"/>
  <c r="R71" i="55"/>
  <c r="R96" i="55"/>
  <c r="F3" i="46"/>
  <c r="G3" i="46" s="1"/>
  <c r="O17" i="32"/>
  <c r="O13" i="30"/>
  <c r="O51" i="32" l="1"/>
  <c r="O52" i="32"/>
  <c r="Q11" i="26"/>
  <c r="Q9" i="26" s="1"/>
  <c r="AD19" i="26"/>
  <c r="C6" i="35"/>
  <c r="D8" i="55" s="1"/>
  <c r="O55" i="32" l="1"/>
  <c r="O21" i="32" s="1"/>
  <c r="O22" i="32" s="1"/>
  <c r="D58" i="55"/>
  <c r="D83" i="55"/>
  <c r="O23" i="32" l="1"/>
  <c r="P22" i="32"/>
  <c r="P12" i="32"/>
  <c r="P51" i="32" s="1"/>
  <c r="P23" i="32" l="1"/>
  <c r="D17" i="35" s="1"/>
  <c r="E19" i="55" s="1"/>
  <c r="C17" i="35"/>
  <c r="D19" i="55" s="1"/>
  <c r="H3" i="50"/>
  <c r="E69" i="55" l="1"/>
  <c r="E94" i="55"/>
  <c r="D69" i="55"/>
  <c r="D9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tc={EA06F32F-3951-456D-98D7-81A12B3302CE}</author>
    <author>tc={22FE88C0-7530-4D3F-B3ED-C2CE0416DFFC}</author>
  </authors>
  <commentList>
    <comment ref="P22" authorId="0" shapeId="0" xr:uid="{EA06F32F-3951-456D-98D7-81A12B3302CE}">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23" authorId="1" shapeId="0" xr:uid="{22FE88C0-7530-4D3F-B3ED-C2CE0416DFFC}">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tc={496DD5E6-92DB-4241-8194-44008C5D0136}</author>
    <author>tc={24753AED-CAC4-444D-81F9-11531D47EC3F}</author>
    <author>tc={D7348167-3C82-468E-B4C0-6427D8E833D4}</author>
    <author>tc={6EED6AD3-62EA-4002-BA5A-3406F4C9F84C}</author>
    <author>Louise Sheiner</author>
  </authors>
  <commentList>
    <comment ref="P19" authorId="0" shapeId="0" xr:uid="{496DD5E6-92DB-4241-8194-44008C5D0136}">
      <text>
        <t>[Threaded comment]
Your version of Excel allows you to read this threaded comment; however, any edits to it will get removed if the file is opened in a newer version of Excel. Learn more: https://go.microsoft.com/fwlink/?linkid=870924
Comment:
    45*4 is from the ARP score for the tax credit (with the rest spread out the next two quarters), and the underlying 34 is the tax credit from before ARP</t>
      </text>
    </comment>
    <comment ref="B36" authorId="1"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3" authorId="2"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3" authorId="3"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8" authorId="4" shapeId="0" xr:uid="{9CBA1D03-E066-4587-9010-F41DF0498D19}">
      <text>
        <r>
          <rPr>
            <b/>
            <sz val="9"/>
            <color indexed="81"/>
            <rFont val="Tahoma"/>
            <family val="2"/>
          </rPr>
          <t>Louise Sheiner
:</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tc={01E3D69A-721A-43D9-9622-0CD59E405BE4}</author>
    <author>tc={A0A0B73F-2B54-44E7-A4D7-58E3FBB08857}</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s>
  <commentList>
    <comment ref="O13" authorId="0" shapeId="0" xr:uid="{01E3D69A-721A-43D9-9622-0CD59E405BE4}">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O20" authorId="1" shapeId="0" xr:uid="{A0A0B73F-2B54-44E7-A4D7-58E3FBB08857}">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D24" authorId="2"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3"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4"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5"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6"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7"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8"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9"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10"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11"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2"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3"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List>
</comments>
</file>

<file path=xl/sharedStrings.xml><?xml version="1.0" encoding="utf-8"?>
<sst xmlns="http://schemas.openxmlformats.org/spreadsheetml/2006/main" count="2557" uniqueCount="1257">
  <si>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</si>
  <si>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</si>
  <si>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</si>
  <si>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</si>
  <si>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</si>
  <si>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</si>
  <si>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</si>
  <si>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</si>
  <si>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</si>
  <si>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</si>
  <si>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</si>
  <si>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</si>
  <si>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</si>
  <si>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</si>
  <si>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</si>
  <si>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</si>
  <si>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</si>
  <si>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</si>
  <si>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</si>
  <si>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</si>
  <si>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</si>
  <si>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</si>
  <si>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</si>
  <si>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</si>
  <si>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</si>
  <si>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</si>
  <si>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</si>
  <si>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</si>
  <si>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</si>
  <si>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</si>
  <si>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</si>
  <si>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</si>
  <si>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</si>
  <si>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</si>
  <si>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</si>
  <si>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</si>
  <si>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</si>
  <si>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</si>
  <si>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</si>
  <si>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</si>
  <si>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</si>
  <si>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</si>
  <si>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</si>
  <si>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</si>
  <si>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</si>
  <si>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</si>
  <si>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</si>
  <si>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</si>
  <si>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</si>
  <si>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</si>
  <si>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</si>
  <si>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</si>
  <si>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</si>
  <si>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</si>
  <si>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</si>
  <si>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</si>
  <si>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</si>
  <si>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</si>
  <si>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</si>
  <si>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</si>
  <si>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</si>
  <si>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</si>
  <si>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</si>
  <si>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</si>
  <si>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</si>
  <si>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</si>
  <si>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</si>
  <si>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Checking our forecasts of the components of the FIM:</t>
  </si>
  <si>
    <t>What do we need to discuss? Any changes to take note of in the next update?</t>
  </si>
  <si>
    <t>Provider Relief</t>
  </si>
  <si>
    <t>PPP</t>
  </si>
  <si>
    <t>Grants</t>
  </si>
  <si>
    <t>Federal and State Purchases</t>
  </si>
  <si>
    <t>Subsidies</t>
  </si>
  <si>
    <t>Unemployment Insurance</t>
  </si>
  <si>
    <t>Medicaid</t>
  </si>
  <si>
    <t>Medicare</t>
  </si>
  <si>
    <t>Rebate Checks</t>
  </si>
  <si>
    <t>Social Benefits</t>
  </si>
  <si>
    <t>Taxes</t>
  </si>
  <si>
    <t>MPCs</t>
  </si>
  <si>
    <t>ASK IF WE WANT TO KEEP THESE. I THINK BETTER TO ADJUST THESE IN THE CODE/we'll need to adjust the reference sheets if we change them, this has the potential to get out of date.</t>
  </si>
  <si>
    <t>Deflators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</si>
  <si>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</si>
  <si>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</si>
  <si>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</si>
  <si>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</si>
  <si>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</si>
  <si>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</si>
  <si>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</si>
  <si>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</si>
  <si>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</si>
  <si>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</si>
  <si>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</si>
  <si>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</si>
  <si>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</si>
  <si>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</si>
  <si>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</si>
  <si>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</si>
  <si>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</si>
  <si>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</si>
  <si>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</si>
  <si>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</si>
  <si>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</si>
  <si>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</si>
  <si>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</si>
  <si>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</si>
  <si>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</si>
  <si>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</si>
  <si>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</si>
  <si>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</si>
  <si>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</si>
  <si>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</si>
  <si>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</si>
  <si>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</si>
  <si>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</si>
  <si>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</si>
  <si>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</si>
  <si>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</si>
  <si>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</si>
  <si>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</si>
  <si>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</si>
  <si>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</si>
  <si>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</si>
  <si>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</si>
  <si>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</si>
  <si>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</si>
  <si>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</si>
  <si>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</si>
  <si>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</si>
  <si>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</si>
  <si>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</si>
  <si>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</si>
  <si>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</si>
  <si>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</si>
  <si>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</si>
  <si>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</si>
  <si>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</si>
  <si>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</si>
  <si>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</si>
  <si>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</si>
  <si>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</si>
  <si>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</si>
  <si>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</si>
  <si>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</si>
  <si>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</si>
  <si>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</si>
  <si>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</si>
  <si>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</si>
  <si>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</si>
  <si>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</si>
  <si>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</si>
  <si>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</si>
  <si>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</si>
  <si>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</si>
  <si>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</si>
  <si>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</si>
  <si>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</si>
  <si>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</si>
  <si>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</si>
  <si>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</si>
  <si>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</si>
  <si>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</si>
  <si>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</si>
  <si>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</si>
  <si>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</si>
  <si>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</si>
  <si>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</si>
  <si>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</si>
  <si>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</si>
  <si>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</si>
  <si>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</si>
  <si>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</si>
  <si>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</si>
  <si>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</si>
  <si>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</si>
  <si>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</si>
  <si>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</si>
  <si>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</si>
  <si>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</si>
  <si>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</si>
  <si>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</si>
  <si>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</si>
  <si>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</si>
  <si>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</si>
  <si>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</si>
  <si>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</si>
  <si>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</si>
  <si>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</si>
  <si>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</si>
  <si>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</si>
  <si>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</si>
  <si>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</si>
  <si>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</si>
  <si>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</si>
  <si>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</si>
  <si>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</si>
  <si>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</si>
  <si>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</si>
  <si>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</si>
  <si>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</si>
  <si>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</si>
  <si>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</si>
  <si>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</si>
  <si>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</si>
  <si>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</si>
  <si>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</si>
  <si>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</si>
  <si>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</si>
  <si>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</si>
  <si>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</si>
  <si>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</si>
  <si>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</si>
  <si>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</si>
  <si>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</si>
  <si>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</si>
  <si>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</si>
  <si>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</si>
  <si>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</si>
  <si>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</si>
  <si>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</si>
  <si>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</si>
  <si>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</si>
  <si>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</si>
  <si>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</si>
  <si>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</si>
  <si>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</si>
  <si>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</si>
  <si>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</si>
  <si>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</si>
  <si>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</si>
  <si>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</si>
  <si>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</si>
  <si>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</si>
  <si>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</si>
  <si>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</si>
  <si>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</si>
  <si>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</si>
  <si>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</si>
  <si>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</si>
  <si>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</si>
  <si>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</si>
  <si>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</si>
  <si>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</si>
  <si>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</si>
  <si>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</si>
  <si>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</si>
  <si>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</si>
  <si>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</si>
  <si>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</si>
  <si>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</si>
  <si>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</si>
  <si>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</si>
  <si>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</si>
  <si>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</si>
  <si>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</si>
  <si>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</si>
  <si>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</si>
  <si>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</si>
  <si>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</si>
  <si>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</si>
  <si>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</si>
  <si>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</si>
  <si>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</si>
  <si>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</si>
  <si>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</si>
  <si>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</si>
  <si>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</si>
  <si>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</si>
  <si>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</si>
  <si>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</si>
  <si>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</si>
  <si>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</si>
  <si>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</si>
  <si>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</si>
  <si>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</si>
  <si>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</si>
  <si>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</si>
  <si>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</si>
  <si>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</si>
  <si>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</si>
  <si>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</si>
  <si>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</si>
  <si>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</si>
  <si>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</si>
  <si>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</si>
  <si>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</si>
  <si>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</si>
  <si>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</si>
  <si>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</si>
  <si>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</si>
  <si>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</si>
  <si>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</si>
  <si>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</si>
  <si>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</si>
  <si>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</si>
  <si>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</si>
  <si>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</si>
  <si>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</si>
  <si>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</si>
  <si>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</si>
  <si>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</si>
  <si>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</si>
  <si>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</si>
  <si>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</si>
  <si>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</si>
  <si>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</si>
  <si>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</si>
  <si>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</si>
  <si>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</si>
  <si>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</si>
  <si>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</si>
  <si>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</si>
  <si>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</si>
  <si>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</si>
  <si>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</si>
  <si>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</si>
  <si>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</si>
  <si>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</si>
  <si>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</si>
  <si>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</si>
  <si>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</si>
  <si>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</si>
  <si>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</si>
  <si>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</si>
  <si>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</si>
  <si>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</si>
  <si>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</si>
  <si>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</si>
  <si>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</si>
  <si>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</si>
  <si>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</si>
  <si>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</si>
  <si>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</si>
  <si>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</si>
  <si>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</si>
  <si>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</si>
  <si>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</si>
  <si>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</si>
  <si>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</si>
  <si>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</si>
  <si>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</si>
  <si>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</si>
  <si>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</si>
  <si>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</si>
  <si>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</si>
  <si>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</si>
  <si>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</si>
  <si>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</si>
  <si>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</si>
  <si>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</si>
  <si>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</si>
  <si>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</si>
  <si>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</si>
  <si>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</si>
  <si>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</si>
  <si>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</si>
  <si>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</si>
  <si>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</si>
  <si>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</si>
  <si>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</si>
  <si>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</si>
  <si>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</si>
  <si>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</si>
  <si>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</si>
  <si>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</si>
  <si>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</si>
  <si>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</si>
  <si>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</si>
  <si>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</si>
  <si>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</si>
  <si>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</si>
  <si>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</si>
  <si>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</si>
  <si>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</si>
  <si>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</si>
  <si>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</si>
  <si>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</si>
  <si>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</si>
  <si>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</si>
  <si>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</si>
  <si>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</si>
  <si>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</si>
  <si>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</si>
  <si>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</si>
  <si>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</si>
  <si>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</si>
  <si>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</si>
  <si>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</si>
  <si>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</si>
  <si>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</si>
  <si>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</si>
  <si>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</si>
  <si>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</si>
  <si>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</si>
  <si>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</si>
  <si>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</si>
  <si>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</si>
  <si>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</si>
  <si>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</si>
  <si>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</si>
  <si>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</si>
  <si>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</si>
  <si>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</si>
  <si>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</si>
  <si>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</si>
  <si>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</si>
  <si>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</si>
  <si>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</si>
  <si>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</si>
  <si>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</si>
  <si>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</si>
  <si>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</si>
  <si>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</si>
  <si>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</si>
  <si>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</si>
  <si>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</si>
  <si>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</si>
  <si>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</si>
  <si>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</si>
  <si>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</si>
  <si>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</si>
  <si>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</si>
  <si>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</si>
  <si>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</si>
  <si>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</si>
  <si>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</si>
  <si>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</si>
  <si>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</si>
  <si>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</si>
  <si>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</si>
  <si>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</si>
  <si>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</si>
  <si>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</si>
  <si>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</si>
  <si>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</si>
  <si>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</si>
  <si>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</si>
  <si>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</si>
  <si>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</si>
  <si>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</si>
  <si>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</si>
  <si>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</si>
  <si>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</si>
  <si>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</si>
  <si>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</si>
  <si>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</si>
  <si>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</si>
  <si>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</si>
  <si>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</si>
  <si>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</si>
  <si>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</si>
  <si>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</si>
  <si>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</si>
  <si>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</si>
  <si>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</si>
  <si>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We project forward the 2021Q1 NPISH share</t>
  </si>
  <si>
    <t>From monthly personal income-- calculations to get Q3. Will be overwritten next quarter.</t>
  </si>
  <si>
    <t>q3</t>
  </si>
  <si>
    <t xml:space="preserve">farm </t>
  </si>
  <si>
    <t>nonf</t>
  </si>
  <si>
    <t>Business</t>
  </si>
  <si>
    <t>NPSH</t>
  </si>
  <si>
    <t>corp</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</si>
  <si>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</si>
  <si>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</si>
  <si>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</si>
  <si>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</si>
  <si>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</si>
  <si>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</si>
  <si>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</si>
  <si>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</si>
  <si>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</si>
  <si>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</si>
  <si>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</si>
  <si>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</si>
  <si>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</si>
  <si>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</si>
  <si>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</si>
  <si>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</si>
  <si>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</si>
  <si>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</si>
  <si>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</si>
  <si>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</si>
  <si>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</si>
  <si>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</si>
  <si>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</si>
  <si>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</si>
  <si>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</si>
  <si>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</si>
  <si>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</si>
  <si>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</si>
  <si>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</si>
  <si>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</si>
  <si>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</si>
  <si>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</si>
  <si>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</si>
  <si>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</si>
  <si>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</si>
  <si>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</si>
  <si>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</si>
  <si>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</si>
  <si>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</si>
  <si>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</si>
  <si>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</si>
  <si>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</si>
  <si>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</si>
  <si>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</si>
  <si>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</si>
  <si>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</si>
  <si>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</si>
  <si>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</si>
  <si>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</si>
  <si>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</si>
  <si>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</si>
  <si>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</si>
  <si>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</si>
  <si>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</si>
  <si>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</si>
  <si>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</si>
  <si>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</si>
  <si>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</si>
  <si>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</si>
  <si>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</si>
  <si>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</si>
  <si>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</si>
  <si>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</si>
  <si>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</si>
  <si>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</si>
  <si>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</si>
  <si>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</si>
  <si>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</si>
  <si>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</si>
  <si>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</si>
  <si>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</si>
  <si>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</si>
  <si>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</si>
  <si>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</si>
  <si>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</si>
  <si>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</si>
  <si>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</si>
  <si>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</si>
  <si>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</si>
  <si>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</si>
  <si>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</si>
  <si>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</si>
  <si>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</si>
  <si>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</si>
  <si>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</si>
  <si>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</si>
  <si>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</si>
  <si>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</si>
  <si>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</si>
  <si>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</si>
  <si>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</si>
  <si>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</si>
  <si>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</si>
  <si>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</si>
  <si>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</si>
  <si>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</si>
  <si>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</si>
  <si>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</si>
  <si>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</si>
  <si>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</si>
  <si>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</si>
  <si>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</si>
  <si>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</si>
  <si>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</si>
  <si>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</si>
  <si>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</si>
  <si>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</si>
  <si>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</si>
  <si>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</si>
  <si>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</si>
  <si>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</si>
  <si>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</si>
  <si>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</si>
  <si>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</si>
  <si>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</si>
  <si>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</si>
  <si>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</si>
  <si>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</si>
  <si>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</si>
  <si>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</si>
  <si>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</si>
  <si>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</si>
  <si>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</si>
  <si>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</si>
  <si>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</si>
  <si>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</si>
  <si>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</si>
  <si>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</si>
  <si>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</si>
  <si>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</si>
  <si>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</si>
  <si>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</si>
  <si>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</si>
  <si>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</si>
  <si>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</si>
  <si>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</si>
  <si>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</si>
  <si>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</si>
  <si>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</si>
  <si>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</si>
  <si>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</si>
  <si>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</si>
  <si>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</si>
  <si>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</si>
  <si>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</si>
  <si>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</si>
  <si>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</si>
  <si>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</si>
  <si>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</si>
  <si>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</si>
  <si>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</si>
  <si>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</si>
  <si>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</si>
  <si>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</si>
  <si>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</si>
  <si>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</si>
  <si>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get aver code</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</si>
  <si>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</si>
  <si>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</si>
  <si>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</si>
  <si>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</si>
  <si>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</si>
  <si>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</si>
  <si>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</si>
  <si>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</si>
  <si>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</si>
  <si>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</si>
  <si>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</si>
  <si>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</si>
  <si>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</si>
  <si>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</si>
  <si>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</si>
  <si>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</si>
  <si>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</si>
  <si>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</si>
  <si>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</si>
  <si>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</si>
  <si>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</si>
  <si>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</si>
  <si>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SNAP due to COVID (All, including ARP) (See Table 4)</t>
  </si>
  <si>
    <t>PPP to NPISH</t>
  </si>
  <si>
    <t>Provider Relief to NPISH</t>
  </si>
  <si>
    <t>Total Other ARP Social Benefits</t>
  </si>
  <si>
    <t>ARP Social Benefits other than UI, Medicare, Medicaid, Rebate Checks)</t>
  </si>
  <si>
    <t>Other Vulnerable excluding SNAP</t>
  </si>
  <si>
    <t>State</t>
  </si>
  <si>
    <t>gstfp</t>
  </si>
  <si>
    <t>Total Medicaid (Federal + State)</t>
  </si>
  <si>
    <t>State Social Benefits minus Total Medicaid</t>
  </si>
  <si>
    <t>January 2020 CBO Forecast</t>
  </si>
  <si>
    <t>Social Security (July 2021 CBO)</t>
  </si>
  <si>
    <t>Income Secuity</t>
  </si>
  <si>
    <t>Veterans Program</t>
  </si>
  <si>
    <t>Higher Ed</t>
  </si>
  <si>
    <t>CBO's "Social Benefits"</t>
  </si>
  <si>
    <t>Annual Growth Rate</t>
  </si>
  <si>
    <t>Calculating Total Other Non-ARP Legislation</t>
  </si>
  <si>
    <t>Total Accounted for in Detail</t>
  </si>
  <si>
    <t>Total NIPA Social Benefits</t>
  </si>
  <si>
    <t xml:space="preserve">NIPA ex counted for </t>
  </si>
  <si>
    <t>Social Security</t>
  </si>
  <si>
    <t>gftfbdx</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</si>
  <si>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</si>
  <si>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</si>
  <si>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</si>
  <si>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</si>
  <si>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</si>
  <si>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</si>
  <si>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</si>
  <si>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</si>
  <si>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</si>
  <si>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</si>
  <si>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</si>
  <si>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</si>
  <si>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</si>
  <si>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</si>
  <si>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</si>
  <si>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</si>
  <si>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</si>
  <si>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</si>
  <si>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</si>
  <si>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</si>
  <si>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</si>
  <si>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</si>
  <si>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</si>
  <si>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</si>
  <si>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</si>
  <si>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</si>
  <si>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</si>
  <si>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</si>
  <si>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</si>
  <si>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</si>
  <si>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</si>
  <si>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</si>
  <si>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</si>
  <si>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</si>
  <si>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</si>
  <si>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</si>
  <si>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</si>
  <si>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</si>
  <si>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</si>
  <si>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</si>
  <si>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</si>
  <si>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</si>
  <si>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</si>
  <si>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</si>
  <si>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</si>
  <si>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</si>
  <si>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</si>
  <si>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</si>
  <si>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ASK LOUISE</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</si>
  <si>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</si>
  <si>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</si>
  <si>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</si>
  <si>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</si>
  <si>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</si>
  <si>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</si>
  <si>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</si>
  <si>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</si>
  <si>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</si>
  <si>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</si>
  <si>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</si>
  <si>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</si>
  <si>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</si>
  <si>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</si>
  <si>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</si>
  <si>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</si>
  <si>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</si>
  <si>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</si>
  <si>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</si>
  <si>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</si>
  <si>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</si>
  <si>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</si>
  <si>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</si>
  <si>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</si>
  <si>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</si>
  <si>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</si>
  <si>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</si>
  <si>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</si>
  <si>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</si>
  <si>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</si>
  <si>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</si>
  <si>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</si>
  <si>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</si>
  <si>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</si>
  <si>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</si>
  <si>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</si>
  <si>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</si>
  <si>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</si>
  <si>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</si>
  <si>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</si>
  <si>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</si>
  <si>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</si>
  <si>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</si>
  <si>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</si>
  <si>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</si>
  <si>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</si>
  <si>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</si>
  <si>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</si>
  <si>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</si>
  <si>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</si>
  <si>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</si>
  <si>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</si>
  <si>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</si>
  <si>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</si>
  <si>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</si>
  <si>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</si>
  <si>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</si>
  <si>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</si>
  <si>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</si>
  <si>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</si>
  <si>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</si>
  <si>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</si>
  <si>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</si>
  <si>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</si>
  <si>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</si>
  <si>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</si>
  <si>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</si>
  <si>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</si>
  <si>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</si>
  <si>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</si>
  <si>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</si>
  <si>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</si>
  <si>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</si>
  <si>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</si>
  <si>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</si>
  <si>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</si>
  <si>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</si>
  <si>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</si>
  <si>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</si>
  <si>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</si>
  <si>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</si>
  <si>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</si>
  <si>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</si>
  <si>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</si>
  <si>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</si>
  <si>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</si>
  <si>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</si>
  <si>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</si>
  <si>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</si>
  <si>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</si>
  <si>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</si>
  <si>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</si>
  <si>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</si>
  <si>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</si>
  <si>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</si>
  <si>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</si>
  <si>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</si>
  <si>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</si>
  <si>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</si>
  <si>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</si>
  <si>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</si>
  <si>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</si>
  <si>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</si>
  <si>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</si>
  <si>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</si>
  <si>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</si>
  <si>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</si>
  <si>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</si>
  <si>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</si>
  <si>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</si>
  <si>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</si>
  <si>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</si>
  <si>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</si>
  <si>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</si>
  <si>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</si>
  <si>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</si>
  <si>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</si>
  <si>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</si>
  <si>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</si>
  <si>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</si>
  <si>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</si>
  <si>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</si>
  <si>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</si>
  <si>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</si>
  <si>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</si>
  <si>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</si>
  <si>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</si>
  <si>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</si>
  <si>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</si>
  <si>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</si>
  <si>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</si>
  <si>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</si>
  <si>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</si>
  <si>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</si>
  <si>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</si>
  <si>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</si>
  <si>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</si>
  <si>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</si>
  <si>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</si>
  <si>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</si>
  <si>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</si>
  <si>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</si>
  <si>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</si>
  <si>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</si>
  <si>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</si>
  <si>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</si>
  <si>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</si>
  <si>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</si>
  <si>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</si>
  <si>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</si>
  <si>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</si>
  <si>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</si>
  <si>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</si>
  <si>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</si>
  <si>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</si>
  <si>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</si>
  <si>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</si>
  <si>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</si>
  <si>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</si>
  <si>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</si>
  <si>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</si>
  <si>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</si>
  <si>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</si>
  <si>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</si>
  <si>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</si>
  <si>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</si>
  <si>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</si>
  <si>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</si>
  <si>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</si>
  <si>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</si>
  <si>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</si>
  <si>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</si>
  <si>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</si>
  <si>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</si>
  <si>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</si>
  <si>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</si>
  <si>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</si>
  <si>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</si>
  <si>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</si>
  <si>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</si>
  <si>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</si>
  <si>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</si>
  <si>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</si>
  <si>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</si>
  <si>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</si>
  <si>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</si>
  <si>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</si>
  <si>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</si>
  <si>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</si>
  <si>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</si>
  <si>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</si>
  <si>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</si>
  <si>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</si>
  <si>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</si>
  <si>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</si>
  <si>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</si>
  <si>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</si>
  <si>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</si>
  <si>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</si>
  <si>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</si>
  <si>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</si>
  <si>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</si>
  <si>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</si>
  <si>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</si>
  <si>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</si>
  <si>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</si>
  <si>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</si>
  <si>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</si>
  <si>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</si>
  <si>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</si>
  <si>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</si>
  <si>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</si>
  <si>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</si>
  <si>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</si>
  <si>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</si>
  <si>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</si>
  <si>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</si>
  <si>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</si>
  <si>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</si>
  <si>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</si>
  <si>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</si>
  <si>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</si>
  <si>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</si>
  <si>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</si>
  <si>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</si>
  <si>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</si>
  <si>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</si>
  <si>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</si>
  <si>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</si>
  <si>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</si>
  <si>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</si>
  <si>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</si>
  <si>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</si>
  <si>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</si>
  <si>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</si>
  <si>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</si>
  <si>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</si>
  <si>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</si>
  <si>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</si>
  <si>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</si>
  <si>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</si>
  <si>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</si>
  <si>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</si>
  <si>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</si>
  <si>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</si>
  <si>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</si>
  <si>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</si>
  <si>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</si>
  <si>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</si>
  <si>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</si>
  <si>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</si>
  <si>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</si>
  <si>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</si>
  <si>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</si>
  <si>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</si>
  <si>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</si>
  <si>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</si>
  <si>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</si>
  <si>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</si>
  <si>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</si>
  <si>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</si>
  <si>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</si>
  <si>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</si>
  <si>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</si>
  <si>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</si>
  <si>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</si>
  <si>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</si>
  <si>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</si>
  <si>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</si>
  <si>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</si>
  <si>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</si>
  <si>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</si>
  <si>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</si>
  <si>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</si>
  <si>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</si>
  <si>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</si>
  <si>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</si>
  <si>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</si>
  <si>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</si>
  <si>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</si>
  <si>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</si>
  <si>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</si>
  <si>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</si>
  <si>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</si>
  <si>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</si>
  <si>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</si>
  <si>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</si>
  <si>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</si>
  <si>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</si>
  <si>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</si>
  <si>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</si>
  <si>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</si>
  <si>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</si>
  <si>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</si>
  <si>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</si>
  <si>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</si>
  <si>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</si>
  <si>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</si>
  <si>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</si>
  <si>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</si>
  <si>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</si>
  <si>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</si>
  <si>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</si>
  <si>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</si>
  <si>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</si>
  <si>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</si>
  <si>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</si>
  <si>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</si>
  <si>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</si>
  <si>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</si>
  <si>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</si>
  <si>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</si>
  <si>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</si>
  <si>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</si>
  <si>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</si>
  <si>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</si>
  <si>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</si>
  <si>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</si>
  <si>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</si>
  <si>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</si>
  <si>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</si>
  <si>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</si>
  <si>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</si>
  <si>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</si>
  <si>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</si>
  <si>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</si>
  <si>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</si>
  <si>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</si>
  <si>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</si>
  <si>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</si>
  <si>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</si>
  <si>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</si>
  <si>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</si>
  <si>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</si>
  <si>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</si>
  <si>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</si>
  <si>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</si>
  <si>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</si>
  <si>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</si>
  <si>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</si>
  <si>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</si>
  <si>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</si>
  <si>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</si>
  <si>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</si>
  <si>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</si>
  <si>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</si>
  <si>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</si>
  <si>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</si>
  <si>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</si>
  <si>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</si>
  <si>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</si>
  <si>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</si>
  <si>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</si>
  <si>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</si>
  <si>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</si>
  <si>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</si>
  <si>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</si>
  <si>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</si>
  <si>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</si>
  <si>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</si>
  <si>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</si>
  <si>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</si>
  <si>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</si>
  <si>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</si>
  <si>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</si>
  <si>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</si>
  <si>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</si>
  <si>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</si>
  <si>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</si>
  <si>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</si>
  <si>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</si>
  <si>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</si>
  <si>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</si>
  <si>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</si>
  <si>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</si>
  <si>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</si>
  <si>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</si>
  <si>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</si>
  <si>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</si>
  <si>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</si>
  <si>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</si>
  <si>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</si>
  <si>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</si>
  <si>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</si>
  <si>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</si>
  <si>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</si>
  <si>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</si>
  <si>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</si>
  <si>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</si>
  <si>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</si>
  <si>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</si>
  <si>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</si>
  <si>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</si>
  <si>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</si>
  <si>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</si>
  <si>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</si>
  <si>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</si>
  <si>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</si>
  <si>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</si>
  <si>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</si>
  <si>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</si>
  <si>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</si>
  <si>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</si>
  <si>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</si>
  <si>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</si>
  <si>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</si>
  <si>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</si>
  <si>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</si>
  <si>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</si>
  <si>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</si>
  <si>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</si>
  <si>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</si>
  <si>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</si>
  <si>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</si>
  <si>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</si>
  <si>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</si>
  <si>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</si>
  <si>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</si>
  <si>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</si>
  <si>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</si>
  <si>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</si>
  <si>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</si>
  <si>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</si>
  <si>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</si>
  <si>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</si>
  <si>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</si>
  <si>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</si>
  <si>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</si>
  <si>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</si>
  <si>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</si>
  <si>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</si>
  <si>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</si>
  <si>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</si>
  <si>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</si>
  <si>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</si>
  <si>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</si>
  <si>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</si>
  <si>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</si>
  <si>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</si>
  <si>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</si>
  <si>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</si>
  <si>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</si>
  <si>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</si>
  <si>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</si>
  <si>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</si>
  <si>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</si>
  <si>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</si>
  <si>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</si>
  <si>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</si>
  <si>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</si>
  <si>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</si>
  <si>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</si>
  <si>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</si>
  <si>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</si>
  <si>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</si>
  <si>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</si>
  <si>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</si>
  <si>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</si>
  <si>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</si>
  <si>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</si>
  <si>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</si>
  <si>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</si>
  <si>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</si>
  <si>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</si>
  <si>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</si>
  <si>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</si>
  <si>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</si>
  <si>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</si>
  <si>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</si>
  <si>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</si>
  <si>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</si>
  <si>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</si>
  <si>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</si>
  <si>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</si>
  <si>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</si>
  <si>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</si>
  <si>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</si>
  <si>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</si>
  <si>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</si>
  <si>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</si>
  <si>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</si>
  <si>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</si>
  <si>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</si>
  <si>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</si>
  <si>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</si>
  <si>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</si>
  <si>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</si>
  <si>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</si>
  <si>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</si>
  <si>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</si>
  <si>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</si>
  <si>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</si>
  <si>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</si>
  <si>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</si>
  <si>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</si>
  <si>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</si>
  <si>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</si>
  <si>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</si>
  <si>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</si>
  <si>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</si>
  <si>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</si>
  <si>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</si>
  <si>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</si>
  <si>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</si>
  <si>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</si>
  <si>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</si>
  <si>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</si>
  <si>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</si>
  <si>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</si>
  <si>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</si>
  <si>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</si>
  <si>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Increases in state and local spending (led by employee compensation, particularly for education) and personal consumption.Decreases in federal spending (“The decrease in federal government spending primarily reflected a decrease in nondefense spending on intermediate goods and services, notably services, as the processing and administration of Paycheck Protection Program(PPP) loan applications by banks on behalf of the federal government dropped to zero in the third quarter with the June expiration of the PPP loan application period.”) “In the third quarter, a resurgence of COVID-19 cases resulted in new restrictions and delays in the reopening of establishments in some parts of the country. Government assistance payments in the form of forgivable loans to businesses, grants to state and local governments, and social benefits to households all decreased. Advance Child Tax Credit payments authorized by the American Rescue Plan started in the third quarter and partly offset the decline in social benefits to households.”</t>
  </si>
  <si>
    <t>Q2 - 09/21</t>
  </si>
  <si>
    <t>Q3 -10/21</t>
  </si>
  <si>
    <t>Add Factor on Other ARP aid to S+L to match data rather than our disbursement assumptions</t>
  </si>
  <si>
    <t>Previous Forecast (forecast_09_2021)</t>
  </si>
  <si>
    <t>ylwsd</t>
  </si>
  <si>
    <t>yop</t>
  </si>
  <si>
    <t>ycpd</t>
  </si>
  <si>
    <t>ypiar</t>
  </si>
  <si>
    <t xml:space="preserve">Wage and Salaries </t>
  </si>
  <si>
    <t>Other Legislation (used in Table 1)</t>
  </si>
  <si>
    <t>Total Other  Legislation (See Table 3)</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</si>
  <si>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</si>
  <si>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</si>
  <si>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</si>
  <si>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</si>
  <si>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</si>
  <si>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</si>
  <si>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</si>
  <si>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</si>
  <si>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</si>
  <si>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</si>
  <si>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</si>
  <si>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</si>
  <si>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 (from BEA Effects of Pandemic Legislation on Personal Income until we get a Haver code)</t>
  </si>
  <si>
    <t>Child tax credit</t>
  </si>
  <si>
    <t>Federal Social Benefits minus UI, Medicare and Rebate Checks, and other COVID legislation</t>
  </si>
  <si>
    <t xml:space="preserve"> FIM Federal Social Benefits </t>
  </si>
  <si>
    <t>Other Direct Aid plus Provider Relief</t>
  </si>
  <si>
    <t xml:space="preserve">ARP Other Direct Aid plus Provider Relief </t>
  </si>
  <si>
    <t>NIPA counterfactual ex Medicare and UI and Child Tax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</si>
</sst>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s>
  <fonts count="92"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
      <sz val="11"/>
      <color theme="1"/>
      <name val="Calibri Light"/>
      <family val="2"/>
      <scheme val="major"/>
    </font>
    <font>
      <sz val="9"/>
      <color indexed="81"/>
      <name val="Tahoma"/>
      <charset val="1"/>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46">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xf numFmtId="0" fontId="1" fillId="0" borderId="0"/>
    <xf numFmtId="0" fontId="1" fillId="0" borderId="0"/>
    <xf numFmtId="9" fontId="1" fillId="0" borderId="0" applyFont="0" applyFill="0" applyBorder="0" applyAlignment="0" applyProtection="0"/>
    <xf numFmtId="0" fontId="17" fillId="0" borderId="0"/>
  </cellStyleXfs>
  <cellXfs count="1189">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15" fillId="0" borderId="19"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3" fontId="15" fillId="0" borderId="4"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1" xfId="0" applyNumberFormat="1" applyFont="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15" fillId="0" borderId="1" xfId="0" applyFont="1" applyBorder="1" applyAlignment="1">
      <alignment horizontal="left" wrapText="1" indent="3"/>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0" fontId="50" fillId="0" borderId="1" xfId="0" applyFont="1" applyBorder="1" applyAlignment="1">
      <alignment horizontal="right" wrapText="1" indent="2"/>
    </xf>
    <xf numFmtId="164" fontId="46" fillId="0" borderId="0" xfId="511" applyNumberFormat="1"/>
    <xf numFmtId="0" fontId="15" fillId="0" borderId="1" xfId="0" applyFont="1" applyBorder="1" applyAlignment="1">
      <alignment horizontal="right" wrapText="1" indent="2"/>
    </xf>
    <xf numFmtId="0" fontId="50" fillId="0" borderId="1" xfId="0" applyFont="1" applyBorder="1" applyAlignment="1">
      <alignment horizontal="left" wrapText="1" indent="2"/>
    </xf>
    <xf numFmtId="10" fontId="0" fillId="0" borderId="0" xfId="517" applyNumberFormat="1" applyFont="1"/>
    <xf numFmtId="164" fontId="50" fillId="0" borderId="0" xfId="0" applyNumberFormat="1" applyFont="1" applyAlignment="1">
      <alignment horizontal="center"/>
    </xf>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1" fontId="15" fillId="0" borderId="0" xfId="0" applyNumberFormat="1" applyFont="1" applyAlignment="1">
      <alignment horizontal="center"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1" fontId="15" fillId="0" borderId="3"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2" xfId="0" applyNumberFormat="1" applyFont="1" applyBorder="1"/>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3" fontId="15" fillId="52" borderId="4" xfId="0" applyNumberFormat="1" applyFont="1" applyFill="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center"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8" fontId="15" fillId="0" borderId="17" xfId="0" applyNumberFormat="1" applyFont="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0" fontId="49" fillId="0" borderId="24" xfId="0" applyFont="1" applyBorder="1"/>
    <xf numFmtId="0" fontId="49" fillId="0" borderId="25" xfId="0" applyFont="1" applyBorder="1"/>
    <xf numFmtId="3" fontId="65" fillId="0" borderId="0" xfId="0" applyNumberFormat="1" applyFont="1"/>
    <xf numFmtId="3" fontId="65" fillId="0" borderId="4" xfId="0" applyNumberFormat="1" applyFont="1" applyBorder="1"/>
    <xf numFmtId="0" fontId="49" fillId="0" borderId="26" xfId="0" applyFont="1" applyBorder="1"/>
    <xf numFmtId="0" fontId="15" fillId="0" borderId="19" xfId="0" applyFont="1" applyBorder="1" applyAlignment="1">
      <alignment horizontal="left"/>
    </xf>
    <xf numFmtId="0" fontId="15" fillId="0" borderId="18" xfId="0" applyFont="1" applyBorder="1" applyAlignment="1">
      <alignment horizontal="left" indent="1"/>
    </xf>
    <xf numFmtId="0" fontId="15" fillId="0" borderId="18" xfId="0" applyFont="1" applyBorder="1" applyAlignment="1">
      <alignment horizontal="left" indent="8"/>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1" fillId="0" borderId="1" xfId="509" quotePrefix="1" applyFont="1" applyBorder="1" applyAlignment="1">
      <alignment horizontal="center" wrapText="1"/>
    </xf>
    <xf numFmtId="0" fontId="21" fillId="0" borderId="0" xfId="509" quotePrefix="1" applyFont="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3" fontId="15" fillId="52" borderId="17"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164" fontId="15" fillId="3" borderId="1" xfId="0" applyNumberFormat="1" applyFont="1" applyFill="1" applyBorder="1" applyAlignment="1">
      <alignment horizontal="center"/>
    </xf>
    <xf numFmtId="164" fontId="15" fillId="55" borderId="0" xfId="0" applyNumberFormat="1" applyFont="1" applyFill="1" applyAlignment="1">
      <alignment horizontal="center"/>
    </xf>
    <xf numFmtId="0" fontId="63" fillId="0" borderId="0" xfId="0" applyFont="1" applyAlignment="1">
      <alignment horizontal="center"/>
    </xf>
    <xf numFmtId="0" fontId="63" fillId="0" borderId="0" xfId="0" applyFont="1"/>
    <xf numFmtId="0" fontId="4" fillId="8" borderId="0" xfId="0" applyFont="1" applyFill="1" applyAlignment="1">
      <alignment horizontal="center"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11" fillId="0" borderId="0" xfId="0" applyFont="1"/>
    <xf numFmtId="0" fontId="0" fillId="0" borderId="0" xfId="0" applyAlignment="1">
      <alignment vertical="center"/>
    </xf>
    <xf numFmtId="0" fontId="50" fillId="0" borderId="1" xfId="0" applyFont="1" applyBorder="1" applyAlignment="1">
      <alignment horizontal="right" wrapText="1" indent="3"/>
    </xf>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4" fontId="15" fillId="0" borderId="15" xfId="0"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50" borderId="0" xfId="0" applyFill="1" applyAlignment="1">
      <alignment vertical="center"/>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0" fontId="3" fillId="3" borderId="0" xfId="0" applyFont="1" applyFill="1" applyAlignment="1">
      <alignment horizontal="left" wrapText="1"/>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23" xfId="0" applyFont="1" applyFill="1" applyBorder="1" applyAlignment="1">
      <alignment wrapText="1"/>
    </xf>
    <xf numFmtId="0" fontId="5" fillId="58" borderId="24" xfId="0" applyFont="1" applyFill="1" applyBorder="1" applyAlignment="1">
      <alignment wrapText="1"/>
    </xf>
    <xf numFmtId="0" fontId="5" fillId="58"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3" fillId="0" borderId="21" xfId="0" applyFont="1" applyBorder="1" applyAlignment="1">
      <alignment vertical="top" wrapText="1"/>
    </xf>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3" fontId="15" fillId="0" borderId="16" xfId="0" quotePrefix="1" applyNumberFormat="1" applyFont="1" applyBorder="1" applyAlignment="1">
      <alignment horizontal="center"/>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0" fontId="49" fillId="0" borderId="15" xfId="0" applyFont="1" applyBorder="1" applyAlignment="1">
      <alignment horizontal="center" vertical="top" wrapText="1"/>
    </xf>
    <xf numFmtId="1" fontId="49" fillId="0" borderId="0" xfId="0" applyNumberFormat="1" applyFont="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166" fontId="15" fillId="0" borderId="2" xfId="0" applyNumberFormat="1" applyFont="1" applyBorder="1" applyAlignment="1">
      <alignment horizontal="center"/>
    </xf>
    <xf numFmtId="166" fontId="21" fillId="0" borderId="2" xfId="37" applyNumberFormat="1" applyFont="1" applyBorder="1" applyAlignment="1">
      <alignment horizontal="center"/>
    </xf>
    <xf numFmtId="0" fontId="15" fillId="0" borderId="15" xfId="0" applyFont="1" applyBorder="1" applyAlignment="1">
      <alignment horizontal="center"/>
    </xf>
    <xf numFmtId="0" fontId="15" fillId="41" borderId="2" xfId="0" applyFont="1" applyFill="1" applyBorder="1" applyAlignment="1">
      <alignment horizontal="center" wrapText="1"/>
    </xf>
    <xf numFmtId="0" fontId="15" fillId="41" borderId="27" xfId="0" applyFont="1" applyFill="1" applyBorder="1"/>
    <xf numFmtId="0" fontId="50" fillId="0" borderId="0" xfId="0" applyFont="1" applyAlignment="1">
      <alignment horizontal="center"/>
    </xf>
    <xf numFmtId="0" fontId="50" fillId="0" borderId="2" xfId="0" applyFont="1" applyBorder="1" applyAlignment="1">
      <alignment horizontal="center"/>
    </xf>
    <xf numFmtId="164" fontId="56" fillId="0" borderId="15" xfId="0" applyNumberFormat="1"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 fontId="50" fillId="0" borderId="0" xfId="0" quotePrefix="1" applyNumberFormat="1" applyFont="1" applyAlignment="1">
      <alignment horizontal="center" vertical="top" wrapText="1"/>
    </xf>
    <xf numFmtId="164" fontId="15" fillId="0" borderId="0" xfId="0" applyNumberFormat="1" applyFont="1" applyAlignment="1">
      <alignment horizontal="center" vertical="top" wrapText="1"/>
    </xf>
    <xf numFmtId="164" fontId="15" fillId="0" borderId="1" xfId="0" quotePrefix="1" applyNumberFormat="1" applyFont="1" applyBorder="1" applyAlignment="1">
      <alignment horizontal="right" vertical="top" wrapText="1"/>
    </xf>
    <xf numFmtId="164" fontId="15" fillId="56" borderId="0" xfId="0" applyNumberFormat="1" applyFont="1" applyFill="1" applyAlignment="1">
      <alignment horizontal="center"/>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164" fontId="15" fillId="0" borderId="0" xfId="0" applyNumberFormat="1" applyFont="1" applyAlignment="1">
      <alignment horizontal="center"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6" fontId="21" fillId="44" borderId="23" xfId="0" quotePrefix="1" applyNumberFormat="1" applyFont="1" applyFill="1" applyBorder="1" applyAlignment="1">
      <alignment horizontal="center"/>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3" fontId="15" fillId="44" borderId="4"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16" xfId="0" applyNumberFormat="1" applyFont="1" applyFill="1" applyBorder="1" applyAlignment="1">
      <alignment horizontal="center"/>
    </xf>
    <xf numFmtId="164" fontId="15" fillId="44" borderId="4"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 fontId="21" fillId="44" borderId="0" xfId="0" applyNumberFormat="1" applyFont="1" applyFill="1" applyAlignment="1">
      <alignment horizontal="center"/>
    </xf>
    <xf numFmtId="1" fontId="21" fillId="44" borderId="4"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15" fillId="0" borderId="0" xfId="0" quotePrefix="1" applyNumberFormat="1" applyFont="1" applyAlignment="1">
      <alignment horizontal="center" wrapText="1"/>
    </xf>
    <xf numFmtId="164" fontId="56" fillId="44" borderId="21" xfId="0" applyNumberFormat="1" applyFont="1" applyFill="1" applyBorder="1" applyAlignment="1">
      <alignment horizontal="center"/>
    </xf>
    <xf numFmtId="164" fontId="15" fillId="0" borderId="2" xfId="0" applyNumberFormat="1" applyFont="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0" fontId="86" fillId="0" borderId="0" xfId="0" applyFont="1"/>
    <xf numFmtId="0" fontId="87" fillId="0" borderId="0" xfId="521"/>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1" fontId="0" fillId="0" borderId="0" xfId="0" applyNumberFormat="1"/>
    <xf numFmtId="0" fontId="0" fillId="0" borderId="0" xfId="0" applyAlignment="1">
      <alignment horizontal="left" indent="1"/>
    </xf>
    <xf numFmtId="3" fontId="50" fillId="0" borderId="0" xfId="0" applyNumberFormat="1" applyFont="1" applyAlignment="1">
      <alignment horizontal="center" wrapText="1"/>
    </xf>
    <xf numFmtId="165" fontId="50" fillId="0" borderId="0" xfId="0" applyNumberFormat="1" applyFont="1" applyAlignment="1">
      <alignment wrapTex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15" xfId="0" applyNumberFormat="1" applyFont="1" applyBorder="1" applyAlignment="1">
      <alignment horizontal="center"/>
    </xf>
    <xf numFmtId="1" fontId="15" fillId="0" borderId="21" xfId="0" applyNumberFormat="1" applyFont="1" applyBorder="1" applyAlignment="1">
      <alignment horizontal="center"/>
    </xf>
    <xf numFmtId="1" fontId="15" fillId="0" borderId="16"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1" fontId="15" fillId="0" borderId="17" xfId="0" applyNumberFormat="1" applyFont="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0" fontId="15" fillId="0" borderId="16"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5"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64" fontId="15" fillId="0" borderId="16"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 fontId="21" fillId="0" borderId="0" xfId="238" applyNumberFormat="1" applyFont="1" applyAlignment="1">
      <alignment horizontal="center"/>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49" fillId="0" borderId="1" xfId="0" applyFont="1" applyBorder="1" applyAlignment="1">
      <alignment horizontal="center" vertical="top" wrapText="1"/>
    </xf>
    <xf numFmtId="0" fontId="22" fillId="0" borderId="15" xfId="0" applyFont="1" applyBorder="1" applyAlignment="1">
      <alignment horizontal="center"/>
    </xf>
    <xf numFmtId="4" fontId="15" fillId="0" borderId="0" xfId="0" quotePrefix="1" applyNumberFormat="1" applyFont="1" applyAlignment="1">
      <alignment horizontal="center"/>
    </xf>
    <xf numFmtId="0" fontId="0" fillId="0" borderId="21" xfId="0" applyBorder="1" applyAlignment="1">
      <alignment horizontal="center"/>
    </xf>
    <xf numFmtId="4" fontId="15" fillId="0" borderId="2" xfId="0" quotePrefix="1" applyNumberFormat="1" applyFont="1" applyBorder="1" applyAlignment="1">
      <alignment horizontal="center"/>
    </xf>
    <xf numFmtId="166" fontId="0" fillId="44" borderId="21" xfId="0" applyNumberFormat="1" applyFill="1" applyBorder="1" applyAlignment="1">
      <alignment horizontal="center"/>
    </xf>
    <xf numFmtId="166" fontId="21" fillId="0" borderId="17" xfId="37" applyNumberFormat="1" applyFont="1" applyBorder="1" applyAlignment="1">
      <alignment horizontal="center"/>
    </xf>
    <xf numFmtId="0" fontId="15" fillId="44" borderId="27" xfId="0" applyFont="1" applyFill="1" applyBorder="1"/>
    <xf numFmtId="14" fontId="15" fillId="0" borderId="15" xfId="0" applyNumberFormat="1" applyFont="1" applyBorder="1"/>
    <xf numFmtId="0" fontId="15" fillId="0" borderId="16" xfId="0" applyFont="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0" fontId="49" fillId="44" borderId="26" xfId="0" applyFont="1" applyFill="1" applyBorder="1"/>
    <xf numFmtId="0" fontId="15" fillId="52" borderId="27" xfId="0" applyFont="1" applyFill="1" applyBorder="1"/>
    <xf numFmtId="3" fontId="15" fillId="0" borderId="15" xfId="0" quotePrefix="1" applyNumberFormat="1" applyFont="1" applyBorder="1" applyAlignment="1">
      <alignment horizontal="center" vertical="top" wrapText="1"/>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166" fontId="15" fillId="0" borderId="16"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5"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166" fontId="50" fillId="0" borderId="16" xfId="0" quotePrefix="1" applyNumberFormat="1" applyFont="1" applyBorder="1" applyAlignment="1">
      <alignment horizontal="center" wrapText="1"/>
    </xf>
    <xf numFmtId="3" fontId="15" fillId="0" borderId="15" xfId="0" quotePrefix="1" applyNumberFormat="1" applyFont="1" applyBorder="1" applyAlignment="1">
      <alignment horizontal="center"/>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66" fontId="15" fillId="0" borderId="16" xfId="0" quotePrefix="1" applyNumberFormat="1" applyFont="1" applyBorder="1" applyAlignment="1">
      <alignment horizontal="center"/>
    </xf>
    <xf numFmtId="166" fontId="15" fillId="0" borderId="17" xfId="0" quotePrefix="1" applyNumberFormat="1" applyFont="1" applyBorder="1" applyAlignment="1">
      <alignment horizontal="center"/>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6" fontId="0" fillId="0" borderId="21" xfId="0" quotePrefix="1" applyNumberFormat="1" applyBorder="1" applyAlignment="1">
      <alignment horizontal="left"/>
    </xf>
    <xf numFmtId="16" fontId="0" fillId="0" borderId="16" xfId="0" quotePrefix="1" applyNumberFormat="1" applyBorder="1" applyAlignment="1">
      <alignment horizontal="left"/>
    </xf>
    <xf numFmtId="0" fontId="0" fillId="0" borderId="2" xfId="0" applyBorder="1"/>
    <xf numFmtId="0" fontId="49" fillId="0" borderId="21" xfId="0" applyFont="1" applyBorder="1" applyAlignment="1">
      <alignment horizontal="center" vertical="top" wrapText="1"/>
    </xf>
    <xf numFmtId="1" fontId="15" fillId="0" borderId="21" xfId="0" applyNumberFormat="1" applyFont="1" applyBorder="1" applyAlignment="1">
      <alignment horizontal="center" wrapText="1"/>
    </xf>
    <xf numFmtId="1" fontId="15" fillId="0" borderId="16" xfId="0" quotePrefix="1" applyNumberFormat="1" applyFont="1" applyBorder="1" applyAlignment="1">
      <alignment horizontal="center" wrapText="1"/>
    </xf>
    <xf numFmtId="0" fontId="49" fillId="0" borderId="1" xfId="0" applyFont="1" applyBorder="1" applyAlignment="1">
      <alignment horizontal="center" wrapText="1"/>
    </xf>
    <xf numFmtId="0" fontId="49" fillId="0" borderId="0" xfId="0" applyFont="1" applyAlignment="1">
      <alignment horizontal="center" wrapText="1"/>
    </xf>
    <xf numFmtId="165" fontId="15" fillId="0" borderId="0" xfId="0" applyNumberFormat="1" applyFont="1" applyAlignment="1">
      <alignment horizontal="center" wrapText="1"/>
    </xf>
    <xf numFmtId="1" fontId="50" fillId="0" borderId="17" xfId="0" applyNumberFormat="1" applyFont="1" applyBorder="1" applyAlignment="1">
      <alignment horizontal="center"/>
    </xf>
    <xf numFmtId="164" fontId="50" fillId="0" borderId="15" xfId="0" applyNumberFormat="1" applyFont="1" applyBorder="1" applyAlignment="1">
      <alignment horizontal="center"/>
    </xf>
    <xf numFmtId="164" fontId="50" fillId="0" borderId="21" xfId="0" applyNumberFormat="1" applyFont="1" applyBorder="1" applyAlignment="1">
      <alignment horizontal="center"/>
    </xf>
    <xf numFmtId="164" fontId="50" fillId="0" borderId="16" xfId="0" applyNumberFormat="1" applyFont="1" applyBorder="1" applyAlignment="1">
      <alignment horizontal="center"/>
    </xf>
    <xf numFmtId="164" fontId="15" fillId="0" borderId="3" xfId="0" applyNumberFormat="1" applyFont="1" applyBorder="1" applyAlignment="1">
      <alignment horizontal="center"/>
    </xf>
    <xf numFmtId="164" fontId="15" fillId="0" borderId="17" xfId="0" applyNumberFormat="1" applyFont="1" applyBorder="1" applyAlignment="1">
      <alignment horizontal="center"/>
    </xf>
    <xf numFmtId="168" fontId="15" fillId="3" borderId="2" xfId="0" applyNumberFormat="1" applyFont="1" applyFill="1" applyBorder="1" applyAlignment="1">
      <alignment horizontal="center"/>
    </xf>
    <xf numFmtId="164" fontId="15" fillId="0" borderId="16" xfId="0" applyNumberFormat="1" applyFont="1" applyBorder="1" applyAlignment="1">
      <alignment horizontal="center"/>
    </xf>
    <xf numFmtId="164" fontId="56" fillId="0" borderId="21" xfId="0" applyNumberFormat="1" applyFont="1" applyBorder="1" applyAlignment="1">
      <alignment horizontal="center"/>
    </xf>
    <xf numFmtId="164" fontId="56" fillId="0" borderId="16"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0" fontId="22" fillId="0" borderId="21" xfId="0" applyFont="1" applyBorder="1" applyAlignment="1">
      <alignment horizontal="center"/>
    </xf>
    <xf numFmtId="0" fontId="49" fillId="0" borderId="1" xfId="0" applyFont="1" applyBorder="1" applyAlignment="1">
      <alignment horizontal="center"/>
    </xf>
    <xf numFmtId="0" fontId="21" fillId="0" borderId="15"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15" fillId="44" borderId="0" xfId="0" applyFont="1" applyFill="1" applyAlignment="1">
      <alignment horizontal="left"/>
    </xf>
    <xf numFmtId="0" fontId="0" fillId="44" borderId="16" xfId="0" applyFill="1" applyBorder="1" applyAlignment="1">
      <alignment horizontal="center"/>
    </xf>
    <xf numFmtId="0" fontId="15" fillId="0" borderId="4" xfId="0" applyFont="1" applyBorder="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1" fontId="15" fillId="0" borderId="4" xfId="0" applyNumberFormat="1" applyFont="1" applyBorder="1" applyAlignment="1">
      <alignment horizontal="center" wrapText="1"/>
    </xf>
    <xf numFmtId="166" fontId="15" fillId="0" borderId="4" xfId="0" applyNumberFormat="1" applyFont="1" applyBorder="1" applyAlignment="1">
      <alignment horizontal="center" wrapText="1"/>
    </xf>
    <xf numFmtId="164" fontId="15" fillId="0" borderId="4" xfId="0"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166" fontId="50" fillId="0" borderId="4" xfId="0" quotePrefix="1" applyNumberFormat="1" applyFont="1" applyBorder="1" applyAlignment="1">
      <alignment horizontal="center" wrapText="1"/>
    </xf>
    <xf numFmtId="166" fontId="15" fillId="0" borderId="4" xfId="0" applyNumberFormat="1" applyFont="1" applyBorder="1" applyAlignment="1">
      <alignment horizontal="center" vertical="top"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0" fillId="0" borderId="4" xfId="0" applyBorder="1"/>
    <xf numFmtId="166" fontId="15" fillId="0" borderId="4" xfId="0" quotePrefix="1" applyNumberFormat="1" applyFont="1" applyBorder="1" applyAlignment="1">
      <alignment horizontal="center"/>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0" borderId="4" xfId="0" applyNumberFormat="1" applyFont="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164" fontId="50" fillId="0" borderId="4" xfId="0" applyNumberFormat="1" applyFont="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15" fillId="52" borderId="4" xfId="0" applyNumberFormat="1" applyFont="1" applyFill="1" applyBorder="1" applyAlignment="1">
      <alignment horizontal="center"/>
    </xf>
    <xf numFmtId="164" fontId="21" fillId="0" borderId="4" xfId="0" applyNumberFormat="1" applyFont="1" applyBorder="1" applyAlignment="1">
      <alignment horizontal="center"/>
    </xf>
    <xf numFmtId="164" fontId="15" fillId="0" borderId="4" xfId="0" applyNumberFormat="1" applyFont="1" applyBorder="1" applyAlignment="1">
      <alignment horizontal="center" vertical="top" wrapText="1"/>
    </xf>
    <xf numFmtId="0" fontId="15" fillId="44" borderId="4" xfId="0" applyFont="1" applyFill="1" applyBorder="1"/>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15" fillId="44" borderId="4" xfId="0"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0" borderId="4" xfId="0" applyNumberFormat="1" applyFont="1" applyBorder="1" applyAlignment="1">
      <alignment horizontal="right" vertical="top" wrapText="1"/>
    </xf>
    <xf numFmtId="164" fontId="15" fillId="44" borderId="4" xfId="0" applyNumberFormat="1" applyFont="1" applyFill="1" applyBorder="1" applyAlignment="1">
      <alignment horizontal="right" vertical="top" wrapText="1"/>
    </xf>
    <xf numFmtId="164" fontId="50" fillId="52" borderId="4" xfId="0" applyNumberFormat="1" applyFont="1" applyFill="1" applyBorder="1" applyAlignment="1">
      <alignment horizontal="center"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166" fontId="0" fillId="0" borderId="45" xfId="0" applyNumberFormat="1"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0" xfId="0" applyNumberFormat="1" applyFont="1" applyFill="1" applyAlignment="1">
      <alignment horizontal="center" wrapText="1"/>
    </xf>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0" fontId="15" fillId="0" borderId="1" xfId="0" applyFont="1" applyBorder="1" applyAlignment="1">
      <alignment horizontal="left" wrapText="1" indent="3"/>
    </xf>
    <xf numFmtId="164" fontId="15" fillId="0" borderId="0" xfId="0" applyNumberFormat="1" applyFont="1" applyBorder="1" applyAlignment="1">
      <alignment horizontal="center"/>
    </xf>
    <xf numFmtId="1" fontId="21" fillId="48" borderId="0" xfId="0" applyNumberFormat="1" applyFont="1" applyFill="1" applyAlignment="1">
      <alignment horizontal="center"/>
    </xf>
    <xf numFmtId="0" fontId="55" fillId="0" borderId="1" xfId="0" applyFont="1" applyFill="1" applyBorder="1" applyAlignment="1">
      <alignment horizontal="left" indent="2"/>
    </xf>
    <xf numFmtId="1" fontId="15" fillId="0" borderId="0" xfId="0" applyNumberFormat="1" applyFont="1" applyFill="1" applyAlignment="1">
      <alignment horizontal="center" wrapText="1"/>
    </xf>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15" fillId="0" borderId="1" xfId="0" applyFont="1" applyFill="1" applyBorder="1" applyAlignment="1">
      <alignment wrapText="1"/>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3" fillId="0" borderId="0" xfId="0" applyFont="1" applyAlignment="1">
      <alignment horizontal="left" vertical="top" wrapText="1"/>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Alignment="1">
      <alignment horizontal="left" wrapText="1"/>
    </xf>
    <xf numFmtId="0" fontId="46" fillId="0" borderId="0" xfId="0" applyFont="1" applyAlignment="1">
      <alignment horizontal="center"/>
    </xf>
    <xf numFmtId="0" fontId="76" fillId="0" borderId="0" xfId="0" applyFont="1" applyAlignment="1">
      <alignment horizontal="center"/>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49" fillId="44" borderId="15" xfId="0" applyFont="1" applyFill="1" applyBorder="1" applyAlignment="1">
      <alignment horizontal="center"/>
    </xf>
    <xf numFmtId="0" fontId="49" fillId="44" borderId="21" xfId="0" applyFont="1" applyFill="1" applyBorder="1" applyAlignment="1">
      <alignment horizontal="center"/>
    </xf>
    <xf numFmtId="0" fontId="49" fillId="44" borderId="16"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90" fillId="41" borderId="15" xfId="0" applyFont="1" applyFill="1" applyBorder="1" applyAlignment="1">
      <alignment horizontal="center"/>
    </xf>
    <xf numFmtId="0" fontId="90" fillId="41" borderId="21"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15" fillId="0" borderId="1" xfId="0" applyFont="1" applyBorder="1" applyAlignment="1">
      <alignment horizontal="left" vertical="top" wrapText="1"/>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1" borderId="21" xfId="0" applyFont="1" applyFill="1" applyBorder="1" applyAlignment="1">
      <alignment horizontal="center"/>
    </xf>
    <xf numFmtId="0" fontId="49" fillId="41" borderId="16" xfId="0" applyFont="1" applyFill="1" applyBorder="1" applyAlignment="1">
      <alignment horizontal="center"/>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15" fillId="0" borderId="4" xfId="0" applyFont="1" applyBorder="1" applyAlignment="1">
      <alignment horizontal="center" wrapText="1"/>
    </xf>
    <xf numFmtId="0" fontId="49" fillId="0" borderId="0" xfId="0" applyFont="1" applyAlignment="1">
      <alignment horizontal="center"/>
    </xf>
    <xf numFmtId="0" fontId="49" fillId="44" borderId="26" xfId="0" applyFont="1" applyFill="1" applyBorder="1" applyAlignment="1">
      <alignment horizontal="center"/>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15" fillId="44" borderId="1" xfId="0" applyFont="1" applyFill="1" applyBorder="1" applyAlignment="1">
      <alignment horizontal="center"/>
    </xf>
    <xf numFmtId="0" fontId="15" fillId="44" borderId="0" xfId="0" applyFont="1" applyFill="1" applyAlignment="1">
      <alignment horizontal="center"/>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9" borderId="0" xfId="0" applyFont="1" applyFill="1" applyAlignment="1">
      <alignment horizontal="center"/>
    </xf>
    <xf numFmtId="0" fontId="15" fillId="0" borderId="2" xfId="0" applyFont="1" applyBorder="1" applyAlignment="1">
      <alignment horizontal="left" vertical="top" wrapText="1"/>
    </xf>
    <xf numFmtId="0" fontId="15" fillId="0" borderId="21" xfId="0" applyFont="1" applyBorder="1" applyAlignment="1">
      <alignment horizontal="left" vertical="top" wrapText="1"/>
    </xf>
    <xf numFmtId="0" fontId="49" fillId="0" borderId="21" xfId="0" applyFont="1" applyBorder="1" applyAlignment="1">
      <alignment horizontal="center"/>
    </xf>
    <xf numFmtId="0" fontId="22" fillId="0" borderId="15" xfId="0" applyFont="1" applyBorder="1" applyAlignment="1">
      <alignment horizontal="center"/>
    </xf>
    <xf numFmtId="0" fontId="22" fillId="0" borderId="21" xfId="0" applyFont="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49" fillId="0" borderId="15" xfId="0" applyFont="1" applyBorder="1" applyAlignment="1">
      <alignment horizontal="left"/>
    </xf>
    <xf numFmtId="0" fontId="49" fillId="0" borderId="21" xfId="0" applyFont="1" applyBorder="1" applyAlignment="1">
      <alignment horizontal="left"/>
    </xf>
    <xf numFmtId="0" fontId="63" fillId="51" borderId="20" xfId="0" applyFont="1" applyFill="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164" fontId="50" fillId="50" borderId="17" xfId="0" applyNumberFormat="1" applyFont="1" applyFill="1" applyBorder="1" applyAlignment="1">
      <alignment horizontal="center" vertical="top" wrapText="1"/>
    </xf>
    <xf numFmtId="164" fontId="50" fillId="50" borderId="4" xfId="0" applyNumberFormat="1" applyFont="1" applyFill="1" applyBorder="1" applyAlignment="1">
      <alignment horizontal="center" vertical="top"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2514.9</c:v>
                </c:pt>
                <c:pt idx="8">
                  <c:v>2575.543516678471</c:v>
                </c:pt>
                <c:pt idx="9">
                  <c:v>2631.6341692094484</c:v>
                </c:pt>
                <c:pt idx="10">
                  <c:v>2682.757733843011</c:v>
                </c:pt>
                <c:pt idx="11">
                  <c:v>2728.521623719575</c:v>
                </c:pt>
                <c:pt idx="12">
                  <c:v>2765.2889285658985</c:v>
                </c:pt>
                <c:pt idx="13">
                  <c:v>2799.2252025612861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2091.5487646335628</c:v>
                </c:pt>
                <c:pt idx="9">
                  <c:v>2112.664006495238</c:v>
                </c:pt>
                <c:pt idx="10">
                  <c:v>2115.5408742899049</c:v>
                </c:pt>
                <c:pt idx="11">
                  <c:v>2123.4765118443584</c:v>
                </c:pt>
                <c:pt idx="12">
                  <c:v>2128.1272379009897</c:v>
                </c:pt>
                <c:pt idx="13">
                  <c:v>2134.0597665598862</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2058.0100000000002</c:v>
                </c:pt>
                <c:pt idx="8">
                  <c:v>2121.0922813120337</c:v>
                </c:pt>
                <c:pt idx="9">
                  <c:v>2173.2981757046864</c:v>
                </c:pt>
                <c:pt idx="10">
                  <c:v>2203.2986081329159</c:v>
                </c:pt>
                <c:pt idx="11">
                  <c:v>2230.9981355639334</c:v>
                </c:pt>
                <c:pt idx="12">
                  <c:v>2247.4161664668882</c:v>
                </c:pt>
                <c:pt idx="13">
                  <c:v>2261.2849691211723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2114.848764633563</c:v>
                </c:pt>
                <c:pt idx="9">
                  <c:v>2145.5640064952386</c:v>
                </c:pt>
                <c:pt idx="10">
                  <c:v>2161.1408742899048</c:v>
                </c:pt>
                <c:pt idx="11">
                  <c:v>2169.8765118443584</c:v>
                </c:pt>
                <c:pt idx="12">
                  <c:v>2172.7272379009896</c:v>
                </c:pt>
                <c:pt idx="13">
                  <c:v>2175.8597665598863</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1942.5487646335628</c:v>
                      </c:pt>
                      <c:pt idx="9">
                        <c:v>1958.6640064952383</c:v>
                      </c:pt>
                      <c:pt idx="10">
                        <c:v>1959.5408742899049</c:v>
                      </c:pt>
                      <c:pt idx="11">
                        <c:v>1964.4765118443584</c:v>
                      </c:pt>
                      <c:pt idx="12">
                        <c:v>1968.1272379009897</c:v>
                      </c:pt>
                      <c:pt idx="13">
                        <c:v>1975.0597665598864</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2" dT="2021-10-29T16:11:55.52" personId="{58CF8BEC-4104-46F7-BE4F-2C9403635492}" id="{EA06F32F-3951-456D-98D7-81A12B3302CE}">
    <text>Disaster loans came in weaker than score predicted, so changing our forecast to bump up going forward</text>
  </threadedComment>
  <threadedComment ref="P23" dT="2021-10-29T16:16:14.38" personId="{58CF8BEC-4104-46F7-BE4F-2C9403635492}" id="{22FE88C0-7530-4D3F-B3ED-C2CE0416DFFC}">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P19" dT="2021-10-29T15:14:10.82" personId="{58CF8BEC-4104-46F7-BE4F-2C9403635492}" id="{496DD5E6-92DB-4241-8194-44008C5D0136}">
    <text>45*4 is from the ARP score for the tax credit (with the rest spread out the next two quarters), and the underlying 34 is the tax credit from before ARP</text>
  </threadedComment>
  <threadedComment ref="B36" dT="2021-07-23T18:16:37.62" personId="{58CF8BEC-4104-46F7-BE4F-2C9403635492}" id="{24753AED-CAC4-444D-81F9-11531D47EC3F}">
    <text>July 2021 CBO Ten Year Budget Projections, Table 1-3 Adjusted, Row 11</text>
  </threadedComment>
  <threadedComment ref="J53" dT="2021-06-23T17:04:07.47" personId="{58CF8BEC-4104-46F7-BE4F-2C9403635492}" id="{D7348167-3C82-468E-B4C0-6427D8E833D4}">
    <text>Formula changes to grow I52 by a pre-covid counterfactual growth rate.</text>
  </threadedComment>
  <threadedComment ref="M53"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9.xml><?xml version="1.0" encoding="utf-8"?>
<ThreadedComments xmlns="http://schemas.microsoft.com/office/spreadsheetml/2018/threadedcomments" xmlns:x="http://schemas.openxmlformats.org/spreadsheetml/2006/main">
  <threadedComment ref="O13" dT="2021-10-29T16:18:57.22" personId="{58CF8BEC-4104-46F7-BE4F-2C9403635492}" id="{01E3D69A-721A-43D9-9622-0CD59E405BE4}">
    <text>Corporate tax projection from last time</text>
  </threadedComment>
  <threadedComment ref="O20" dT="2021-10-29T16:18:50.74" personId="{58CF8BEC-4104-46F7-BE4F-2C9403635492}" id="{A0A0B73F-2B54-44E7-A4D7-58E3FBB08857}">
    <text>Corporate tax projection from last time</text>
  </threadedComment>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5.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7.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8.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54296875" style="607" customWidth="1"/>
    <col min="3" max="16" width="8.54296875" style="607"/>
    <col min="17" max="17" width="38.54296875" style="607" customWidth="1"/>
  </cols>
  <sheetData>
    <row r="10" spans="2:17" x14ac:dyDescent="0.35">
      <c r="B10" s="1031" t="s">
        <v>0</v>
      </c>
      <c r="C10" s="1032"/>
      <c r="D10" s="1032"/>
      <c r="E10" s="1032"/>
      <c r="F10" s="1032"/>
      <c r="G10" s="1032"/>
      <c r="H10" s="1032"/>
      <c r="I10" s="1032"/>
      <c r="J10" s="1032"/>
      <c r="K10" s="1032"/>
      <c r="L10" s="1032"/>
      <c r="M10" s="1032"/>
      <c r="N10" s="1032"/>
      <c r="O10" s="1032"/>
      <c r="P10" s="1032"/>
      <c r="Q10" s="1033"/>
    </row>
    <row r="11" spans="2:17" x14ac:dyDescent="0.35">
      <c r="B11" s="1034"/>
      <c r="C11" s="1035"/>
      <c r="D11" s="1035"/>
      <c r="E11" s="1035"/>
      <c r="F11" s="1035"/>
      <c r="G11" s="1035"/>
      <c r="H11" s="1035"/>
      <c r="I11" s="1035"/>
      <c r="J11" s="1035"/>
      <c r="K11" s="1035"/>
      <c r="L11" s="1035"/>
      <c r="M11" s="1035"/>
      <c r="N11" s="1035"/>
      <c r="O11" s="1035"/>
      <c r="P11" s="1035"/>
      <c r="Q11" s="1036"/>
    </row>
    <row r="12" spans="2:17" x14ac:dyDescent="0.35">
      <c r="B12" s="604" t="s">
        <v>1</v>
      </c>
      <c r="C12" s="918"/>
      <c r="D12" s="918"/>
      <c r="E12" s="918"/>
      <c r="F12" s="918"/>
      <c r="G12" s="918"/>
      <c r="H12" s="918"/>
      <c r="I12" s="918"/>
      <c r="J12" s="918"/>
      <c r="K12" s="918"/>
      <c r="L12" s="918"/>
      <c r="M12" s="918"/>
      <c r="N12" s="918"/>
      <c r="O12" s="918"/>
      <c r="P12" s="918"/>
      <c r="Q12" s="608"/>
    </row>
    <row r="13" spans="2:17" x14ac:dyDescent="0.35">
      <c r="B13" s="605" t="s">
        <v>2</v>
      </c>
      <c r="C13" s="1037" t="s">
        <v>3</v>
      </c>
      <c r="D13" s="1037"/>
      <c r="E13" s="1037"/>
      <c r="F13" s="1037"/>
      <c r="G13" s="1037"/>
      <c r="H13" s="1037"/>
      <c r="I13" s="1037"/>
      <c r="J13" s="1037"/>
      <c r="K13" s="1037"/>
      <c r="L13" s="1037"/>
      <c r="M13" s="1037"/>
      <c r="N13" s="1037"/>
      <c r="O13" s="1037"/>
      <c r="P13" s="1037"/>
      <c r="Q13" s="1038"/>
    </row>
    <row r="14" spans="2:17" x14ac:dyDescent="0.35">
      <c r="B14" s="605" t="s">
        <v>4</v>
      </c>
      <c r="C14" s="609" t="s">
        <v>5</v>
      </c>
      <c r="D14" s="609"/>
      <c r="E14" s="609"/>
      <c r="F14" s="609"/>
      <c r="G14" s="609"/>
      <c r="H14" s="609"/>
      <c r="I14" s="609"/>
      <c r="J14" s="609"/>
      <c r="K14" s="609"/>
      <c r="L14" s="609"/>
      <c r="M14" s="609"/>
      <c r="N14" s="609"/>
      <c r="O14" s="609"/>
      <c r="P14" s="609"/>
      <c r="Q14" s="610"/>
    </row>
    <row r="15" spans="2:17" x14ac:dyDescent="0.35">
      <c r="B15" s="605" t="s">
        <v>6</v>
      </c>
      <c r="C15" s="609" t="s">
        <v>7</v>
      </c>
      <c r="D15" s="609"/>
      <c r="E15" s="609"/>
      <c r="F15" s="609"/>
      <c r="G15" s="609"/>
      <c r="H15" s="609"/>
      <c r="I15" s="609"/>
      <c r="J15" s="609"/>
      <c r="K15" s="609"/>
      <c r="L15" s="609"/>
      <c r="M15" s="609"/>
      <c r="N15" s="609"/>
      <c r="O15" s="609"/>
      <c r="P15" s="609"/>
      <c r="Q15" s="610"/>
    </row>
    <row r="16" spans="2:17" x14ac:dyDescent="0.35">
      <c r="B16" s="605" t="s">
        <v>8</v>
      </c>
      <c r="C16" s="609" t="s">
        <v>9</v>
      </c>
      <c r="D16" s="609"/>
      <c r="E16" s="609"/>
      <c r="F16" s="609"/>
      <c r="G16" s="609"/>
      <c r="H16" s="609"/>
      <c r="I16" s="609"/>
      <c r="J16" s="609"/>
      <c r="K16" s="609"/>
      <c r="L16" s="609"/>
      <c r="M16" s="609"/>
      <c r="N16" s="609"/>
      <c r="O16" s="609"/>
      <c r="P16" s="609"/>
      <c r="Q16" s="610"/>
    </row>
    <row r="17" spans="2:17" x14ac:dyDescent="0.35">
      <c r="B17" s="605" t="s">
        <v>10</v>
      </c>
      <c r="C17" s="609" t="s">
        <v>11</v>
      </c>
      <c r="D17" s="609"/>
      <c r="E17" s="609"/>
      <c r="F17" s="609"/>
      <c r="G17" s="609"/>
      <c r="H17" s="609"/>
      <c r="I17" s="609"/>
      <c r="J17" s="609"/>
      <c r="K17" s="609"/>
      <c r="L17" s="609"/>
      <c r="M17" s="609"/>
      <c r="N17" s="609"/>
      <c r="O17" s="609"/>
      <c r="P17" s="609"/>
      <c r="Q17" s="610"/>
    </row>
    <row r="18" spans="2:17" x14ac:dyDescent="0.35">
      <c r="B18" s="605" t="s">
        <v>12</v>
      </c>
      <c r="C18" s="609" t="s">
        <v>13</v>
      </c>
      <c r="D18" s="609"/>
      <c r="E18" s="609"/>
      <c r="F18" s="609"/>
      <c r="G18" s="609"/>
      <c r="H18" s="609"/>
      <c r="I18" s="609"/>
      <c r="J18" s="609"/>
      <c r="K18" s="609"/>
      <c r="L18" s="609"/>
      <c r="M18" s="609"/>
      <c r="N18" s="609"/>
      <c r="O18" s="609"/>
      <c r="P18" s="609"/>
      <c r="Q18" s="610"/>
    </row>
    <row r="19" spans="2:17" x14ac:dyDescent="0.35">
      <c r="B19" s="605" t="s">
        <v>14</v>
      </c>
      <c r="C19" s="609" t="s">
        <v>15</v>
      </c>
      <c r="D19" s="609"/>
      <c r="E19" s="609"/>
      <c r="F19" s="609"/>
      <c r="G19" s="609"/>
      <c r="H19" s="609"/>
      <c r="I19" s="609"/>
      <c r="J19" s="609"/>
      <c r="K19" s="609"/>
      <c r="L19" s="609"/>
      <c r="M19" s="609"/>
      <c r="N19" s="609"/>
      <c r="O19" s="609"/>
      <c r="P19" s="609"/>
      <c r="Q19" s="610"/>
    </row>
    <row r="20" spans="2:17" ht="30.65" customHeight="1" x14ac:dyDescent="0.35">
      <c r="B20" s="605" t="s">
        <v>16</v>
      </c>
      <c r="C20" s="1029" t="s">
        <v>17</v>
      </c>
      <c r="D20" s="1029"/>
      <c r="E20" s="1029"/>
      <c r="F20" s="1029"/>
      <c r="G20" s="1029"/>
      <c r="H20" s="1029"/>
      <c r="I20" s="1029"/>
      <c r="J20" s="1029"/>
      <c r="K20" s="1029"/>
      <c r="L20" s="1029"/>
      <c r="M20" s="1029"/>
      <c r="N20" s="1029"/>
      <c r="O20" s="1029"/>
      <c r="P20" s="1029"/>
      <c r="Q20" s="1030"/>
    </row>
    <row r="21" spans="2:17" x14ac:dyDescent="0.35">
      <c r="B21" s="605" t="s">
        <v>18</v>
      </c>
      <c r="C21" s="609" t="s">
        <v>19</v>
      </c>
      <c r="D21" s="609"/>
      <c r="E21" s="609"/>
      <c r="F21" s="609"/>
      <c r="G21" s="609"/>
      <c r="H21" s="609"/>
      <c r="I21" s="609"/>
      <c r="J21" s="609"/>
      <c r="K21" s="609"/>
      <c r="L21" s="609"/>
      <c r="M21" s="609"/>
      <c r="N21" s="609"/>
      <c r="O21" s="609"/>
      <c r="P21" s="609"/>
      <c r="Q21" s="610"/>
    </row>
    <row r="22" spans="2:17" ht="32.15" customHeight="1" x14ac:dyDescent="0.35">
      <c r="B22" s="605" t="s">
        <v>20</v>
      </c>
      <c r="C22" s="1029" t="s">
        <v>21</v>
      </c>
      <c r="D22" s="1029"/>
      <c r="E22" s="1029"/>
      <c r="F22" s="1029"/>
      <c r="G22" s="1029"/>
      <c r="H22" s="1029"/>
      <c r="I22" s="1029"/>
      <c r="J22" s="1029"/>
      <c r="K22" s="1029"/>
      <c r="L22" s="1029"/>
      <c r="M22" s="1029"/>
      <c r="N22" s="1029"/>
      <c r="O22" s="1029"/>
      <c r="P22" s="1029"/>
      <c r="Q22" s="1030"/>
    </row>
    <row r="23" spans="2:17" ht="31" customHeight="1" x14ac:dyDescent="0.35">
      <c r="B23" s="605" t="s">
        <v>22</v>
      </c>
      <c r="C23" s="1029" t="s">
        <v>23</v>
      </c>
      <c r="D23" s="1029"/>
      <c r="E23" s="1029"/>
      <c r="F23" s="1029"/>
      <c r="G23" s="1029"/>
      <c r="H23" s="1029"/>
      <c r="I23" s="1029"/>
      <c r="J23" s="1029"/>
      <c r="K23" s="1029"/>
      <c r="L23" s="1029"/>
      <c r="M23" s="1029"/>
      <c r="N23" s="1029"/>
      <c r="O23" s="1029"/>
      <c r="P23" s="1029"/>
      <c r="Q23" s="1030"/>
    </row>
    <row r="24" spans="2:17" x14ac:dyDescent="0.35">
      <c r="B24" s="605" t="s">
        <v>24</v>
      </c>
      <c r="C24" s="609" t="s">
        <v>25</v>
      </c>
      <c r="D24" s="609"/>
      <c r="E24" s="609"/>
      <c r="F24" s="609"/>
      <c r="G24" s="609"/>
      <c r="H24" s="609"/>
      <c r="I24" s="609"/>
      <c r="J24" s="609"/>
      <c r="K24" s="609"/>
      <c r="L24" s="609"/>
      <c r="M24" s="609"/>
      <c r="N24" s="609"/>
      <c r="O24" s="609"/>
      <c r="P24" s="609"/>
      <c r="Q24" s="610"/>
    </row>
    <row r="25" spans="2:17" x14ac:dyDescent="0.35">
      <c r="B25" s="605" t="s">
        <v>26</v>
      </c>
      <c r="C25" s="609" t="s">
        <v>27</v>
      </c>
      <c r="D25" s="609"/>
      <c r="E25" s="609"/>
      <c r="F25" s="609"/>
      <c r="G25" s="609"/>
      <c r="H25" s="609"/>
      <c r="I25" s="609"/>
      <c r="J25" s="609"/>
      <c r="K25" s="609"/>
      <c r="L25" s="609"/>
      <c r="M25" s="609"/>
      <c r="N25" s="609"/>
      <c r="O25" s="609"/>
      <c r="P25" s="609"/>
      <c r="Q25" s="610"/>
    </row>
    <row r="26" spans="2:17" x14ac:dyDescent="0.35">
      <c r="B26" s="605" t="s">
        <v>28</v>
      </c>
      <c r="C26" s="609" t="s">
        <v>29</v>
      </c>
      <c r="D26" s="609"/>
      <c r="E26" s="609"/>
      <c r="F26" s="609"/>
      <c r="G26" s="609"/>
      <c r="H26" s="609"/>
      <c r="I26" s="609"/>
      <c r="J26" s="609"/>
      <c r="K26" s="609"/>
      <c r="L26" s="609"/>
      <c r="M26" s="609"/>
      <c r="N26" s="609"/>
      <c r="O26" s="609"/>
      <c r="P26" s="609"/>
      <c r="Q26" s="610"/>
    </row>
    <row r="27" spans="2:17" x14ac:dyDescent="0.35">
      <c r="B27" s="605" t="s">
        <v>30</v>
      </c>
      <c r="C27" s="609" t="s">
        <v>31</v>
      </c>
      <c r="D27" s="609"/>
      <c r="E27" s="609"/>
      <c r="F27" s="609"/>
      <c r="G27" s="609"/>
      <c r="H27" s="609"/>
      <c r="I27" s="609"/>
      <c r="J27" s="609"/>
      <c r="K27" s="609"/>
      <c r="L27" s="609"/>
      <c r="M27" s="609"/>
      <c r="N27" s="609"/>
      <c r="O27" s="609"/>
      <c r="P27" s="609"/>
      <c r="Q27" s="610"/>
    </row>
    <row r="28" spans="2:17" x14ac:dyDescent="0.35">
      <c r="B28" s="605" t="s">
        <v>32</v>
      </c>
      <c r="C28" s="609" t="s">
        <v>33</v>
      </c>
      <c r="D28" s="609"/>
      <c r="E28" s="609"/>
      <c r="F28" s="609"/>
      <c r="G28" s="609"/>
      <c r="H28" s="609"/>
      <c r="I28" s="609"/>
      <c r="J28" s="609"/>
      <c r="K28" s="609"/>
      <c r="L28" s="609"/>
      <c r="M28" s="609"/>
      <c r="N28" s="609"/>
      <c r="O28" s="609"/>
      <c r="P28" s="609"/>
      <c r="Q28" s="610"/>
    </row>
    <row r="29" spans="2:17" x14ac:dyDescent="0.35">
      <c r="B29" s="605" t="s">
        <v>34</v>
      </c>
      <c r="C29" s="609" t="s">
        <v>35</v>
      </c>
      <c r="D29" s="609"/>
      <c r="E29" s="609"/>
      <c r="F29" s="609"/>
      <c r="G29" s="609"/>
      <c r="H29" s="609"/>
      <c r="I29" s="609"/>
      <c r="J29" s="609"/>
      <c r="K29" s="609"/>
      <c r="L29" s="609"/>
      <c r="M29" s="609"/>
      <c r="N29" s="609"/>
      <c r="O29" s="609"/>
      <c r="P29" s="609"/>
      <c r="Q29" s="610"/>
    </row>
    <row r="30" spans="2:17" x14ac:dyDescent="0.35">
      <c r="B30" s="605"/>
      <c r="C30" s="609"/>
      <c r="D30" s="609"/>
      <c r="E30" s="609"/>
      <c r="F30" s="609"/>
      <c r="G30" s="609"/>
      <c r="H30" s="609"/>
      <c r="I30" s="609"/>
      <c r="J30" s="609"/>
      <c r="K30" s="609"/>
      <c r="L30" s="609"/>
      <c r="M30" s="609"/>
      <c r="N30" s="609"/>
      <c r="O30" s="609"/>
      <c r="P30" s="609"/>
      <c r="Q30" s="610"/>
    </row>
    <row r="31" spans="2:17" x14ac:dyDescent="0.35">
      <c r="B31" s="606" t="s">
        <v>36</v>
      </c>
      <c r="C31" s="609"/>
      <c r="D31" s="609"/>
      <c r="E31" s="609"/>
      <c r="F31" s="609"/>
      <c r="G31" s="609"/>
      <c r="H31" s="609"/>
      <c r="I31" s="609"/>
      <c r="J31" s="609"/>
      <c r="K31" s="609"/>
      <c r="L31" s="609"/>
      <c r="M31" s="609"/>
      <c r="N31" s="609"/>
      <c r="O31" s="609"/>
      <c r="P31" s="609"/>
      <c r="Q31" s="610"/>
    </row>
    <row r="32" spans="2:17" x14ac:dyDescent="0.35">
      <c r="B32" s="605" t="s">
        <v>37</v>
      </c>
      <c r="C32" s="609"/>
      <c r="D32" s="609"/>
      <c r="E32" s="609"/>
      <c r="F32" s="609"/>
      <c r="G32" s="609"/>
      <c r="H32" s="609"/>
      <c r="I32" s="609"/>
      <c r="J32" s="609"/>
      <c r="K32" s="609"/>
      <c r="L32" s="609"/>
      <c r="M32" s="609"/>
      <c r="N32" s="609"/>
      <c r="O32" s="609"/>
      <c r="P32" s="609"/>
      <c r="Q32" s="610"/>
    </row>
    <row r="33" spans="2:17" ht="30.65" customHeight="1" x14ac:dyDescent="0.35">
      <c r="B33" s="1028" t="s">
        <v>38</v>
      </c>
      <c r="C33" s="1029"/>
      <c r="D33" s="1029"/>
      <c r="E33" s="1029"/>
      <c r="F33" s="1029"/>
      <c r="G33" s="1029"/>
      <c r="H33" s="1029"/>
      <c r="I33" s="1029"/>
      <c r="J33" s="1029"/>
      <c r="K33" s="1029"/>
      <c r="L33" s="1029"/>
      <c r="M33" s="1029"/>
      <c r="N33" s="1029"/>
      <c r="O33" s="1029"/>
      <c r="P33" s="1029"/>
      <c r="Q33" s="1030"/>
    </row>
    <row r="34" spans="2:17" x14ac:dyDescent="0.35">
      <c r="B34" s="614" t="s">
        <v>39</v>
      </c>
      <c r="C34" s="609"/>
      <c r="D34" s="609"/>
      <c r="E34" s="609"/>
      <c r="F34" s="609"/>
      <c r="G34" s="609"/>
      <c r="H34" s="609"/>
      <c r="I34" s="609"/>
      <c r="J34" s="609"/>
      <c r="K34" s="609"/>
      <c r="L34" s="609"/>
      <c r="M34" s="609"/>
      <c r="N34" s="609"/>
      <c r="O34" s="609"/>
      <c r="P34" s="609"/>
      <c r="Q34" s="610"/>
    </row>
    <row r="35" spans="2:17" x14ac:dyDescent="0.35">
      <c r="B35" s="605" t="s">
        <v>40</v>
      </c>
      <c r="C35" s="609"/>
      <c r="D35" s="609"/>
      <c r="E35" s="609"/>
      <c r="F35" s="609"/>
      <c r="G35" s="609"/>
      <c r="H35" s="609"/>
      <c r="I35" s="609"/>
      <c r="J35" s="609"/>
      <c r="K35" s="609"/>
      <c r="L35" s="609"/>
      <c r="M35" s="609"/>
      <c r="N35" s="609"/>
      <c r="O35" s="609"/>
      <c r="P35" s="609"/>
      <c r="Q35" s="610"/>
    </row>
    <row r="36" spans="2:17" x14ac:dyDescent="0.35">
      <c r="B36" s="605" t="s">
        <v>41</v>
      </c>
      <c r="C36" s="609"/>
      <c r="D36" s="609"/>
      <c r="E36" s="609"/>
      <c r="F36" s="609"/>
      <c r="G36" s="609"/>
      <c r="H36" s="609"/>
      <c r="I36" s="609"/>
      <c r="J36" s="609"/>
      <c r="K36" s="609"/>
      <c r="L36" s="609"/>
      <c r="M36" s="609"/>
      <c r="N36" s="609"/>
      <c r="O36" s="609"/>
      <c r="P36" s="609"/>
      <c r="Q36" s="610"/>
    </row>
    <row r="37" spans="2:17" x14ac:dyDescent="0.35">
      <c r="B37" s="613" t="s">
        <v>42</v>
      </c>
      <c r="C37" s="611"/>
      <c r="D37" s="611"/>
      <c r="E37" s="611"/>
      <c r="F37" s="611"/>
      <c r="G37" s="611"/>
      <c r="H37" s="611"/>
      <c r="I37" s="611"/>
      <c r="J37" s="611"/>
      <c r="K37" s="611"/>
      <c r="L37" s="611"/>
      <c r="M37" s="611"/>
      <c r="N37" s="611"/>
      <c r="O37" s="611"/>
      <c r="P37" s="611"/>
      <c r="Q37" s="612"/>
    </row>
    <row r="40" spans="2:17" x14ac:dyDescent="0.35">
      <c r="B40" s="615"/>
      <c r="C40" s="615"/>
      <c r="D40" s="615"/>
      <c r="E40" s="615"/>
      <c r="F40" s="615"/>
      <c r="G40" s="615"/>
      <c r="H40" s="615"/>
      <c r="I40" s="615"/>
      <c r="J40" s="615"/>
      <c r="K40" s="615"/>
      <c r="L40" s="615"/>
      <c r="M40" s="615"/>
      <c r="N40" s="615"/>
      <c r="O40" s="615"/>
      <c r="P40" s="615"/>
      <c r="Q40" s="615"/>
    </row>
    <row r="41" spans="2:17" x14ac:dyDescent="0.35">
      <c r="B41" s="615"/>
      <c r="C41" s="615"/>
      <c r="D41" s="615"/>
      <c r="E41" s="615"/>
      <c r="F41" s="615"/>
      <c r="G41" s="615"/>
      <c r="H41" s="615"/>
      <c r="I41" s="615"/>
      <c r="J41" s="615"/>
      <c r="K41" s="615"/>
      <c r="L41" s="615"/>
      <c r="M41" s="615"/>
      <c r="N41" s="615"/>
      <c r="O41" s="615"/>
      <c r="P41" s="615"/>
      <c r="Q41" s="615"/>
    </row>
    <row r="42" spans="2:17" x14ac:dyDescent="0.35">
      <c r="B42" s="615"/>
      <c r="C42" s="615"/>
      <c r="D42" s="615"/>
      <c r="E42" s="615"/>
      <c r="F42" s="615"/>
      <c r="G42" s="615"/>
      <c r="H42" s="615"/>
      <c r="I42" s="615"/>
      <c r="J42" s="615"/>
      <c r="K42" s="615"/>
      <c r="L42" s="615"/>
      <c r="M42" s="615"/>
      <c r="N42" s="615"/>
      <c r="O42" s="615"/>
      <c r="P42" s="615"/>
      <c r="Q42" s="615"/>
    </row>
    <row r="43" spans="2:17" x14ac:dyDescent="0.35">
      <c r="B43" s="615"/>
      <c r="C43" s="615"/>
      <c r="D43" s="615"/>
      <c r="E43" s="615"/>
      <c r="F43" s="615"/>
      <c r="G43" s="615"/>
      <c r="H43" s="615"/>
      <c r="I43" s="615"/>
      <c r="J43" s="615"/>
      <c r="K43" s="615"/>
      <c r="L43" s="615"/>
      <c r="M43" s="615"/>
      <c r="N43" s="615"/>
      <c r="O43" s="615"/>
      <c r="P43" s="615"/>
      <c r="Q43" s="615"/>
    </row>
    <row r="44" spans="2:17" x14ac:dyDescent="0.35">
      <c r="B44" s="615"/>
      <c r="C44" s="615"/>
      <c r="D44" s="615"/>
      <c r="E44" s="615"/>
      <c r="F44" s="615"/>
      <c r="G44" s="615"/>
      <c r="H44" s="615"/>
      <c r="I44" s="615"/>
      <c r="J44" s="615"/>
      <c r="K44" s="615"/>
      <c r="L44" s="615"/>
      <c r="M44" s="615"/>
      <c r="N44" s="615"/>
      <c r="O44" s="615"/>
      <c r="P44" s="615"/>
      <c r="Q44" s="615"/>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H5"/>
  <sheetViews>
    <sheetView workbookViewId="0">
      <selection activeCell="B7" sqref="B7"/>
    </sheetView>
  </sheetViews>
  <sheetFormatPr defaultColWidth="8.81640625" defaultRowHeight="14.5" x14ac:dyDescent="0.35"/>
  <cols>
    <col min="1" max="1" width="18.453125" customWidth="1"/>
    <col min="2" max="2" width="27.1796875" customWidth="1"/>
  </cols>
  <sheetData>
    <row r="1" spans="1:8" s="282" customFormat="1" x14ac:dyDescent="0.35">
      <c r="A1" s="282" t="s">
        <v>222</v>
      </c>
      <c r="B1" s="282" t="s">
        <v>223</v>
      </c>
      <c r="C1" s="181" t="s">
        <v>368</v>
      </c>
      <c r="D1" s="181" t="s">
        <v>369</v>
      </c>
      <c r="E1" s="181" t="s">
        <v>370</v>
      </c>
      <c r="F1" s="181" t="s">
        <v>371</v>
      </c>
      <c r="G1" s="282" t="s">
        <v>372</v>
      </c>
      <c r="H1" s="282" t="s">
        <v>224</v>
      </c>
    </row>
    <row r="2" spans="1:8" ht="29" x14ac:dyDescent="0.35">
      <c r="A2" s="1" t="s">
        <v>373</v>
      </c>
      <c r="B2" t="s">
        <v>374</v>
      </c>
      <c r="C2">
        <f>Grants!J74</f>
        <v>334.61</v>
      </c>
      <c r="D2">
        <f>Grants!K74</f>
        <v>301.78300000000002</v>
      </c>
      <c r="E2">
        <f>Grants!L74</f>
        <v>280.16300000000001</v>
      </c>
      <c r="F2">
        <f>Grants!M74</f>
        <v>310.15499999999997</v>
      </c>
      <c r="G2">
        <f>Grants!N74</f>
        <v>346.31500000000005</v>
      </c>
      <c r="H2">
        <f>Grants!O74</f>
        <v>384.12299999999988</v>
      </c>
    </row>
    <row r="3" spans="1:8" ht="43.5" x14ac:dyDescent="0.35">
      <c r="A3" s="987" t="s">
        <v>1246</v>
      </c>
      <c r="B3" t="s">
        <v>1243</v>
      </c>
      <c r="C3">
        <f>'Social Benefits'!J23</f>
        <v>1633.45875</v>
      </c>
      <c r="D3">
        <f>'Social Benefits'!K23</f>
        <v>1649.3267500000004</v>
      </c>
      <c r="E3">
        <f>'Social Benefits'!L23</f>
        <v>1640.5507500000006</v>
      </c>
      <c r="F3">
        <f>'Social Benefits'!M23</f>
        <v>1765.4667500000007</v>
      </c>
      <c r="G3">
        <f>'Social Benefits'!N23</f>
        <v>1725.7041100000008</v>
      </c>
      <c r="H3">
        <f>'Social Benefits'!O23</f>
        <v>1819.8643900000011</v>
      </c>
    </row>
    <row r="4" spans="1:8" ht="43.5" x14ac:dyDescent="0.35">
      <c r="A4" s="987" t="s">
        <v>1248</v>
      </c>
      <c r="B4" t="s">
        <v>1244</v>
      </c>
      <c r="C4">
        <f>'Social Benefits'!J25</f>
        <v>0</v>
      </c>
      <c r="D4">
        <f>'Social Benefits'!K25</f>
        <v>0</v>
      </c>
      <c r="E4">
        <f>'Social Benefits'!L25</f>
        <v>0</v>
      </c>
      <c r="F4">
        <f>'Social Benefits'!M25</f>
        <v>0</v>
      </c>
      <c r="G4">
        <f>'Social Benefits'!N25</f>
        <v>53.448640000000026</v>
      </c>
      <c r="H4">
        <f>'Social Benefits'!O25</f>
        <v>137.43936000000005</v>
      </c>
    </row>
    <row r="5" spans="1:8" ht="29" x14ac:dyDescent="0.35">
      <c r="A5" s="987" t="s">
        <v>1247</v>
      </c>
      <c r="B5" t="s">
        <v>1245</v>
      </c>
      <c r="C5">
        <f>'Social Benefits'!J26</f>
        <v>160.9</v>
      </c>
      <c r="D5">
        <f>'Social Benefits'!K26</f>
        <v>58.4</v>
      </c>
      <c r="E5">
        <f>'Social Benefits'!L26</f>
        <v>34.5</v>
      </c>
      <c r="F5">
        <f>'Social Benefits'!M26</f>
        <v>43</v>
      </c>
      <c r="G5">
        <f>'Social Benefits'!N26</f>
        <v>26.6</v>
      </c>
      <c r="H5">
        <f>'Social Benefits'!O26</f>
        <v>40.50400000000004</v>
      </c>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81640625" defaultRowHeight="14.5" x14ac:dyDescent="0.35"/>
  <cols>
    <col min="1" max="1" width="70.81640625" bestFit="1" customWidth="1"/>
    <col min="2" max="2" width="70.81640625" customWidth="1"/>
  </cols>
  <sheetData>
    <row r="1" spans="1:45" ht="15.5" x14ac:dyDescent="0.35">
      <c r="A1" s="1054" t="s">
        <v>375</v>
      </c>
      <c r="B1" s="1054"/>
      <c r="C1" s="1054"/>
      <c r="D1" s="1054"/>
      <c r="E1" s="1054"/>
      <c r="F1" s="1054"/>
      <c r="G1" s="1054"/>
      <c r="H1" s="1054"/>
      <c r="I1" s="1054"/>
      <c r="J1" s="1054"/>
      <c r="K1" s="1054"/>
      <c r="L1" s="1054"/>
      <c r="M1" s="1054"/>
      <c r="N1" s="1054"/>
      <c r="O1" s="1054"/>
    </row>
    <row r="2" spans="1:45" ht="31" x14ac:dyDescent="0.35">
      <c r="A2" s="222"/>
      <c r="B2" s="222" t="s">
        <v>223</v>
      </c>
      <c r="C2" s="239">
        <v>1</v>
      </c>
      <c r="D2" s="239">
        <f>C2+1</f>
        <v>2</v>
      </c>
      <c r="E2" s="239">
        <f t="shared" ref="E2:N2" si="0">D2+1</f>
        <v>3</v>
      </c>
      <c r="F2" s="239">
        <f t="shared" si="0"/>
        <v>4</v>
      </c>
      <c r="G2" s="239">
        <f t="shared" si="0"/>
        <v>5</v>
      </c>
      <c r="H2" s="239">
        <f t="shared" si="0"/>
        <v>6</v>
      </c>
      <c r="I2" s="239">
        <f t="shared" si="0"/>
        <v>7</v>
      </c>
      <c r="J2" s="239">
        <f t="shared" si="0"/>
        <v>8</v>
      </c>
      <c r="K2" s="239">
        <f t="shared" si="0"/>
        <v>9</v>
      </c>
      <c r="L2" s="239">
        <f t="shared" si="0"/>
        <v>10</v>
      </c>
      <c r="M2" s="239">
        <f t="shared" si="0"/>
        <v>11</v>
      </c>
      <c r="N2" s="239">
        <f t="shared" si="0"/>
        <v>12</v>
      </c>
      <c r="O2" s="237" t="s">
        <v>376</v>
      </c>
    </row>
    <row r="3" spans="1:45" ht="15.5" x14ac:dyDescent="0.35">
      <c r="A3" s="224" t="s">
        <v>377</v>
      </c>
      <c r="B3" s="686" t="s">
        <v>378</v>
      </c>
      <c r="C3" s="917">
        <v>0.22500000000000001</v>
      </c>
      <c r="D3" s="917">
        <v>0.22500000000000001</v>
      </c>
      <c r="E3" s="917">
        <v>0.22500000000000001</v>
      </c>
      <c r="F3" s="917">
        <v>0.22500000000000001</v>
      </c>
      <c r="G3" s="916">
        <v>0</v>
      </c>
      <c r="H3" s="916">
        <v>0</v>
      </c>
      <c r="I3" s="916">
        <v>0</v>
      </c>
      <c r="J3" s="916">
        <v>0</v>
      </c>
      <c r="K3" s="916">
        <v>0</v>
      </c>
      <c r="L3" s="916">
        <v>0</v>
      </c>
      <c r="M3" s="916">
        <v>0</v>
      </c>
      <c r="N3" s="916">
        <v>0</v>
      </c>
      <c r="O3" s="223"/>
      <c r="P3" s="917"/>
      <c r="Q3" s="917"/>
      <c r="R3" s="917"/>
      <c r="S3" s="917"/>
      <c r="T3" s="916"/>
      <c r="U3" s="916"/>
      <c r="V3" s="916"/>
      <c r="W3" s="916"/>
      <c r="X3" s="916"/>
      <c r="Y3" s="916"/>
      <c r="Z3" s="916"/>
      <c r="AA3" s="916"/>
      <c r="AC3" s="915"/>
      <c r="AD3" s="915"/>
      <c r="AE3" s="915"/>
      <c r="AF3" s="915"/>
      <c r="AG3" s="915"/>
      <c r="AH3" s="915"/>
      <c r="AI3" s="915"/>
      <c r="AJ3" s="915"/>
      <c r="AK3" s="915"/>
      <c r="AL3" s="915"/>
      <c r="AM3" s="915"/>
      <c r="AN3" s="915"/>
      <c r="AO3" s="915"/>
      <c r="AP3" s="915"/>
      <c r="AQ3" s="915"/>
      <c r="AR3" s="915"/>
      <c r="AS3" s="915"/>
    </row>
    <row r="4" spans="1:45" ht="15.5" x14ac:dyDescent="0.35">
      <c r="A4" s="226" t="s">
        <v>379</v>
      </c>
      <c r="B4" s="687" t="s">
        <v>380</v>
      </c>
      <c r="C4" s="917">
        <v>-3.3333333333333333E-2</v>
      </c>
      <c r="D4" s="917">
        <v>-3.3333333333333333E-2</v>
      </c>
      <c r="E4" s="917">
        <v>-3.3333333333333333E-2</v>
      </c>
      <c r="F4" s="917">
        <v>-3.3333333333333333E-2</v>
      </c>
      <c r="G4" s="917">
        <v>-3.3333333333333333E-2</v>
      </c>
      <c r="H4" s="917">
        <v>-3.3333333333333333E-2</v>
      </c>
      <c r="I4" s="917">
        <v>-3.3333333333333333E-2</v>
      </c>
      <c r="J4" s="917">
        <v>-3.3333333333333333E-2</v>
      </c>
      <c r="K4" s="917">
        <v>-3.3333333333333333E-2</v>
      </c>
      <c r="L4" s="917">
        <v>-3.3333333333333333E-2</v>
      </c>
      <c r="M4" s="917">
        <v>-3.3333333333333333E-2</v>
      </c>
      <c r="N4" s="917">
        <v>-3.3333333333333333E-2</v>
      </c>
      <c r="O4" s="238">
        <f>SUM(C4:N4)</f>
        <v>-0.39999999999999997</v>
      </c>
      <c r="P4" s="917"/>
      <c r="Q4" s="917"/>
      <c r="R4" s="917"/>
      <c r="S4" s="917"/>
      <c r="T4" s="917"/>
      <c r="U4" s="917"/>
      <c r="V4" s="917"/>
      <c r="W4" s="917"/>
      <c r="X4" s="917"/>
      <c r="Y4" s="917"/>
      <c r="Z4" s="917"/>
      <c r="AA4" s="917"/>
      <c r="AC4" s="915"/>
      <c r="AD4" s="915"/>
      <c r="AE4" s="915"/>
      <c r="AF4" s="915"/>
      <c r="AG4" s="915"/>
      <c r="AH4" s="915"/>
      <c r="AI4" s="915"/>
      <c r="AJ4" s="915"/>
      <c r="AK4" s="915"/>
      <c r="AL4" s="915"/>
      <c r="AM4" s="915"/>
      <c r="AN4" s="915"/>
    </row>
    <row r="5" spans="1:45" ht="15.5" x14ac:dyDescent="0.35">
      <c r="A5" s="226" t="s">
        <v>381</v>
      </c>
      <c r="B5" s="687" t="s">
        <v>382</v>
      </c>
      <c r="C5" s="917">
        <v>-0.12</v>
      </c>
      <c r="D5" s="917">
        <v>-0.12</v>
      </c>
      <c r="E5" s="917">
        <v>-0.06</v>
      </c>
      <c r="F5" s="917">
        <v>-0.06</v>
      </c>
      <c r="G5" s="917">
        <v>-0.06</v>
      </c>
      <c r="H5" s="917">
        <v>-0.06</v>
      </c>
      <c r="I5" s="917">
        <v>-0.06</v>
      </c>
      <c r="J5" s="917">
        <v>-0.06</v>
      </c>
      <c r="K5" s="917">
        <v>0</v>
      </c>
      <c r="L5" s="917">
        <v>0</v>
      </c>
      <c r="M5" s="917">
        <v>0</v>
      </c>
      <c r="N5" s="917">
        <v>0</v>
      </c>
      <c r="O5" s="238">
        <f t="shared" ref="O5:O13" si="1">SUM(C5:N5)</f>
        <v>-0.60000000000000009</v>
      </c>
      <c r="P5" s="917"/>
      <c r="Q5" s="917"/>
      <c r="R5" s="917"/>
      <c r="S5" s="917"/>
      <c r="T5" s="917"/>
      <c r="U5" s="917"/>
      <c r="V5" s="917"/>
      <c r="W5" s="917"/>
      <c r="X5" s="917"/>
      <c r="Y5" s="917"/>
      <c r="Z5" s="917"/>
      <c r="AA5" s="917"/>
      <c r="AC5" s="915"/>
      <c r="AD5" s="915"/>
      <c r="AE5" s="915"/>
      <c r="AF5" s="915"/>
      <c r="AG5" s="915"/>
      <c r="AH5" s="915"/>
      <c r="AI5" s="915"/>
      <c r="AJ5" s="915"/>
      <c r="AK5" s="915"/>
      <c r="AL5" s="915"/>
      <c r="AM5" s="915"/>
      <c r="AN5" s="915"/>
    </row>
    <row r="6" spans="1:45" ht="15.5" x14ac:dyDescent="0.35">
      <c r="A6" s="224" t="s">
        <v>383</v>
      </c>
      <c r="B6" s="686" t="s">
        <v>257</v>
      </c>
      <c r="C6" s="917">
        <v>0.24499999999999997</v>
      </c>
      <c r="D6" s="917">
        <v>0.105</v>
      </c>
      <c r="E6" s="917">
        <v>5.5999999999999994E-2</v>
      </c>
      <c r="F6" s="917">
        <v>5.5999999999999994E-2</v>
      </c>
      <c r="G6" s="917">
        <v>5.5999999999999994E-2</v>
      </c>
      <c r="H6" s="917">
        <v>5.5999999999999994E-2</v>
      </c>
      <c r="I6" s="917">
        <v>5.5999999999999994E-2</v>
      </c>
      <c r="J6" s="917">
        <v>5.5999999999999994E-2</v>
      </c>
      <c r="K6" s="917">
        <v>0</v>
      </c>
      <c r="L6" s="917">
        <v>0</v>
      </c>
      <c r="M6" s="917">
        <v>0</v>
      </c>
      <c r="N6" s="917">
        <v>0</v>
      </c>
      <c r="O6" s="238">
        <f t="shared" si="1"/>
        <v>0.68600000000000017</v>
      </c>
      <c r="P6" s="917"/>
      <c r="Q6" s="917"/>
      <c r="R6" s="917"/>
      <c r="S6" s="917"/>
      <c r="T6" s="917"/>
      <c r="U6" s="917"/>
      <c r="V6" s="917"/>
      <c r="W6" s="917"/>
      <c r="X6" s="917"/>
      <c r="Y6" s="917"/>
      <c r="Z6" s="917"/>
      <c r="AA6" s="917"/>
      <c r="AC6" s="915"/>
      <c r="AD6" s="915"/>
      <c r="AE6" s="915"/>
      <c r="AF6" s="915"/>
      <c r="AG6" s="915"/>
      <c r="AH6" s="915"/>
      <c r="AI6" s="915"/>
      <c r="AJ6" s="915"/>
      <c r="AK6" s="915"/>
      <c r="AL6" s="915"/>
      <c r="AM6" s="915"/>
      <c r="AN6" s="915"/>
    </row>
    <row r="7" spans="1:45" ht="15.5" x14ac:dyDescent="0.35">
      <c r="A7" s="224" t="s">
        <v>384</v>
      </c>
      <c r="B7" s="686" t="s">
        <v>385</v>
      </c>
      <c r="C7" s="917">
        <v>0.315</v>
      </c>
      <c r="D7" s="917">
        <v>0.315</v>
      </c>
      <c r="E7" s="917">
        <v>9.0000000000000011E-2</v>
      </c>
      <c r="F7" s="917">
        <v>9.0000000000000011E-2</v>
      </c>
      <c r="G7" s="917">
        <v>4.5000000000000005E-2</v>
      </c>
      <c r="H7" s="917">
        <v>4.5000000000000005E-2</v>
      </c>
      <c r="I7" s="917">
        <v>0</v>
      </c>
      <c r="J7" s="917">
        <v>0</v>
      </c>
      <c r="K7" s="917">
        <v>0</v>
      </c>
      <c r="L7" s="917">
        <v>0</v>
      </c>
      <c r="M7" s="917">
        <v>0</v>
      </c>
      <c r="N7" s="917">
        <v>0</v>
      </c>
      <c r="O7" s="238">
        <f t="shared" si="1"/>
        <v>0.9</v>
      </c>
      <c r="P7" s="917"/>
      <c r="Q7" s="917"/>
      <c r="R7" s="917"/>
      <c r="S7" s="917"/>
      <c r="T7" s="917"/>
      <c r="U7" s="917"/>
      <c r="V7" s="917"/>
      <c r="W7" s="917"/>
      <c r="X7" s="917"/>
      <c r="Y7" s="917"/>
      <c r="Z7" s="917"/>
      <c r="AA7" s="917"/>
      <c r="AC7" s="915"/>
      <c r="AD7" s="915"/>
      <c r="AE7" s="915"/>
      <c r="AF7" s="915"/>
      <c r="AG7" s="915"/>
      <c r="AH7" s="915"/>
      <c r="AI7" s="915"/>
      <c r="AJ7" s="915"/>
      <c r="AK7" s="915"/>
      <c r="AL7" s="915"/>
      <c r="AM7" s="915"/>
      <c r="AN7" s="915"/>
    </row>
    <row r="8" spans="1:45" ht="15.5" x14ac:dyDescent="0.35">
      <c r="A8" s="224" t="s">
        <v>386</v>
      </c>
      <c r="B8" s="686" t="s">
        <v>387</v>
      </c>
      <c r="C8" s="917">
        <v>0.22500000000000001</v>
      </c>
      <c r="D8" s="917">
        <v>0.22500000000000001</v>
      </c>
      <c r="E8" s="917">
        <v>0.22500000000000001</v>
      </c>
      <c r="F8" s="917">
        <v>0.22500000000000001</v>
      </c>
      <c r="G8" s="917">
        <v>0</v>
      </c>
      <c r="H8" s="917">
        <v>0</v>
      </c>
      <c r="I8" s="917">
        <v>0</v>
      </c>
      <c r="J8" s="917">
        <v>0</v>
      </c>
      <c r="K8" s="917">
        <v>0</v>
      </c>
      <c r="L8" s="917">
        <v>0</v>
      </c>
      <c r="M8" s="917">
        <v>0</v>
      </c>
      <c r="N8" s="917">
        <v>0</v>
      </c>
      <c r="O8" s="238">
        <f t="shared" si="1"/>
        <v>0.9</v>
      </c>
      <c r="P8" s="917"/>
      <c r="Q8" s="917"/>
      <c r="R8" s="917"/>
      <c r="S8" s="917"/>
      <c r="T8" s="917"/>
      <c r="U8" s="917"/>
      <c r="V8" s="917"/>
      <c r="W8" s="917"/>
      <c r="X8" s="917"/>
      <c r="Y8" s="917"/>
      <c r="Z8" s="917"/>
      <c r="AA8" s="917"/>
      <c r="AC8" s="915"/>
      <c r="AD8" s="915"/>
      <c r="AE8" s="915"/>
      <c r="AF8" s="915"/>
      <c r="AG8" s="915"/>
      <c r="AH8" s="915"/>
      <c r="AI8" s="915"/>
      <c r="AJ8" s="915"/>
      <c r="AK8" s="915"/>
      <c r="AL8" s="915"/>
      <c r="AM8" s="915"/>
      <c r="AN8" s="915"/>
    </row>
    <row r="9" spans="1:45" ht="15.5" x14ac:dyDescent="0.35">
      <c r="A9" s="224" t="s">
        <v>388</v>
      </c>
      <c r="B9" s="686" t="s">
        <v>389</v>
      </c>
      <c r="C9" s="917">
        <v>4.9500000000000002E-2</v>
      </c>
      <c r="D9" s="917">
        <v>4.2750000000000003E-2</v>
      </c>
      <c r="E9" s="917">
        <v>4.0500000000000001E-2</v>
      </c>
      <c r="F9" s="917">
        <v>3.8250000000000006E-2</v>
      </c>
      <c r="G9" s="917">
        <v>3.6000000000000004E-2</v>
      </c>
      <c r="H9" s="917">
        <v>3.6000000000000004E-2</v>
      </c>
      <c r="I9" s="917">
        <v>3.6000000000000004E-2</v>
      </c>
      <c r="J9" s="917">
        <v>3.6000000000000004E-2</v>
      </c>
      <c r="K9" s="917">
        <v>3.3750000000000002E-2</v>
      </c>
      <c r="L9" s="917">
        <v>3.3750000000000002E-2</v>
      </c>
      <c r="M9" s="917">
        <v>3.3750000000000002E-2</v>
      </c>
      <c r="N9" s="917">
        <v>3.3750000000000002E-2</v>
      </c>
      <c r="O9" s="238">
        <f t="shared" si="1"/>
        <v>0.45000000000000007</v>
      </c>
      <c r="P9" s="917"/>
      <c r="Q9" s="917"/>
      <c r="R9" s="917"/>
      <c r="S9" s="917"/>
      <c r="T9" s="917"/>
      <c r="U9" s="917"/>
      <c r="V9" s="917"/>
      <c r="W9" s="917"/>
      <c r="X9" s="917"/>
      <c r="Y9" s="917"/>
      <c r="Z9" s="917"/>
      <c r="AA9" s="917"/>
      <c r="AC9" s="915"/>
      <c r="AD9" s="915"/>
      <c r="AE9" s="915"/>
      <c r="AF9" s="915"/>
      <c r="AG9" s="915"/>
      <c r="AH9" s="915"/>
      <c r="AI9" s="915"/>
      <c r="AJ9" s="915"/>
      <c r="AK9" s="915"/>
      <c r="AL9" s="915"/>
      <c r="AM9" s="915"/>
      <c r="AN9" s="915"/>
    </row>
    <row r="10" spans="1:45" ht="15.5" x14ac:dyDescent="0.35">
      <c r="A10" s="224" t="s">
        <v>390</v>
      </c>
      <c r="B10" s="686" t="s">
        <v>259</v>
      </c>
      <c r="C10" s="917">
        <v>0.14000000000000001</v>
      </c>
      <c r="D10" s="917">
        <v>0.1</v>
      </c>
      <c r="E10" s="917">
        <v>0.1</v>
      </c>
      <c r="F10" s="917">
        <v>0.05</v>
      </c>
      <c r="G10" s="917">
        <v>0.05</v>
      </c>
      <c r="H10" s="917">
        <v>0.05</v>
      </c>
      <c r="I10" s="917">
        <v>0.05</v>
      </c>
      <c r="J10" s="917">
        <v>0.05</v>
      </c>
      <c r="K10" s="917">
        <v>0.05</v>
      </c>
      <c r="L10" s="917">
        <v>0</v>
      </c>
      <c r="M10" s="917">
        <v>0</v>
      </c>
      <c r="N10" s="917">
        <v>0</v>
      </c>
      <c r="O10" s="238">
        <f>SUM(C10:N10)</f>
        <v>0.64000000000000012</v>
      </c>
      <c r="P10" s="917"/>
      <c r="Q10" s="917"/>
      <c r="R10" s="917"/>
      <c r="S10" s="917"/>
      <c r="T10" s="917"/>
      <c r="U10" s="917"/>
      <c r="V10" s="917"/>
      <c r="W10" s="917"/>
      <c r="X10" s="917"/>
      <c r="Y10" s="917"/>
      <c r="Z10" s="917"/>
      <c r="AA10" s="917"/>
      <c r="AC10" s="915"/>
      <c r="AD10" s="915"/>
      <c r="AE10" s="915"/>
      <c r="AF10" s="915"/>
      <c r="AG10" s="915"/>
      <c r="AH10" s="915"/>
      <c r="AI10" s="915"/>
      <c r="AJ10" s="915"/>
      <c r="AK10" s="915"/>
      <c r="AL10" s="915"/>
      <c r="AM10" s="915"/>
      <c r="AN10" s="915"/>
    </row>
    <row r="11" spans="1:45" ht="15.5" x14ac:dyDescent="0.35">
      <c r="A11" s="224" t="s">
        <v>391</v>
      </c>
      <c r="B11" s="686" t="s">
        <v>392</v>
      </c>
      <c r="C11" s="917">
        <v>0.2</v>
      </c>
      <c r="D11" s="917">
        <v>0.17</v>
      </c>
      <c r="E11" s="917">
        <v>0.16</v>
      </c>
      <c r="F11" s="917">
        <v>0.15</v>
      </c>
      <c r="G11" s="917">
        <v>0.09</v>
      </c>
      <c r="H11" s="917">
        <v>0.05</v>
      </c>
      <c r="I11" s="917">
        <v>0.05</v>
      </c>
      <c r="J11" s="917">
        <v>0.04</v>
      </c>
      <c r="K11" s="917">
        <v>0</v>
      </c>
      <c r="L11" s="917">
        <v>0</v>
      </c>
      <c r="M11" s="917">
        <v>0</v>
      </c>
      <c r="N11" s="917">
        <v>0</v>
      </c>
      <c r="O11" s="238">
        <f>SUM(C11:N11)</f>
        <v>0.91000000000000014</v>
      </c>
      <c r="P11" s="917"/>
      <c r="Q11" s="917"/>
      <c r="R11" s="917"/>
      <c r="S11" s="917"/>
      <c r="T11" s="917"/>
      <c r="U11" s="917"/>
      <c r="V11" s="917"/>
      <c r="W11" s="917"/>
      <c r="X11" s="917"/>
      <c r="Y11" s="917"/>
      <c r="Z11" s="917"/>
      <c r="AA11" s="917"/>
      <c r="AC11" s="915"/>
      <c r="AD11" s="915"/>
      <c r="AE11" s="915"/>
      <c r="AF11" s="915"/>
      <c r="AG11" s="915"/>
      <c r="AH11" s="915"/>
      <c r="AI11" s="915"/>
      <c r="AJ11" s="915"/>
      <c r="AK11" s="915"/>
      <c r="AL11" s="915"/>
      <c r="AM11" s="915"/>
      <c r="AN11" s="915"/>
    </row>
    <row r="12" spans="1:45" ht="31" x14ac:dyDescent="0.35">
      <c r="A12" s="225" t="s">
        <v>393</v>
      </c>
      <c r="B12" s="688" t="s">
        <v>394</v>
      </c>
      <c r="C12" s="917">
        <v>0.2</v>
      </c>
      <c r="D12" s="917">
        <v>0.17</v>
      </c>
      <c r="E12" s="917">
        <v>0.16</v>
      </c>
      <c r="F12" s="917">
        <v>0.15</v>
      </c>
      <c r="G12" s="917">
        <v>0.09</v>
      </c>
      <c r="H12" s="917">
        <v>0.05</v>
      </c>
      <c r="I12" s="917">
        <v>0.05</v>
      </c>
      <c r="J12" s="917">
        <v>0.04</v>
      </c>
      <c r="K12" s="917">
        <v>0</v>
      </c>
      <c r="L12" s="917">
        <v>0</v>
      </c>
      <c r="M12" s="917">
        <v>0</v>
      </c>
      <c r="N12" s="917">
        <v>0</v>
      </c>
      <c r="O12" s="238">
        <f t="shared" si="1"/>
        <v>0.91000000000000014</v>
      </c>
      <c r="P12" s="917"/>
      <c r="Q12" s="917"/>
      <c r="R12" s="917"/>
      <c r="S12" s="917"/>
      <c r="T12" s="917"/>
      <c r="U12" s="917"/>
      <c r="V12" s="917"/>
      <c r="W12" s="917"/>
      <c r="X12" s="917"/>
      <c r="Y12" s="917"/>
      <c r="Z12" s="917"/>
      <c r="AA12" s="917"/>
      <c r="AC12" s="915"/>
      <c r="AD12" s="915"/>
      <c r="AE12" s="915"/>
      <c r="AF12" s="915"/>
      <c r="AG12" s="915"/>
      <c r="AH12" s="915"/>
      <c r="AI12" s="915"/>
      <c r="AJ12" s="915"/>
      <c r="AK12" s="915"/>
      <c r="AL12" s="915"/>
      <c r="AM12" s="915"/>
      <c r="AN12" s="915"/>
    </row>
    <row r="13" spans="1:45" ht="31" x14ac:dyDescent="0.35">
      <c r="A13" s="225" t="s">
        <v>395</v>
      </c>
      <c r="B13" s="688" t="s">
        <v>396</v>
      </c>
      <c r="C13" s="917">
        <v>0.14000000000000001</v>
      </c>
      <c r="D13" s="917">
        <v>0.1</v>
      </c>
      <c r="E13" s="917">
        <v>0.1</v>
      </c>
      <c r="F13" s="917">
        <v>0.05</v>
      </c>
      <c r="G13" s="917">
        <v>0.05</v>
      </c>
      <c r="H13" s="917">
        <v>0.05</v>
      </c>
      <c r="I13" s="917">
        <v>0.05</v>
      </c>
      <c r="J13" s="917">
        <v>0.05</v>
      </c>
      <c r="K13" s="917">
        <v>0.05</v>
      </c>
      <c r="L13" s="917">
        <v>0</v>
      </c>
      <c r="M13" s="917">
        <v>0</v>
      </c>
      <c r="N13" s="917">
        <v>0</v>
      </c>
      <c r="O13" s="238">
        <f t="shared" si="1"/>
        <v>0.64000000000000012</v>
      </c>
      <c r="P13" s="917"/>
      <c r="Q13" s="917"/>
      <c r="R13" s="917"/>
      <c r="S13" s="917"/>
      <c r="T13" s="917"/>
      <c r="U13" s="917"/>
      <c r="V13" s="917"/>
      <c r="W13" s="917"/>
      <c r="X13" s="917"/>
      <c r="Y13" s="917"/>
      <c r="Z13" s="917"/>
      <c r="AA13" s="917"/>
      <c r="AC13" s="915"/>
      <c r="AD13" s="915"/>
      <c r="AE13" s="915"/>
      <c r="AF13" s="915"/>
      <c r="AG13" s="915"/>
      <c r="AH13" s="915"/>
      <c r="AI13" s="915"/>
      <c r="AJ13" s="915"/>
      <c r="AK13" s="915"/>
      <c r="AL13" s="915"/>
      <c r="AM13" s="915"/>
      <c r="AN13" s="915"/>
    </row>
    <row r="14" spans="1:45" ht="46.5" x14ac:dyDescent="0.35">
      <c r="A14" s="225" t="s">
        <v>397</v>
      </c>
      <c r="B14" s="688" t="s">
        <v>398</v>
      </c>
      <c r="C14" s="917">
        <v>0.04</v>
      </c>
      <c r="D14" s="917">
        <v>0.04</v>
      </c>
      <c r="E14" s="917">
        <v>1.7000000000000001E-2</v>
      </c>
      <c r="F14" s="917">
        <v>1.7000000000000001E-2</v>
      </c>
      <c r="G14" s="917">
        <v>1.7000000000000001E-2</v>
      </c>
      <c r="H14" s="917">
        <v>1.7000000000000001E-2</v>
      </c>
      <c r="I14" s="917">
        <v>1.7000000000000001E-2</v>
      </c>
      <c r="J14" s="917">
        <v>1.7000000000000001E-2</v>
      </c>
      <c r="K14" s="917">
        <v>1.7000000000000001E-2</v>
      </c>
      <c r="L14" s="917">
        <v>1.7000000000000001E-2</v>
      </c>
      <c r="M14" s="917">
        <v>1.7000000000000001E-2</v>
      </c>
      <c r="N14" s="917">
        <v>1.7000000000000001E-2</v>
      </c>
      <c r="O14" s="238">
        <f>SUM(C14:N14)</f>
        <v>0.25000000000000011</v>
      </c>
      <c r="P14" s="917"/>
      <c r="Q14" s="917"/>
      <c r="R14" s="917"/>
      <c r="S14" s="917"/>
      <c r="T14" s="917"/>
      <c r="U14" s="917"/>
      <c r="V14" s="917"/>
      <c r="W14" s="917"/>
      <c r="X14" s="917"/>
      <c r="Y14" s="917"/>
      <c r="Z14" s="917"/>
      <c r="AA14" s="917"/>
      <c r="AC14" s="915"/>
      <c r="AD14" s="915"/>
      <c r="AE14" s="915"/>
      <c r="AF14" s="915"/>
      <c r="AG14" s="915"/>
      <c r="AH14" s="915"/>
      <c r="AI14" s="915"/>
      <c r="AJ14" s="915"/>
      <c r="AK14" s="915"/>
      <c r="AL14" s="915"/>
      <c r="AM14" s="915"/>
      <c r="AN14" s="915"/>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C35" sqref="C35"/>
    </sheetView>
  </sheetViews>
  <sheetFormatPr defaultColWidth="8.54296875" defaultRowHeight="14" x14ac:dyDescent="0.3"/>
  <cols>
    <col min="1" max="1" width="8.54296875" style="34"/>
    <col min="2" max="2" width="52.54296875" style="34" customWidth="1"/>
    <col min="3" max="7" width="11.453125" style="34" customWidth="1"/>
    <col min="8" max="8" width="12.1796875" style="34" bestFit="1" customWidth="1"/>
    <col min="9" max="9" width="8.54296875" style="34" bestFit="1" customWidth="1"/>
    <col min="10" max="10" width="10.453125" style="34" bestFit="1" customWidth="1"/>
    <col min="11" max="11" width="8.54296875" style="34" bestFit="1" customWidth="1"/>
    <col min="12" max="12" width="11.453125" style="34" bestFit="1" customWidth="1"/>
    <col min="13" max="20" width="9.54296875" style="34" customWidth="1"/>
    <col min="21" max="25" width="10.81640625" style="34" customWidth="1"/>
    <col min="26" max="26" width="11.1796875" style="34" customWidth="1"/>
    <col min="27" max="32" width="9.54296875" style="34" customWidth="1"/>
    <col min="33" max="36" width="8.54296875" style="34" bestFit="1" customWidth="1"/>
    <col min="37" max="16384" width="8.54296875" style="34"/>
  </cols>
  <sheetData>
    <row r="1" spans="2:30" x14ac:dyDescent="0.3">
      <c r="B1" s="1055" t="s">
        <v>74</v>
      </c>
      <c r="C1" s="1055"/>
      <c r="D1" s="1055"/>
      <c r="E1" s="1055"/>
      <c r="F1" s="1055"/>
      <c r="G1" s="1055"/>
      <c r="H1" s="1055"/>
      <c r="I1" s="1055"/>
      <c r="J1" s="1055"/>
      <c r="K1" s="1055"/>
      <c r="L1" s="1055"/>
      <c r="M1" s="1055"/>
      <c r="N1" s="1055"/>
      <c r="O1" s="1055"/>
      <c r="P1" s="1055"/>
      <c r="Q1" s="1055"/>
      <c r="R1" s="1055"/>
      <c r="S1" s="1055"/>
      <c r="T1" s="1055"/>
      <c r="U1" s="1055"/>
      <c r="V1" s="1055"/>
      <c r="W1" s="1055"/>
      <c r="X1" s="1055"/>
      <c r="Y1" s="1055"/>
      <c r="Z1" s="1055"/>
      <c r="AA1" s="1055"/>
      <c r="AB1" s="1055"/>
      <c r="AC1" s="1055"/>
    </row>
    <row r="2" spans="2:30" ht="14.15" customHeight="1" x14ac:dyDescent="0.3">
      <c r="B2" s="1056" t="s">
        <v>399</v>
      </c>
      <c r="C2" s="1056"/>
      <c r="D2" s="1056"/>
      <c r="E2" s="1056"/>
      <c r="F2" s="1056"/>
      <c r="G2" s="1056"/>
      <c r="H2" s="1056"/>
      <c r="I2" s="1056"/>
      <c r="J2" s="1056"/>
      <c r="K2" s="1056"/>
      <c r="L2" s="1056"/>
      <c r="M2" s="1056"/>
      <c r="N2" s="1056"/>
      <c r="O2" s="1056"/>
      <c r="P2" s="1056"/>
      <c r="Q2" s="1056"/>
      <c r="R2" s="1056"/>
      <c r="S2" s="1056"/>
      <c r="T2" s="1056"/>
      <c r="U2" s="1056"/>
      <c r="V2" s="1056"/>
      <c r="W2" s="1056"/>
      <c r="X2" s="1056"/>
      <c r="Y2" s="1056"/>
      <c r="Z2" s="1056"/>
      <c r="AA2" s="1056"/>
      <c r="AB2" s="1056"/>
      <c r="AC2" s="1056"/>
    </row>
    <row r="3" spans="2:30" x14ac:dyDescent="0.3">
      <c r="B3" s="1056"/>
      <c r="C3" s="1056"/>
      <c r="D3" s="1056"/>
      <c r="E3" s="1056"/>
      <c r="F3" s="1056"/>
      <c r="G3" s="1056"/>
      <c r="H3" s="1056"/>
      <c r="I3" s="1056"/>
      <c r="J3" s="1056"/>
      <c r="K3" s="1056"/>
      <c r="L3" s="1056"/>
      <c r="M3" s="1056"/>
      <c r="N3" s="1056"/>
      <c r="O3" s="1056"/>
      <c r="P3" s="1056"/>
      <c r="Q3" s="1056"/>
      <c r="R3" s="1056"/>
      <c r="S3" s="1056"/>
      <c r="T3" s="1056"/>
      <c r="U3" s="1056"/>
      <c r="V3" s="1056"/>
      <c r="W3" s="1056"/>
      <c r="X3" s="1056"/>
      <c r="Y3" s="1056"/>
      <c r="Z3" s="1056"/>
      <c r="AA3" s="1056"/>
      <c r="AB3" s="1056"/>
      <c r="AC3" s="1056"/>
    </row>
    <row r="4" spans="2:30" x14ac:dyDescent="0.3">
      <c r="B4" s="1056"/>
      <c r="C4" s="1056"/>
      <c r="D4" s="1056"/>
      <c r="E4" s="1056"/>
      <c r="F4" s="1056"/>
      <c r="G4" s="1056"/>
      <c r="H4" s="1056"/>
      <c r="I4" s="1056"/>
      <c r="J4" s="1056"/>
      <c r="K4" s="1056"/>
      <c r="L4" s="1056"/>
      <c r="M4" s="1056"/>
      <c r="N4" s="1056"/>
      <c r="O4" s="1056"/>
      <c r="P4" s="1056"/>
      <c r="Q4" s="1056"/>
      <c r="R4" s="1056"/>
      <c r="S4" s="1056"/>
      <c r="T4" s="1056"/>
      <c r="U4" s="1056"/>
      <c r="V4" s="1056"/>
      <c r="W4" s="1056"/>
      <c r="X4" s="1056"/>
      <c r="Y4" s="1056"/>
      <c r="Z4" s="1056"/>
      <c r="AA4" s="1056"/>
      <c r="AB4" s="1056"/>
      <c r="AC4" s="1056"/>
    </row>
    <row r="5" spans="2:30" x14ac:dyDescent="0.3">
      <c r="B5" s="1056"/>
      <c r="C5" s="1056"/>
      <c r="D5" s="1056"/>
      <c r="E5" s="1056"/>
      <c r="F5" s="1056"/>
      <c r="G5" s="1056"/>
      <c r="H5" s="1056"/>
      <c r="I5" s="1056"/>
      <c r="J5" s="1056"/>
      <c r="K5" s="1056"/>
      <c r="L5" s="1056"/>
      <c r="M5" s="1056"/>
      <c r="N5" s="1056"/>
      <c r="O5" s="1056"/>
      <c r="P5" s="1056"/>
      <c r="Q5" s="1056"/>
      <c r="R5" s="1056"/>
      <c r="S5" s="1056"/>
      <c r="T5" s="1056"/>
      <c r="U5" s="1056"/>
      <c r="V5" s="1056"/>
      <c r="W5" s="1056"/>
      <c r="X5" s="1056"/>
      <c r="Y5" s="1056"/>
      <c r="Z5" s="1056"/>
      <c r="AA5" s="1056"/>
      <c r="AB5" s="1056"/>
      <c r="AC5" s="1056"/>
    </row>
    <row r="6" spans="2:30" ht="38.5" customHeight="1" x14ac:dyDescent="0.3">
      <c r="B6" s="1056"/>
      <c r="C6" s="1056"/>
      <c r="D6" s="1056"/>
      <c r="E6" s="1056"/>
      <c r="F6" s="1056"/>
      <c r="G6" s="1056"/>
      <c r="H6" s="1056"/>
      <c r="I6" s="1056"/>
      <c r="J6" s="1056"/>
      <c r="K6" s="1056"/>
      <c r="L6" s="1056"/>
      <c r="M6" s="1056"/>
      <c r="N6" s="1056"/>
      <c r="O6" s="1056"/>
      <c r="P6" s="1056"/>
      <c r="Q6" s="1056"/>
      <c r="R6" s="1056"/>
      <c r="S6" s="1056"/>
      <c r="T6" s="1056"/>
      <c r="U6" s="1056"/>
      <c r="V6" s="1056"/>
      <c r="W6" s="1056"/>
      <c r="X6" s="1056"/>
      <c r="Y6" s="1056"/>
      <c r="Z6" s="1056"/>
      <c r="AA6" s="1056"/>
      <c r="AB6" s="1056"/>
      <c r="AC6" s="1056"/>
    </row>
    <row r="7" spans="2:30" x14ac:dyDescent="0.3">
      <c r="B7" s="46"/>
      <c r="C7" s="46"/>
      <c r="D7" s="46"/>
      <c r="E7" s="46"/>
      <c r="F7" s="46"/>
      <c r="G7" s="46"/>
      <c r="H7" s="47"/>
      <c r="I7" s="47"/>
      <c r="J7" s="47"/>
      <c r="K7" s="47"/>
      <c r="L7" s="47"/>
      <c r="M7" s="47"/>
      <c r="N7" s="47"/>
      <c r="O7" s="47"/>
      <c r="P7" s="47"/>
      <c r="Q7" s="47"/>
      <c r="R7" s="47"/>
      <c r="S7" s="47"/>
      <c r="T7" s="47"/>
      <c r="U7" s="47"/>
      <c r="V7" s="47"/>
      <c r="W7" s="47"/>
      <c r="X7" s="47"/>
      <c r="Y7" s="47"/>
    </row>
    <row r="8" spans="2:30" ht="14.5" customHeight="1" x14ac:dyDescent="0.3">
      <c r="B8" s="1060" t="s">
        <v>400</v>
      </c>
      <c r="C8" s="1061"/>
      <c r="D8" s="1067" t="s">
        <v>401</v>
      </c>
      <c r="E8" s="1068"/>
      <c r="F8" s="1068"/>
      <c r="G8" s="1068"/>
      <c r="H8" s="1068"/>
      <c r="I8" s="1068"/>
      <c r="J8" s="1068"/>
      <c r="K8" s="1068"/>
      <c r="L8" s="1068"/>
      <c r="M8" s="1068"/>
      <c r="N8" s="1068"/>
      <c r="O8" s="1069"/>
      <c r="P8" s="1070" t="s">
        <v>402</v>
      </c>
      <c r="Q8" s="1071"/>
      <c r="R8" s="1071"/>
      <c r="S8" s="1071"/>
      <c r="T8" s="1071"/>
      <c r="U8" s="1071"/>
      <c r="V8" s="1071"/>
      <c r="W8" s="1071"/>
      <c r="X8" s="1071"/>
      <c r="Y8" s="1071"/>
      <c r="Z8" s="1071"/>
      <c r="AA8" s="1071"/>
      <c r="AB8" s="1071"/>
      <c r="AC8" s="1072"/>
    </row>
    <row r="9" spans="2:30" ht="12.65" customHeight="1" x14ac:dyDescent="0.3">
      <c r="B9" s="1062"/>
      <c r="C9" s="1063"/>
      <c r="D9" s="537">
        <v>2018</v>
      </c>
      <c r="E9" s="1057">
        <v>2019</v>
      </c>
      <c r="F9" s="1058"/>
      <c r="G9" s="1058"/>
      <c r="H9" s="1059"/>
      <c r="I9" s="1058">
        <v>2020</v>
      </c>
      <c r="J9" s="1058"/>
      <c r="K9" s="1058"/>
      <c r="L9" s="1058"/>
      <c r="M9" s="1057">
        <v>2021</v>
      </c>
      <c r="N9" s="1058"/>
      <c r="O9" s="1059"/>
      <c r="P9" s="852"/>
      <c r="Q9" s="1064">
        <v>2022</v>
      </c>
      <c r="R9" s="1065"/>
      <c r="S9" s="1065"/>
      <c r="T9" s="1065"/>
      <c r="U9" s="1064">
        <v>2023</v>
      </c>
      <c r="V9" s="1065"/>
      <c r="W9" s="1065"/>
      <c r="X9" s="1066"/>
      <c r="Y9" s="1064">
        <v>2024</v>
      </c>
      <c r="Z9" s="1065"/>
      <c r="AA9" s="1065"/>
      <c r="AB9" s="1065"/>
      <c r="AC9" s="334">
        <v>2025</v>
      </c>
    </row>
    <row r="10" spans="2:30" ht="14.5" customHeight="1" x14ac:dyDescent="0.3">
      <c r="B10" s="1062"/>
      <c r="C10" s="1063"/>
      <c r="D10" s="167" t="s">
        <v>403</v>
      </c>
      <c r="E10" s="167" t="s">
        <v>404</v>
      </c>
      <c r="F10" s="148" t="s">
        <v>405</v>
      </c>
      <c r="G10" s="148" t="s">
        <v>290</v>
      </c>
      <c r="H10" s="155" t="s">
        <v>403</v>
      </c>
      <c r="I10" s="149" t="s">
        <v>404</v>
      </c>
      <c r="J10" s="149" t="s">
        <v>405</v>
      </c>
      <c r="K10" s="149" t="s">
        <v>290</v>
      </c>
      <c r="L10" s="149" t="s">
        <v>403</v>
      </c>
      <c r="M10" s="35" t="s">
        <v>404</v>
      </c>
      <c r="N10" s="36" t="s">
        <v>405</v>
      </c>
      <c r="O10" s="37" t="s">
        <v>290</v>
      </c>
      <c r="P10" s="61" t="s">
        <v>403</v>
      </c>
      <c r="Q10" s="58" t="s">
        <v>404</v>
      </c>
      <c r="R10" s="59" t="s">
        <v>405</v>
      </c>
      <c r="S10" s="59" t="s">
        <v>290</v>
      </c>
      <c r="T10" s="59" t="s">
        <v>403</v>
      </c>
      <c r="U10" s="58" t="s">
        <v>404</v>
      </c>
      <c r="V10" s="59" t="s">
        <v>405</v>
      </c>
      <c r="W10" s="59" t="s">
        <v>290</v>
      </c>
      <c r="X10" s="60" t="s">
        <v>403</v>
      </c>
      <c r="Y10" s="58" t="s">
        <v>404</v>
      </c>
      <c r="Z10" s="457" t="s">
        <v>405</v>
      </c>
      <c r="AA10" s="59" t="s">
        <v>290</v>
      </c>
      <c r="AB10" s="59" t="s">
        <v>403</v>
      </c>
      <c r="AC10" s="61" t="s">
        <v>404</v>
      </c>
    </row>
    <row r="11" spans="2:30" x14ac:dyDescent="0.3">
      <c r="B11" s="361" t="s">
        <v>145</v>
      </c>
      <c r="C11" s="879" t="s">
        <v>406</v>
      </c>
      <c r="D11" s="582">
        <f>'Haver Pivoted'!GO14</f>
        <v>27.1</v>
      </c>
      <c r="E11" s="773">
        <f>'Haver Pivoted'!GP14</f>
        <v>28.4</v>
      </c>
      <c r="F11" s="773">
        <f>'Haver Pivoted'!GQ14</f>
        <v>27.8</v>
      </c>
      <c r="G11" s="773">
        <f>'Haver Pivoted'!GR14</f>
        <v>27.4</v>
      </c>
      <c r="H11" s="773">
        <f>'Haver Pivoted'!GS14</f>
        <v>26.8</v>
      </c>
      <c r="I11" s="773">
        <f>'Haver Pivoted'!GT14</f>
        <v>39.5</v>
      </c>
      <c r="J11" s="773">
        <f>'Haver Pivoted'!GU14</f>
        <v>1039.4000000000001</v>
      </c>
      <c r="K11" s="773">
        <f>'Haver Pivoted'!GV14</f>
        <v>767.8</v>
      </c>
      <c r="L11" s="773">
        <f>'Haver Pivoted'!GW14</f>
        <v>299.89999999999998</v>
      </c>
      <c r="M11" s="43">
        <f>'Haver Pivoted'!GX14</f>
        <v>565.79999999999995</v>
      </c>
      <c r="N11" s="43">
        <f>'Haver Pivoted'!GY14</f>
        <v>480.4</v>
      </c>
      <c r="O11" s="275">
        <f>'Haver Pivoted'!GZ14</f>
        <v>272.60000000000002</v>
      </c>
      <c r="P11" s="920">
        <f>P12+P13+P20</f>
        <v>32.412642857142878</v>
      </c>
      <c r="Q11" s="920">
        <f t="shared" ref="Q11:AC11" si="0">Q12+Q13+Q20</f>
        <v>28.861246753246771</v>
      </c>
      <c r="R11" s="920">
        <f t="shared" si="0"/>
        <v>26.856993506493524</v>
      </c>
      <c r="S11" s="920">
        <f t="shared" si="0"/>
        <v>25.893545454545471</v>
      </c>
      <c r="T11" s="920">
        <f t="shared" si="0"/>
        <v>25.57708441558443</v>
      </c>
      <c r="U11" s="920">
        <f t="shared" si="0"/>
        <v>25.752896103896116</v>
      </c>
      <c r="V11" s="920">
        <f t="shared" si="0"/>
        <v>26.1467142857143</v>
      </c>
      <c r="W11" s="920">
        <f t="shared" si="0"/>
        <v>26.547564935064948</v>
      </c>
      <c r="X11" s="920">
        <f t="shared" si="0"/>
        <v>26.969512987013001</v>
      </c>
      <c r="Y11" s="920">
        <f t="shared" si="0"/>
        <v>27.496948051948067</v>
      </c>
      <c r="Z11" s="920">
        <f t="shared" si="0"/>
        <v>27.932961038961054</v>
      </c>
      <c r="AA11" s="920">
        <f t="shared" si="0"/>
        <v>28.277551948051961</v>
      </c>
      <c r="AB11" s="920">
        <f t="shared" si="0"/>
        <v>28.706532467532483</v>
      </c>
      <c r="AC11" s="633">
        <f t="shared" si="0"/>
        <v>29.121448051948068</v>
      </c>
      <c r="AD11" s="34" t="s">
        <v>407</v>
      </c>
    </row>
    <row r="12" spans="2:30" x14ac:dyDescent="0.3">
      <c r="B12" s="355" t="s">
        <v>408</v>
      </c>
      <c r="C12" s="356" t="s">
        <v>409</v>
      </c>
      <c r="D12" s="146">
        <f>'Haver Pivoted'!GO63</f>
        <v>0</v>
      </c>
      <c r="E12" s="43">
        <f>'Haver Pivoted'!GP63</f>
        <v>0</v>
      </c>
      <c r="F12" s="43">
        <f>'Haver Pivoted'!GQ63</f>
        <v>0</v>
      </c>
      <c r="G12" s="43">
        <f>'Haver Pivoted'!GR63</f>
        <v>0</v>
      </c>
      <c r="H12" s="43">
        <f>'Haver Pivoted'!GS63</f>
        <v>0</v>
      </c>
      <c r="I12" s="43">
        <f>'Haver Pivoted'!GT63</f>
        <v>0</v>
      </c>
      <c r="J12" s="43">
        <f>'Haver Pivoted'!GU63</f>
        <v>0.1</v>
      </c>
      <c r="K12" s="43">
        <f>'Haver Pivoted'!GV63</f>
        <v>3.7</v>
      </c>
      <c r="L12" s="43">
        <f>'Haver Pivoted'!GW63</f>
        <v>12.9</v>
      </c>
      <c r="M12" s="43">
        <f>'Haver Pivoted'!GX63</f>
        <v>25</v>
      </c>
      <c r="N12" s="43">
        <f>'Haver Pivoted'!GY63</f>
        <v>5.8</v>
      </c>
      <c r="O12" s="275">
        <f>'Haver Pivoted'!GZ63</f>
        <v>5.8</v>
      </c>
      <c r="P12" s="394">
        <v>0</v>
      </c>
      <c r="Q12" s="394">
        <f>MAX(P12*(Q22-5)/(P22-5),0)</f>
        <v>0</v>
      </c>
      <c r="R12" s="394">
        <f>MAX(Q12*(R22-5)/(Q22-5),0)</f>
        <v>0</v>
      </c>
      <c r="S12" s="394">
        <f>MAX(R12*(S22-5)/(R22-5),0)</f>
        <v>0</v>
      </c>
      <c r="T12" s="394">
        <f>MAX(S12*(T22-5)/(S22-5),0)</f>
        <v>0</v>
      </c>
      <c r="U12" s="394">
        <f t="shared" ref="U12:AC12" si="1">T12*U22/T22</f>
        <v>0</v>
      </c>
      <c r="V12" s="394">
        <f t="shared" si="1"/>
        <v>0</v>
      </c>
      <c r="W12" s="394">
        <f t="shared" si="1"/>
        <v>0</v>
      </c>
      <c r="X12" s="394">
        <f t="shared" si="1"/>
        <v>0</v>
      </c>
      <c r="Y12" s="394">
        <f t="shared" si="1"/>
        <v>0</v>
      </c>
      <c r="Z12" s="394">
        <f t="shared" si="1"/>
        <v>0</v>
      </c>
      <c r="AA12" s="394">
        <f t="shared" si="1"/>
        <v>0</v>
      </c>
      <c r="AB12" s="394">
        <f t="shared" si="1"/>
        <v>0</v>
      </c>
      <c r="AC12" s="395">
        <f t="shared" si="1"/>
        <v>0</v>
      </c>
    </row>
    <row r="13" spans="2:30" x14ac:dyDescent="0.3">
      <c r="B13" s="355" t="s">
        <v>410</v>
      </c>
      <c r="C13" s="356"/>
      <c r="D13" s="146"/>
      <c r="E13" s="43"/>
      <c r="F13" s="43"/>
      <c r="G13" s="43"/>
      <c r="H13" s="63">
        <f>SUM(H14:H17)</f>
        <v>0</v>
      </c>
      <c r="I13" s="63">
        <f t="shared" ref="I13:M13" si="2">SUM(I14:I17)</f>
        <v>0</v>
      </c>
      <c r="J13" s="63">
        <f t="shared" si="2"/>
        <v>779.7</v>
      </c>
      <c r="K13" s="63">
        <f t="shared" si="2"/>
        <v>582.6</v>
      </c>
      <c r="L13" s="63">
        <f t="shared" si="2"/>
        <v>216.5</v>
      </c>
      <c r="M13" s="63">
        <f t="shared" si="2"/>
        <v>505</v>
      </c>
      <c r="N13" s="286">
        <f>SUM(N14:N17)</f>
        <v>429.59999999999997</v>
      </c>
      <c r="O13" s="921">
        <f t="shared" ref="O13:AC13" si="3">SUM(O14:O17)</f>
        <v>230.7</v>
      </c>
      <c r="P13" s="394">
        <f t="shared" si="3"/>
        <v>0</v>
      </c>
      <c r="Q13" s="394">
        <f t="shared" si="3"/>
        <v>0</v>
      </c>
      <c r="R13" s="394">
        <f t="shared" si="3"/>
        <v>0</v>
      </c>
      <c r="S13" s="394">
        <f t="shared" si="3"/>
        <v>0</v>
      </c>
      <c r="T13" s="394">
        <f t="shared" si="3"/>
        <v>0</v>
      </c>
      <c r="U13" s="394">
        <f t="shared" si="3"/>
        <v>0</v>
      </c>
      <c r="V13" s="394">
        <f t="shared" si="3"/>
        <v>0</v>
      </c>
      <c r="W13" s="394">
        <f t="shared" si="3"/>
        <v>0</v>
      </c>
      <c r="X13" s="394">
        <f t="shared" si="3"/>
        <v>0</v>
      </c>
      <c r="Y13" s="394">
        <f t="shared" si="3"/>
        <v>0</v>
      </c>
      <c r="Z13" s="394">
        <f t="shared" si="3"/>
        <v>0</v>
      </c>
      <c r="AA13" s="394">
        <f t="shared" si="3"/>
        <v>0</v>
      </c>
      <c r="AB13" s="394">
        <f t="shared" si="3"/>
        <v>0</v>
      </c>
      <c r="AC13" s="395">
        <f t="shared" si="3"/>
        <v>0</v>
      </c>
    </row>
    <row r="14" spans="2:30" ht="18" customHeight="1" x14ac:dyDescent="0.3">
      <c r="B14" s="357" t="s">
        <v>411</v>
      </c>
      <c r="C14" s="66" t="s">
        <v>409</v>
      </c>
      <c r="D14" s="125">
        <f>'Haver Pivoted'!GO63</f>
        <v>0</v>
      </c>
      <c r="E14" s="88">
        <f>'Haver Pivoted'!GP63</f>
        <v>0</v>
      </c>
      <c r="F14" s="88">
        <f>'Haver Pivoted'!GQ63</f>
        <v>0</v>
      </c>
      <c r="G14" s="88">
        <f>'Haver Pivoted'!GR63</f>
        <v>0</v>
      </c>
      <c r="H14" s="88">
        <f>'Haver Pivoted'!GS63</f>
        <v>0</v>
      </c>
      <c r="I14" s="88">
        <f>'Haver Pivoted'!GT63</f>
        <v>0</v>
      </c>
      <c r="J14" s="88">
        <f>'Haver Pivoted'!GU63</f>
        <v>0.1</v>
      </c>
      <c r="K14" s="88">
        <f>'Haver Pivoted'!GV63</f>
        <v>3.7</v>
      </c>
      <c r="L14" s="88">
        <f>'Haver Pivoted'!GW63</f>
        <v>12.9</v>
      </c>
      <c r="M14" s="88">
        <f>'Haver Pivoted'!GX63</f>
        <v>25</v>
      </c>
      <c r="N14" s="88">
        <f>'Haver Pivoted'!GY63</f>
        <v>5.8</v>
      </c>
      <c r="O14" s="914">
        <f>'Haver Pivoted'!GZ63</f>
        <v>5.8</v>
      </c>
      <c r="P14" s="396">
        <f t="shared" ref="P14:X14" si="4">P12</f>
        <v>0</v>
      </c>
      <c r="Q14" s="396">
        <f t="shared" si="4"/>
        <v>0</v>
      </c>
      <c r="R14" s="396">
        <f t="shared" si="4"/>
        <v>0</v>
      </c>
      <c r="S14" s="396">
        <f t="shared" si="4"/>
        <v>0</v>
      </c>
      <c r="T14" s="396">
        <f t="shared" si="4"/>
        <v>0</v>
      </c>
      <c r="U14" s="396">
        <f t="shared" si="4"/>
        <v>0</v>
      </c>
      <c r="V14" s="396">
        <f t="shared" si="4"/>
        <v>0</v>
      </c>
      <c r="W14" s="396">
        <f t="shared" si="4"/>
        <v>0</v>
      </c>
      <c r="X14" s="396">
        <f t="shared" si="4"/>
        <v>0</v>
      </c>
      <c r="Y14" s="396">
        <f>Y12</f>
        <v>0</v>
      </c>
      <c r="Z14" s="396">
        <f t="shared" ref="Z14:AC14" si="5">Z12</f>
        <v>0</v>
      </c>
      <c r="AA14" s="396">
        <f t="shared" si="5"/>
        <v>0</v>
      </c>
      <c r="AB14" s="396">
        <f t="shared" si="5"/>
        <v>0</v>
      </c>
      <c r="AC14" s="634">
        <f t="shared" si="5"/>
        <v>0</v>
      </c>
    </row>
    <row r="15" spans="2:30" ht="18" customHeight="1" x14ac:dyDescent="0.3">
      <c r="B15" s="362" t="s">
        <v>412</v>
      </c>
      <c r="C15" s="363" t="s">
        <v>413</v>
      </c>
      <c r="D15" s="365">
        <f>'Haver Pivoted'!GO59</f>
        <v>0</v>
      </c>
      <c r="E15" s="366">
        <f>'Haver Pivoted'!GP59</f>
        <v>0</v>
      </c>
      <c r="F15" s="366">
        <f>'Haver Pivoted'!GQ59</f>
        <v>0</v>
      </c>
      <c r="G15" s="366">
        <f>'Haver Pivoted'!GR59</f>
        <v>0</v>
      </c>
      <c r="H15" s="366">
        <f>'Haver Pivoted'!GS59</f>
        <v>0</v>
      </c>
      <c r="I15" s="366">
        <f>'Haver Pivoted'!GT59</f>
        <v>0</v>
      </c>
      <c r="J15" s="366">
        <f>'Haver Pivoted'!GU59</f>
        <v>6.3</v>
      </c>
      <c r="K15" s="366">
        <f>'Haver Pivoted'!GV59</f>
        <v>26.7</v>
      </c>
      <c r="L15" s="366">
        <f>'Haver Pivoted'!GW59</f>
        <v>82.1</v>
      </c>
      <c r="M15" s="366">
        <f>'Haver Pivoted'!GX59</f>
        <v>97.8</v>
      </c>
      <c r="N15" s="366">
        <f>'Haver Pivoted'!GY59</f>
        <v>104.5</v>
      </c>
      <c r="O15" s="922">
        <f>'Haver Pivoted'!GZ59</f>
        <v>61.6</v>
      </c>
      <c r="P15" s="396">
        <v>0</v>
      </c>
      <c r="Q15" s="396">
        <f t="shared" ref="Q15:AC15" si="6">P15*Q$22/P$22</f>
        <v>0</v>
      </c>
      <c r="R15" s="396">
        <f t="shared" si="6"/>
        <v>0</v>
      </c>
      <c r="S15" s="396">
        <f t="shared" si="6"/>
        <v>0</v>
      </c>
      <c r="T15" s="396">
        <f t="shared" si="6"/>
        <v>0</v>
      </c>
      <c r="U15" s="396">
        <f t="shared" si="6"/>
        <v>0</v>
      </c>
      <c r="V15" s="396">
        <f t="shared" si="6"/>
        <v>0</v>
      </c>
      <c r="W15" s="396">
        <f t="shared" si="6"/>
        <v>0</v>
      </c>
      <c r="X15" s="396">
        <f t="shared" si="6"/>
        <v>0</v>
      </c>
      <c r="Y15" s="396">
        <f t="shared" si="6"/>
        <v>0</v>
      </c>
      <c r="Z15" s="396">
        <f t="shared" si="6"/>
        <v>0</v>
      </c>
      <c r="AA15" s="396">
        <f t="shared" si="6"/>
        <v>0</v>
      </c>
      <c r="AB15" s="396">
        <f t="shared" si="6"/>
        <v>0</v>
      </c>
      <c r="AC15" s="634">
        <f t="shared" si="6"/>
        <v>0</v>
      </c>
    </row>
    <row r="16" spans="2:30" ht="18" customHeight="1" x14ac:dyDescent="0.3">
      <c r="B16" s="362" t="s">
        <v>414</v>
      </c>
      <c r="C16" s="363" t="s">
        <v>415</v>
      </c>
      <c r="D16" s="365">
        <f>'Haver Pivoted'!GO60</f>
        <v>0</v>
      </c>
      <c r="E16" s="366">
        <f>'Haver Pivoted'!GP60</f>
        <v>0</v>
      </c>
      <c r="F16" s="366">
        <f>'Haver Pivoted'!GQ60</f>
        <v>0</v>
      </c>
      <c r="G16" s="366">
        <f>'Haver Pivoted'!GR60</f>
        <v>0</v>
      </c>
      <c r="H16" s="366">
        <f>'Haver Pivoted'!GS60</f>
        <v>0</v>
      </c>
      <c r="I16" s="366">
        <f>'Haver Pivoted'!GT60</f>
        <v>0</v>
      </c>
      <c r="J16" s="366">
        <f>'Haver Pivoted'!GU60</f>
        <v>74.400000000000006</v>
      </c>
      <c r="K16" s="366">
        <f>'Haver Pivoted'!GV60</f>
        <v>138.30000000000001</v>
      </c>
      <c r="L16" s="366">
        <f>'Haver Pivoted'!GW60</f>
        <v>106.8</v>
      </c>
      <c r="M16" s="366">
        <f>'Haver Pivoted'!GX60</f>
        <v>95.3</v>
      </c>
      <c r="N16" s="366">
        <f>'Haver Pivoted'!GY60</f>
        <v>82.1</v>
      </c>
      <c r="O16" s="922">
        <f>'Haver Pivoted'!GZ60</f>
        <v>50.1</v>
      </c>
      <c r="P16" s="396">
        <v>0</v>
      </c>
      <c r="Q16" s="396">
        <f t="shared" ref="Q16:AC16" si="7">P16*Q$22/P$22</f>
        <v>0</v>
      </c>
      <c r="R16" s="396">
        <f t="shared" si="7"/>
        <v>0</v>
      </c>
      <c r="S16" s="396">
        <f t="shared" si="7"/>
        <v>0</v>
      </c>
      <c r="T16" s="396">
        <f t="shared" si="7"/>
        <v>0</v>
      </c>
      <c r="U16" s="396">
        <f t="shared" si="7"/>
        <v>0</v>
      </c>
      <c r="V16" s="396">
        <f t="shared" si="7"/>
        <v>0</v>
      </c>
      <c r="W16" s="396">
        <f t="shared" si="7"/>
        <v>0</v>
      </c>
      <c r="X16" s="396">
        <f t="shared" si="7"/>
        <v>0</v>
      </c>
      <c r="Y16" s="396">
        <f t="shared" si="7"/>
        <v>0</v>
      </c>
      <c r="Z16" s="396">
        <f t="shared" si="7"/>
        <v>0</v>
      </c>
      <c r="AA16" s="396">
        <f t="shared" si="7"/>
        <v>0</v>
      </c>
      <c r="AB16" s="396">
        <f t="shared" si="7"/>
        <v>0</v>
      </c>
      <c r="AC16" s="634">
        <f t="shared" si="7"/>
        <v>0</v>
      </c>
    </row>
    <row r="17" spans="2:30" ht="18" customHeight="1" x14ac:dyDescent="0.3">
      <c r="B17" s="362" t="s">
        <v>416</v>
      </c>
      <c r="C17" s="363" t="s">
        <v>417</v>
      </c>
      <c r="D17" s="365">
        <f>'Haver Pivoted'!GO61</f>
        <v>0</v>
      </c>
      <c r="E17" s="366">
        <f>'Haver Pivoted'!GP61</f>
        <v>0</v>
      </c>
      <c r="F17" s="366">
        <f>'Haver Pivoted'!GQ61</f>
        <v>0</v>
      </c>
      <c r="G17" s="366">
        <f>'Haver Pivoted'!GR61</f>
        <v>0</v>
      </c>
      <c r="H17" s="366">
        <f>'Haver Pivoted'!GS61</f>
        <v>0</v>
      </c>
      <c r="I17" s="366">
        <f>'Haver Pivoted'!GT61</f>
        <v>0</v>
      </c>
      <c r="J17" s="366">
        <f>'Haver Pivoted'!GU61</f>
        <v>698.9</v>
      </c>
      <c r="K17" s="366">
        <f>'Haver Pivoted'!GV61</f>
        <v>413.9</v>
      </c>
      <c r="L17" s="366">
        <f>'Haver Pivoted'!GW61</f>
        <v>14.7</v>
      </c>
      <c r="M17" s="366">
        <f>'Haver Pivoted'!GX61</f>
        <v>286.89999999999998</v>
      </c>
      <c r="N17" s="366">
        <f>'Haver Pivoted'!GY61</f>
        <v>237.2</v>
      </c>
      <c r="O17" s="922">
        <f>'Haver Pivoted'!GZ61</f>
        <v>113.2</v>
      </c>
      <c r="P17" s="396">
        <v>0</v>
      </c>
      <c r="Q17" s="396">
        <f t="shared" ref="Q17:AC17" si="8">P17*Q$22/P$22</f>
        <v>0</v>
      </c>
      <c r="R17" s="396">
        <f t="shared" si="8"/>
        <v>0</v>
      </c>
      <c r="S17" s="396">
        <f t="shared" si="8"/>
        <v>0</v>
      </c>
      <c r="T17" s="396">
        <f t="shared" si="8"/>
        <v>0</v>
      </c>
      <c r="U17" s="396">
        <f t="shared" si="8"/>
        <v>0</v>
      </c>
      <c r="V17" s="396">
        <f t="shared" si="8"/>
        <v>0</v>
      </c>
      <c r="W17" s="396">
        <f t="shared" si="8"/>
        <v>0</v>
      </c>
      <c r="X17" s="396">
        <f t="shared" si="8"/>
        <v>0</v>
      </c>
      <c r="Y17" s="396">
        <f t="shared" si="8"/>
        <v>0</v>
      </c>
      <c r="Z17" s="396">
        <f t="shared" si="8"/>
        <v>0</v>
      </c>
      <c r="AA17" s="396">
        <f t="shared" si="8"/>
        <v>0</v>
      </c>
      <c r="AB17" s="396">
        <f t="shared" si="8"/>
        <v>0</v>
      </c>
      <c r="AC17" s="634">
        <f t="shared" si="8"/>
        <v>0</v>
      </c>
    </row>
    <row r="18" spans="2:30" x14ac:dyDescent="0.3">
      <c r="B18" s="49" t="s">
        <v>201</v>
      </c>
      <c r="C18" s="34" t="s">
        <v>418</v>
      </c>
      <c r="D18" s="146">
        <f>'Haver Pivoted'!GO64</f>
        <v>0</v>
      </c>
      <c r="E18" s="43">
        <f>'Haver Pivoted'!GP64</f>
        <v>0</v>
      </c>
      <c r="F18" s="43">
        <f>'Haver Pivoted'!GQ64</f>
        <v>0</v>
      </c>
      <c r="G18" s="43">
        <f>'Haver Pivoted'!GR64</f>
        <v>0</v>
      </c>
      <c r="H18" s="43">
        <f>'Haver Pivoted'!GS64</f>
        <v>0</v>
      </c>
      <c r="I18" s="43">
        <f>'Haver Pivoted'!GT64</f>
        <v>0</v>
      </c>
      <c r="J18" s="43">
        <f>'Haver Pivoted'!GU64</f>
        <v>0</v>
      </c>
      <c r="K18" s="43">
        <f>'Haver Pivoted'!GV64</f>
        <v>106.2</v>
      </c>
      <c r="L18" s="43">
        <f>'Haver Pivoted'!GW64</f>
        <v>35.9</v>
      </c>
      <c r="M18" s="43">
        <f>'Haver Pivoted'!GX64</f>
        <v>1.6</v>
      </c>
      <c r="N18" s="43">
        <f>'Haver Pivoted'!GY64</f>
        <v>0.6</v>
      </c>
      <c r="O18" s="275">
        <f>'Haver Pivoted'!GZ64</f>
        <v>0.1</v>
      </c>
      <c r="P18" s="394"/>
      <c r="Q18" s="394"/>
      <c r="R18" s="394"/>
      <c r="S18" s="394"/>
      <c r="T18" s="394"/>
      <c r="U18" s="394"/>
      <c r="V18" s="394"/>
      <c r="W18" s="394"/>
      <c r="X18" s="394"/>
      <c r="Y18" s="394"/>
      <c r="Z18" s="394"/>
      <c r="AA18" s="394"/>
      <c r="AB18" s="394"/>
      <c r="AC18" s="395"/>
    </row>
    <row r="19" spans="2:30" ht="14.5" x14ac:dyDescent="0.35">
      <c r="B19" s="50" t="s">
        <v>419</v>
      </c>
      <c r="C19" s="364"/>
      <c r="D19" s="64">
        <f t="shared" ref="D19:N19" si="9">D11-D20</f>
        <v>0</v>
      </c>
      <c r="E19" s="62">
        <f t="shared" si="9"/>
        <v>0</v>
      </c>
      <c r="F19" s="62">
        <f t="shared" si="9"/>
        <v>0</v>
      </c>
      <c r="G19" s="62">
        <f t="shared" si="9"/>
        <v>0</v>
      </c>
      <c r="H19" s="62">
        <f t="shared" si="9"/>
        <v>0</v>
      </c>
      <c r="I19" s="62">
        <f t="shared" si="9"/>
        <v>0</v>
      </c>
      <c r="J19" s="62">
        <f t="shared" si="9"/>
        <v>779.80000000000007</v>
      </c>
      <c r="K19" s="62">
        <f t="shared" si="9"/>
        <v>586.29999999999995</v>
      </c>
      <c r="L19" s="62">
        <f t="shared" si="9"/>
        <v>229.4</v>
      </c>
      <c r="M19" s="62">
        <f t="shared" si="9"/>
        <v>530</v>
      </c>
      <c r="N19" s="57">
        <f t="shared" si="9"/>
        <v>435.4</v>
      </c>
      <c r="O19" s="48">
        <f>O11-O20</f>
        <v>236.5</v>
      </c>
      <c r="P19" s="396">
        <f t="shared" ref="P19:Y19" si="10">P11-P20</f>
        <v>0</v>
      </c>
      <c r="Q19" s="396">
        <f t="shared" si="10"/>
        <v>0</v>
      </c>
      <c r="R19" s="396">
        <f t="shared" si="10"/>
        <v>0</v>
      </c>
      <c r="S19" s="396">
        <f t="shared" si="10"/>
        <v>0</v>
      </c>
      <c r="T19" s="396">
        <f t="shared" si="10"/>
        <v>0</v>
      </c>
      <c r="U19" s="396">
        <f t="shared" si="10"/>
        <v>0</v>
      </c>
      <c r="V19" s="396">
        <f t="shared" si="10"/>
        <v>0</v>
      </c>
      <c r="W19" s="396">
        <f t="shared" si="10"/>
        <v>0</v>
      </c>
      <c r="X19" s="396">
        <f t="shared" si="10"/>
        <v>0</v>
      </c>
      <c r="Y19" s="396">
        <f t="shared" si="10"/>
        <v>0</v>
      </c>
      <c r="Z19" s="396">
        <f t="shared" ref="Z19:AC19" si="11">Z11-Z20</f>
        <v>0</v>
      </c>
      <c r="AA19" s="396">
        <f t="shared" si="11"/>
        <v>0</v>
      </c>
      <c r="AB19" s="396">
        <f t="shared" si="11"/>
        <v>0</v>
      </c>
      <c r="AC19" s="634">
        <f t="shared" si="11"/>
        <v>0</v>
      </c>
    </row>
    <row r="20" spans="2:30" ht="14.5" x14ac:dyDescent="0.35">
      <c r="B20" s="50" t="s">
        <v>420</v>
      </c>
      <c r="C20" s="364"/>
      <c r="D20" s="64">
        <f t="shared" ref="D20:H20" si="12">D11</f>
        <v>27.1</v>
      </c>
      <c r="E20" s="62">
        <f t="shared" si="12"/>
        <v>28.4</v>
      </c>
      <c r="F20" s="62">
        <f t="shared" si="12"/>
        <v>27.8</v>
      </c>
      <c r="G20" s="62">
        <f t="shared" si="12"/>
        <v>27.4</v>
      </c>
      <c r="H20" s="62">
        <f t="shared" si="12"/>
        <v>26.8</v>
      </c>
      <c r="I20" s="62">
        <f>I11</f>
        <v>39.5</v>
      </c>
      <c r="J20" s="62">
        <f>J11-J13-J12</f>
        <v>259.60000000000002</v>
      </c>
      <c r="K20" s="62">
        <f>K11-K13-K12</f>
        <v>181.49999999999994</v>
      </c>
      <c r="L20" s="62">
        <f>L11-L13-L12</f>
        <v>70.499999999999972</v>
      </c>
      <c r="M20" s="62">
        <f>M11-M13-M12</f>
        <v>35.799999999999955</v>
      </c>
      <c r="N20" s="286">
        <f>N11-N12-N13</f>
        <v>45</v>
      </c>
      <c r="O20" s="921">
        <f>O11-O12-O13</f>
        <v>36.100000000000023</v>
      </c>
      <c r="P20" s="394">
        <f t="shared" ref="P20:AC20" si="13">O20*P22/O22</f>
        <v>32.412642857142878</v>
      </c>
      <c r="Q20" s="394">
        <f>P20*Q22/P22</f>
        <v>28.861246753246771</v>
      </c>
      <c r="R20" s="394">
        <f t="shared" si="13"/>
        <v>26.856993506493524</v>
      </c>
      <c r="S20" s="394">
        <f t="shared" si="13"/>
        <v>25.893545454545471</v>
      </c>
      <c r="T20" s="394">
        <f t="shared" si="13"/>
        <v>25.57708441558443</v>
      </c>
      <c r="U20" s="394">
        <f t="shared" si="13"/>
        <v>25.752896103896116</v>
      </c>
      <c r="V20" s="394">
        <f t="shared" si="13"/>
        <v>26.1467142857143</v>
      </c>
      <c r="W20" s="394">
        <f t="shared" si="13"/>
        <v>26.547564935064948</v>
      </c>
      <c r="X20" s="394">
        <f t="shared" si="13"/>
        <v>26.969512987013001</v>
      </c>
      <c r="Y20" s="394">
        <f t="shared" si="13"/>
        <v>27.496948051948067</v>
      </c>
      <c r="Z20" s="394">
        <f t="shared" si="13"/>
        <v>27.932961038961054</v>
      </c>
      <c r="AA20" s="394">
        <f t="shared" si="13"/>
        <v>28.277551948051961</v>
      </c>
      <c r="AB20" s="394">
        <f t="shared" si="13"/>
        <v>28.706532467532483</v>
      </c>
      <c r="AC20" s="395">
        <f t="shared" si="13"/>
        <v>29.121448051948068</v>
      </c>
      <c r="AD20" s="34" t="s">
        <v>421</v>
      </c>
    </row>
    <row r="21" spans="2:30" x14ac:dyDescent="0.3">
      <c r="B21" s="49"/>
      <c r="C21" s="364"/>
      <c r="D21" s="125"/>
      <c r="E21" s="88"/>
      <c r="F21" s="88"/>
      <c r="G21" s="88"/>
      <c r="H21" s="62"/>
      <c r="I21" s="62"/>
      <c r="J21" s="62"/>
      <c r="K21" s="62"/>
      <c r="L21" s="62"/>
      <c r="M21" s="62"/>
      <c r="N21" s="63"/>
      <c r="O21" s="923"/>
      <c r="P21" s="389"/>
      <c r="Q21" s="389"/>
      <c r="R21" s="389"/>
      <c r="S21" s="389"/>
      <c r="T21" s="389"/>
      <c r="U21" s="389"/>
      <c r="V21" s="389"/>
      <c r="W21" s="389"/>
      <c r="X21" s="389"/>
      <c r="Y21" s="389"/>
      <c r="Z21" s="389"/>
      <c r="AA21" s="389"/>
      <c r="AB21" s="389"/>
      <c r="AC21" s="390"/>
    </row>
    <row r="22" spans="2:30" x14ac:dyDescent="0.3">
      <c r="B22" s="138" t="s">
        <v>422</v>
      </c>
      <c r="C22" s="42"/>
      <c r="D22" s="147"/>
      <c r="E22" s="145"/>
      <c r="F22" s="145"/>
      <c r="G22" s="145"/>
      <c r="H22" s="580"/>
      <c r="I22" s="581"/>
      <c r="J22" s="581"/>
      <c r="K22" s="581"/>
      <c r="L22" s="581"/>
      <c r="M22" s="581">
        <f>D27</f>
        <v>6.166666666666667</v>
      </c>
      <c r="N22" s="581">
        <f>D30</f>
        <v>5.7666666666666657</v>
      </c>
      <c r="O22" s="851">
        <f>D33</f>
        <v>5.1333333333333337</v>
      </c>
      <c r="P22" s="392">
        <v>4.609</v>
      </c>
      <c r="Q22" s="392">
        <v>4.1040000000000001</v>
      </c>
      <c r="R22" s="392">
        <v>3.819</v>
      </c>
      <c r="S22" s="392">
        <v>3.6819999999999999</v>
      </c>
      <c r="T22" s="392">
        <v>3.637</v>
      </c>
      <c r="U22" s="392">
        <v>3.6619999999999999</v>
      </c>
      <c r="V22" s="392">
        <v>3.718</v>
      </c>
      <c r="W22" s="392">
        <v>3.7749999999999999</v>
      </c>
      <c r="X22" s="392">
        <v>3.835</v>
      </c>
      <c r="Y22" s="392">
        <v>3.91</v>
      </c>
      <c r="Z22" s="392">
        <v>3.972</v>
      </c>
      <c r="AA22" s="392">
        <v>4.0209999999999999</v>
      </c>
      <c r="AB22" s="392">
        <v>4.0819999999999999</v>
      </c>
      <c r="AC22" s="649">
        <v>4.141</v>
      </c>
      <c r="AD22" s="51" t="s">
        <v>423</v>
      </c>
    </row>
    <row r="23" spans="2:30" x14ac:dyDescent="0.3">
      <c r="M23" s="173"/>
      <c r="N23" s="173"/>
      <c r="O23" s="173"/>
      <c r="P23" s="173"/>
      <c r="Q23" s="173"/>
      <c r="R23" s="173"/>
      <c r="S23" s="173"/>
      <c r="T23" s="173"/>
      <c r="U23" s="173"/>
      <c r="V23" s="173"/>
      <c r="W23" s="173"/>
      <c r="X23" s="173"/>
      <c r="Y23" s="173"/>
      <c r="Z23" s="173"/>
      <c r="AA23" s="173"/>
      <c r="AB23" s="173"/>
      <c r="AC23" s="173"/>
    </row>
    <row r="24" spans="2:30" x14ac:dyDescent="0.3">
      <c r="AA24" s="38"/>
    </row>
    <row r="26" spans="2:30" ht="30.65" customHeight="1" x14ac:dyDescent="0.3">
      <c r="B26" s="924" t="s">
        <v>424</v>
      </c>
      <c r="C26" s="825" t="s">
        <v>425</v>
      </c>
      <c r="D26" s="925" t="s">
        <v>426</v>
      </c>
    </row>
    <row r="27" spans="2:30" x14ac:dyDescent="0.3">
      <c r="B27" s="853">
        <v>44197</v>
      </c>
      <c r="C27" s="234">
        <v>6.3</v>
      </c>
      <c r="D27" s="854">
        <f>AVERAGE(C27:C29)</f>
        <v>6.166666666666667</v>
      </c>
    </row>
    <row r="28" spans="2:30" x14ac:dyDescent="0.3">
      <c r="B28" s="824">
        <v>44228</v>
      </c>
      <c r="C28" s="34">
        <v>6.2</v>
      </c>
      <c r="D28" s="40"/>
    </row>
    <row r="29" spans="2:30" x14ac:dyDescent="0.3">
      <c r="B29" s="824">
        <v>44256</v>
      </c>
      <c r="C29" s="34">
        <v>6</v>
      </c>
      <c r="D29" s="40"/>
    </row>
    <row r="30" spans="2:30" x14ac:dyDescent="0.3">
      <c r="B30" s="824">
        <v>44287</v>
      </c>
      <c r="C30" s="34">
        <v>6.1</v>
      </c>
      <c r="D30" s="40">
        <f>AVERAGE(C30:C32)</f>
        <v>5.7666666666666657</v>
      </c>
    </row>
    <row r="31" spans="2:30" x14ac:dyDescent="0.3">
      <c r="B31" s="824">
        <v>44317</v>
      </c>
      <c r="C31" s="34">
        <v>5.8</v>
      </c>
      <c r="D31" s="40"/>
    </row>
    <row r="32" spans="2:30" x14ac:dyDescent="0.3">
      <c r="B32" s="824">
        <v>44348</v>
      </c>
      <c r="C32" s="34">
        <v>5.4</v>
      </c>
      <c r="D32" s="40"/>
    </row>
    <row r="33" spans="2:5" x14ac:dyDescent="0.3">
      <c r="B33" s="824">
        <v>44378</v>
      </c>
      <c r="C33" s="34">
        <v>5.4</v>
      </c>
      <c r="D33" s="40">
        <f t="shared" ref="D33" si="14">AVERAGE(C33:C35)</f>
        <v>5.1333333333333337</v>
      </c>
      <c r="E33" s="34" t="s">
        <v>427</v>
      </c>
    </row>
    <row r="34" spans="2:5" x14ac:dyDescent="0.3">
      <c r="B34" s="824">
        <v>44409</v>
      </c>
      <c r="C34" s="34">
        <v>5.2</v>
      </c>
      <c r="D34" s="40"/>
    </row>
    <row r="35" spans="2:5" x14ac:dyDescent="0.3">
      <c r="B35" s="855">
        <v>44440</v>
      </c>
      <c r="C35" s="42">
        <v>4.8</v>
      </c>
      <c r="D35" s="54"/>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Y69"/>
  <sheetViews>
    <sheetView topLeftCell="G30" zoomScale="61" zoomScaleNormal="143" workbookViewId="0">
      <selection activeCell="H53" sqref="H53"/>
    </sheetView>
  </sheetViews>
  <sheetFormatPr defaultColWidth="8.54296875" defaultRowHeight="14" x14ac:dyDescent="0.3"/>
  <cols>
    <col min="1" max="6" width="0" style="34" hidden="1" customWidth="1"/>
    <col min="7" max="7" width="8.54296875" style="34"/>
    <col min="8" max="8" width="22.54296875" style="34" customWidth="1"/>
    <col min="9" max="9" width="11.453125" style="34" customWidth="1"/>
    <col min="10" max="10" width="13.1796875" style="34" customWidth="1"/>
    <col min="11" max="11" width="6.1796875" style="34" customWidth="1"/>
    <col min="12" max="12" width="8.81640625" style="34" bestFit="1" customWidth="1"/>
    <col min="13" max="13" width="9.453125" style="34" bestFit="1" customWidth="1"/>
    <col min="14" max="18" width="8.81640625" style="34" bestFit="1" customWidth="1"/>
    <col min="19" max="19" width="9.453125" style="34" bestFit="1" customWidth="1"/>
    <col min="20" max="16384" width="8.54296875" style="34"/>
  </cols>
  <sheetData>
    <row r="1" spans="8:22" x14ac:dyDescent="0.3">
      <c r="H1" s="1055" t="s">
        <v>441</v>
      </c>
      <c r="I1" s="1055"/>
      <c r="J1" s="1055"/>
      <c r="K1" s="1055"/>
      <c r="L1" s="1055"/>
      <c r="M1" s="1055"/>
      <c r="N1" s="1055"/>
      <c r="O1" s="1055"/>
      <c r="P1" s="1055"/>
      <c r="Q1" s="1055"/>
      <c r="R1" s="1055"/>
      <c r="S1" s="1055"/>
    </row>
    <row r="2" spans="8:22" x14ac:dyDescent="0.3">
      <c r="H2" s="1074" t="s">
        <v>442</v>
      </c>
      <c r="I2" s="1075"/>
      <c r="J2" s="1075"/>
      <c r="K2" s="1075"/>
      <c r="L2" s="1075"/>
      <c r="M2" s="1075"/>
      <c r="N2" s="1075"/>
      <c r="O2" s="1075"/>
      <c r="P2" s="1075"/>
      <c r="Q2" s="1075"/>
      <c r="R2" s="1075"/>
      <c r="S2" s="1075"/>
    </row>
    <row r="3" spans="8:22" x14ac:dyDescent="0.3">
      <c r="H3" s="1075"/>
      <c r="I3" s="1075"/>
      <c r="J3" s="1075"/>
      <c r="K3" s="1075"/>
      <c r="L3" s="1075"/>
      <c r="M3" s="1075"/>
      <c r="N3" s="1075"/>
      <c r="O3" s="1075"/>
      <c r="P3" s="1075"/>
      <c r="Q3" s="1075"/>
      <c r="R3" s="1075"/>
      <c r="S3" s="1075"/>
    </row>
    <row r="4" spans="8:22" x14ac:dyDescent="0.3">
      <c r="H4" s="1075"/>
      <c r="I4" s="1075"/>
      <c r="J4" s="1075"/>
      <c r="K4" s="1075"/>
      <c r="L4" s="1075"/>
      <c r="M4" s="1075"/>
      <c r="N4" s="1075"/>
      <c r="O4" s="1075"/>
      <c r="P4" s="1075"/>
      <c r="Q4" s="1075"/>
      <c r="R4" s="1075"/>
      <c r="S4" s="1075"/>
    </row>
    <row r="5" spans="8:22" ht="54.65" customHeight="1" x14ac:dyDescent="0.3">
      <c r="H5" s="1075"/>
      <c r="I5" s="1075"/>
      <c r="J5" s="1075"/>
      <c r="K5" s="1075"/>
      <c r="L5" s="1075"/>
      <c r="M5" s="1075"/>
      <c r="N5" s="1075"/>
      <c r="O5" s="1075"/>
      <c r="P5" s="1075"/>
      <c r="Q5" s="1075"/>
      <c r="R5" s="1075"/>
      <c r="S5" s="1075"/>
    </row>
    <row r="6" spans="8:22" x14ac:dyDescent="0.3">
      <c r="H6" s="55"/>
      <c r="I6" s="55"/>
      <c r="J6" s="55"/>
      <c r="K6" s="55"/>
      <c r="L6" s="55"/>
      <c r="M6" s="55"/>
      <c r="N6" s="55"/>
      <c r="O6" s="55"/>
      <c r="P6" s="55"/>
      <c r="Q6" s="55"/>
      <c r="R6" s="55"/>
      <c r="S6" s="55"/>
    </row>
    <row r="7" spans="8:22" x14ac:dyDescent="0.3">
      <c r="H7" s="214" t="s">
        <v>443</v>
      </c>
    </row>
    <row r="8" spans="8:22" ht="16" customHeight="1" x14ac:dyDescent="0.3"/>
    <row r="9" spans="8:22" ht="15.65" customHeight="1" x14ac:dyDescent="0.3">
      <c r="L9" s="1057">
        <v>2020</v>
      </c>
      <c r="M9" s="1058"/>
      <c r="N9" s="1058"/>
      <c r="O9" s="859">
        <v>2021</v>
      </c>
      <c r="P9" s="859"/>
      <c r="Q9" s="859"/>
      <c r="R9" s="852"/>
    </row>
    <row r="10" spans="8:22" s="39" customFormat="1" ht="28" x14ac:dyDescent="0.3">
      <c r="H10" s="927" t="s">
        <v>444</v>
      </c>
      <c r="I10" s="927" t="s">
        <v>445</v>
      </c>
      <c r="J10" s="928" t="s">
        <v>446</v>
      </c>
      <c r="K10" s="88"/>
      <c r="L10" s="571" t="s">
        <v>405</v>
      </c>
      <c r="M10" s="583" t="s">
        <v>290</v>
      </c>
      <c r="N10" s="583" t="s">
        <v>403</v>
      </c>
      <c r="O10" s="583" t="s">
        <v>404</v>
      </c>
      <c r="P10" s="583" t="s">
        <v>405</v>
      </c>
      <c r="Q10" s="583" t="s">
        <v>290</v>
      </c>
      <c r="R10" s="860" t="s">
        <v>403</v>
      </c>
      <c r="S10" s="55" t="s">
        <v>447</v>
      </c>
      <c r="T10" s="88"/>
      <c r="U10" s="88"/>
      <c r="V10" s="88"/>
    </row>
    <row r="11" spans="8:22" x14ac:dyDescent="0.3">
      <c r="H11" s="929">
        <v>43934</v>
      </c>
      <c r="I11" s="43">
        <v>248</v>
      </c>
      <c r="J11" s="275">
        <f>I11</f>
        <v>248</v>
      </c>
      <c r="K11" s="43"/>
      <c r="L11" s="303">
        <f>S11/26*J11</f>
        <v>95.384615384615387</v>
      </c>
      <c r="M11" s="295">
        <f>13/26*J11</f>
        <v>124</v>
      </c>
      <c r="N11" s="295">
        <f>J11-SUM(L11:M11)</f>
        <v>28.615384615384613</v>
      </c>
      <c r="O11" s="295"/>
      <c r="P11" s="295"/>
      <c r="Q11" s="295"/>
      <c r="R11" s="304"/>
      <c r="S11" s="43">
        <v>10</v>
      </c>
      <c r="T11" s="43"/>
      <c r="U11" s="296"/>
      <c r="V11" s="43"/>
    </row>
    <row r="12" spans="8:22" x14ac:dyDescent="0.3">
      <c r="H12" s="297">
        <v>43937</v>
      </c>
      <c r="I12" s="43">
        <v>342</v>
      </c>
      <c r="J12" s="275">
        <f>I12-I11</f>
        <v>94</v>
      </c>
      <c r="K12" s="43"/>
      <c r="L12" s="303">
        <f t="shared" ref="L12:L20" si="0">S12/26*J12</f>
        <v>36.153846153846153</v>
      </c>
      <c r="M12" s="295">
        <f t="shared" ref="M12:M20" si="1">13/26*J12</f>
        <v>47</v>
      </c>
      <c r="N12" s="295">
        <f t="shared" ref="N12:N21" si="2">J12-SUM(L12:M12)</f>
        <v>10.84615384615384</v>
      </c>
      <c r="O12" s="295"/>
      <c r="P12" s="295"/>
      <c r="Q12" s="295"/>
      <c r="R12" s="304"/>
      <c r="S12" s="43">
        <v>10</v>
      </c>
      <c r="T12" s="43"/>
      <c r="U12" s="43"/>
      <c r="V12" s="43"/>
    </row>
    <row r="13" spans="8:22" x14ac:dyDescent="0.3">
      <c r="H13" s="297">
        <v>43952</v>
      </c>
      <c r="I13" s="43">
        <v>518</v>
      </c>
      <c r="J13" s="275">
        <f>I13-I12</f>
        <v>176</v>
      </c>
      <c r="K13" s="43"/>
      <c r="L13" s="303">
        <f t="shared" si="0"/>
        <v>54.15384615384616</v>
      </c>
      <c r="M13" s="295">
        <f t="shared" si="1"/>
        <v>88</v>
      </c>
      <c r="N13" s="295">
        <f t="shared" si="2"/>
        <v>33.84615384615384</v>
      </c>
      <c r="O13" s="295"/>
      <c r="P13" s="295"/>
      <c r="Q13" s="295"/>
      <c r="R13" s="304"/>
      <c r="S13" s="43">
        <v>8</v>
      </c>
      <c r="T13" s="43"/>
      <c r="U13" s="43"/>
      <c r="V13" s="43"/>
    </row>
    <row r="14" spans="8:22" x14ac:dyDescent="0.3">
      <c r="H14" s="297">
        <v>43959</v>
      </c>
      <c r="I14" s="43">
        <v>531</v>
      </c>
      <c r="J14" s="275">
        <f t="shared" ref="J14:J45" si="3">I14-I13</f>
        <v>13</v>
      </c>
      <c r="K14" s="43"/>
      <c r="L14" s="303">
        <f t="shared" si="0"/>
        <v>3.5</v>
      </c>
      <c r="M14" s="295">
        <f t="shared" si="1"/>
        <v>6.5</v>
      </c>
      <c r="N14" s="295">
        <f t="shared" si="2"/>
        <v>3</v>
      </c>
      <c r="O14" s="295"/>
      <c r="P14" s="295"/>
      <c r="Q14" s="295"/>
      <c r="R14" s="304"/>
      <c r="S14" s="43">
        <f t="shared" ref="S14:S20" si="4">S13-1</f>
        <v>7</v>
      </c>
      <c r="T14" s="43"/>
      <c r="U14" s="43"/>
      <c r="V14" s="43"/>
    </row>
    <row r="15" spans="8:22" x14ac:dyDescent="0.3">
      <c r="H15" s="297">
        <v>43967</v>
      </c>
      <c r="I15" s="43">
        <v>513</v>
      </c>
      <c r="J15" s="275">
        <f t="shared" si="3"/>
        <v>-18</v>
      </c>
      <c r="K15" s="43"/>
      <c r="L15" s="303">
        <f t="shared" ref="L15:L17" si="5">S15/26*J15</f>
        <v>-4.1538461538461542</v>
      </c>
      <c r="M15" s="295">
        <f t="shared" ref="M15:M17" si="6">13/26*J15</f>
        <v>-9</v>
      </c>
      <c r="N15" s="295">
        <f t="shared" ref="N15:N17" si="7">J15-SUM(L15:M15)</f>
        <v>-4.8461538461538467</v>
      </c>
      <c r="O15" s="295"/>
      <c r="P15" s="295"/>
      <c r="Q15" s="295"/>
      <c r="R15" s="304"/>
      <c r="S15" s="43">
        <f t="shared" si="4"/>
        <v>6</v>
      </c>
      <c r="T15" s="43"/>
      <c r="U15" s="43"/>
      <c r="V15" s="43"/>
    </row>
    <row r="16" spans="8:22" x14ac:dyDescent="0.3">
      <c r="H16" s="297">
        <v>43974</v>
      </c>
      <c r="I16" s="43">
        <v>511</v>
      </c>
      <c r="J16" s="275">
        <f t="shared" si="3"/>
        <v>-2</v>
      </c>
      <c r="K16" s="43"/>
      <c r="L16" s="303">
        <f t="shared" si="5"/>
        <v>-0.38461538461538464</v>
      </c>
      <c r="M16" s="295">
        <f t="shared" si="6"/>
        <v>-1</v>
      </c>
      <c r="N16" s="295">
        <f t="shared" si="7"/>
        <v>-0.61538461538461542</v>
      </c>
      <c r="O16" s="295"/>
      <c r="P16" s="295"/>
      <c r="Q16" s="295"/>
      <c r="R16" s="304"/>
      <c r="S16" s="43">
        <f t="shared" si="4"/>
        <v>5</v>
      </c>
      <c r="T16" s="43"/>
      <c r="U16" s="43"/>
      <c r="V16" s="43"/>
    </row>
    <row r="17" spans="8:22" x14ac:dyDescent="0.3">
      <c r="H17" s="297">
        <v>43981</v>
      </c>
      <c r="I17" s="43">
        <v>510</v>
      </c>
      <c r="J17" s="275">
        <f t="shared" si="3"/>
        <v>-1</v>
      </c>
      <c r="K17" s="43"/>
      <c r="L17" s="303">
        <f t="shared" si="5"/>
        <v>-0.15384615384615385</v>
      </c>
      <c r="M17" s="295">
        <f t="shared" si="6"/>
        <v>-0.5</v>
      </c>
      <c r="N17" s="295">
        <f t="shared" si="7"/>
        <v>-0.34615384615384615</v>
      </c>
      <c r="O17" s="295"/>
      <c r="P17" s="295"/>
      <c r="Q17" s="295"/>
      <c r="R17" s="304"/>
      <c r="S17" s="43">
        <f t="shared" si="4"/>
        <v>4</v>
      </c>
      <c r="T17" s="43"/>
      <c r="U17" s="43"/>
      <c r="V17" s="43"/>
    </row>
    <row r="18" spans="8:22" x14ac:dyDescent="0.3">
      <c r="H18" s="297">
        <v>43988</v>
      </c>
      <c r="I18" s="43">
        <v>511</v>
      </c>
      <c r="J18" s="275">
        <f t="shared" si="3"/>
        <v>1</v>
      </c>
      <c r="K18" s="43"/>
      <c r="L18" s="303">
        <f t="shared" si="0"/>
        <v>0.11538461538461539</v>
      </c>
      <c r="M18" s="295">
        <f t="shared" si="1"/>
        <v>0.5</v>
      </c>
      <c r="N18" s="295">
        <f t="shared" si="2"/>
        <v>0.38461538461538458</v>
      </c>
      <c r="O18" s="295"/>
      <c r="P18" s="295"/>
      <c r="Q18" s="295"/>
      <c r="R18" s="304"/>
      <c r="S18" s="43">
        <f t="shared" si="4"/>
        <v>3</v>
      </c>
      <c r="T18" s="43"/>
      <c r="U18" s="43"/>
      <c r="V18" s="43"/>
    </row>
    <row r="19" spans="8:22" x14ac:dyDescent="0.3">
      <c r="H19" s="297">
        <v>43994</v>
      </c>
      <c r="I19" s="43">
        <v>512</v>
      </c>
      <c r="J19" s="275">
        <f t="shared" si="3"/>
        <v>1</v>
      </c>
      <c r="K19" s="43"/>
      <c r="L19" s="303">
        <f t="shared" si="0"/>
        <v>7.6923076923076927E-2</v>
      </c>
      <c r="M19" s="295">
        <f t="shared" si="1"/>
        <v>0.5</v>
      </c>
      <c r="N19" s="295">
        <f t="shared" si="2"/>
        <v>0.42307692307692313</v>
      </c>
      <c r="O19" s="295"/>
      <c r="P19" s="295"/>
      <c r="Q19" s="295"/>
      <c r="R19" s="304"/>
      <c r="S19" s="43">
        <f t="shared" si="4"/>
        <v>2</v>
      </c>
      <c r="T19" s="43"/>
      <c r="U19" s="43"/>
      <c r="V19" s="43"/>
    </row>
    <row r="20" spans="8:22" x14ac:dyDescent="0.3">
      <c r="H20" s="297">
        <v>44002</v>
      </c>
      <c r="I20" s="43">
        <v>515</v>
      </c>
      <c r="J20" s="275">
        <f t="shared" si="3"/>
        <v>3</v>
      </c>
      <c r="K20" s="43"/>
      <c r="L20" s="303">
        <f t="shared" si="0"/>
        <v>0.11538461538461539</v>
      </c>
      <c r="M20" s="295">
        <f t="shared" si="1"/>
        <v>1.5</v>
      </c>
      <c r="N20" s="295">
        <f t="shared" si="2"/>
        <v>1.3846153846153846</v>
      </c>
      <c r="O20" s="295"/>
      <c r="P20" s="295"/>
      <c r="Q20" s="295"/>
      <c r="R20" s="304"/>
      <c r="S20" s="43">
        <f t="shared" si="4"/>
        <v>1</v>
      </c>
      <c r="T20" s="43"/>
      <c r="U20" s="43"/>
      <c r="V20" s="43"/>
    </row>
    <row r="21" spans="8:22" x14ac:dyDescent="0.3">
      <c r="H21" s="297">
        <v>44009</v>
      </c>
      <c r="I21" s="43">
        <v>519</v>
      </c>
      <c r="J21" s="275">
        <f t="shared" si="3"/>
        <v>4</v>
      </c>
      <c r="K21" s="43"/>
      <c r="L21" s="303"/>
      <c r="M21" s="295">
        <f>S21/26*J21</f>
        <v>2</v>
      </c>
      <c r="N21" s="295">
        <f t="shared" si="2"/>
        <v>2</v>
      </c>
      <c r="O21" s="295"/>
      <c r="P21" s="295"/>
      <c r="Q21" s="295"/>
      <c r="R21" s="304"/>
      <c r="S21" s="43">
        <v>13</v>
      </c>
      <c r="T21" s="43"/>
      <c r="U21" s="43"/>
      <c r="V21" s="43"/>
    </row>
    <row r="22" spans="8:22" x14ac:dyDescent="0.3">
      <c r="H22" s="297">
        <v>44012</v>
      </c>
      <c r="I22" s="43">
        <v>521</v>
      </c>
      <c r="J22" s="275">
        <f t="shared" si="3"/>
        <v>2</v>
      </c>
      <c r="K22" s="43"/>
      <c r="L22" s="303"/>
      <c r="M22" s="295">
        <f t="shared" ref="M22:M26" si="8">S22/26*J22</f>
        <v>1</v>
      </c>
      <c r="N22" s="295">
        <f>J22-SUM(L22:M22)</f>
        <v>1</v>
      </c>
      <c r="O22" s="295"/>
      <c r="P22" s="295"/>
      <c r="Q22" s="295"/>
      <c r="R22" s="304"/>
      <c r="S22" s="43">
        <v>13</v>
      </c>
      <c r="T22" s="43"/>
      <c r="U22" s="43"/>
      <c r="V22" s="43"/>
    </row>
    <row r="23" spans="8:22" x14ac:dyDescent="0.3">
      <c r="H23" s="297">
        <v>44029</v>
      </c>
      <c r="I23" s="43">
        <v>518</v>
      </c>
      <c r="J23" s="275">
        <f t="shared" si="3"/>
        <v>-3</v>
      </c>
      <c r="K23" s="43"/>
      <c r="L23" s="303"/>
      <c r="M23" s="295">
        <f t="shared" ref="M23" si="9">S23/26*J23</f>
        <v>-1.153846153846154</v>
      </c>
      <c r="N23" s="295">
        <f t="shared" ref="N23" si="10">13/26*J23</f>
        <v>-1.5</v>
      </c>
      <c r="O23" s="295">
        <f t="shared" ref="O23" si="11">J23-N23-M23</f>
        <v>-0.34615384615384603</v>
      </c>
      <c r="P23" s="295"/>
      <c r="Q23" s="295"/>
      <c r="R23" s="304"/>
      <c r="S23" s="43">
        <f>S22-3</f>
        <v>10</v>
      </c>
      <c r="T23" s="43"/>
      <c r="U23" s="43"/>
      <c r="V23" s="43"/>
    </row>
    <row r="24" spans="8:22" x14ac:dyDescent="0.3">
      <c r="H24" s="297">
        <v>44036</v>
      </c>
      <c r="I24" s="43">
        <v>520</v>
      </c>
      <c r="J24" s="275">
        <f t="shared" si="3"/>
        <v>2</v>
      </c>
      <c r="K24" s="43"/>
      <c r="L24" s="303"/>
      <c r="M24" s="295">
        <f t="shared" si="8"/>
        <v>0.69230769230769229</v>
      </c>
      <c r="N24" s="295">
        <f t="shared" ref="N24:N26" si="12">13/26*J24</f>
        <v>1</v>
      </c>
      <c r="O24" s="295">
        <f t="shared" ref="O24:O26" si="13">J24-N24-M24</f>
        <v>0.30769230769230771</v>
      </c>
      <c r="P24" s="295"/>
      <c r="Q24" s="295"/>
      <c r="R24" s="304"/>
      <c r="S24" s="43">
        <f>S23-1</f>
        <v>9</v>
      </c>
      <c r="T24" s="43"/>
      <c r="U24" s="43"/>
      <c r="V24" s="43"/>
    </row>
    <row r="25" spans="8:22" x14ac:dyDescent="0.3">
      <c r="H25" s="297">
        <v>44043</v>
      </c>
      <c r="I25" s="43">
        <v>521</v>
      </c>
      <c r="J25" s="275">
        <f t="shared" si="3"/>
        <v>1</v>
      </c>
      <c r="K25" s="43"/>
      <c r="L25" s="303"/>
      <c r="M25" s="295">
        <f t="shared" si="8"/>
        <v>0.30769230769230771</v>
      </c>
      <c r="N25" s="295">
        <f t="shared" si="12"/>
        <v>0.5</v>
      </c>
      <c r="O25" s="295">
        <f t="shared" si="13"/>
        <v>0.19230769230769229</v>
      </c>
      <c r="P25" s="295"/>
      <c r="Q25" s="295"/>
      <c r="R25" s="304"/>
      <c r="S25" s="43">
        <f>S24-1</f>
        <v>8</v>
      </c>
      <c r="T25" s="43"/>
      <c r="U25" s="43"/>
      <c r="V25" s="43"/>
    </row>
    <row r="26" spans="8:22" x14ac:dyDescent="0.3">
      <c r="H26" s="297">
        <v>44051</v>
      </c>
      <c r="I26" s="43">
        <v>525</v>
      </c>
      <c r="J26" s="275">
        <f t="shared" si="3"/>
        <v>4</v>
      </c>
      <c r="K26" s="43"/>
      <c r="L26" s="303"/>
      <c r="M26" s="295">
        <f t="shared" si="8"/>
        <v>1.0769230769230769</v>
      </c>
      <c r="N26" s="295">
        <f t="shared" si="12"/>
        <v>2</v>
      </c>
      <c r="O26" s="295">
        <f t="shared" si="13"/>
        <v>0.92307692307692313</v>
      </c>
      <c r="P26" s="295"/>
      <c r="Q26" s="295"/>
      <c r="R26" s="304"/>
      <c r="S26" s="43">
        <f>S25-1</f>
        <v>7</v>
      </c>
      <c r="T26" s="43"/>
      <c r="U26" s="43"/>
      <c r="V26" s="43"/>
    </row>
    <row r="27" spans="8:22" x14ac:dyDescent="0.3">
      <c r="H27" s="297">
        <v>44220</v>
      </c>
      <c r="I27" s="43">
        <v>558</v>
      </c>
      <c r="J27" s="275">
        <f t="shared" si="3"/>
        <v>33</v>
      </c>
      <c r="K27" s="43"/>
      <c r="L27" s="303"/>
      <c r="M27" s="295"/>
      <c r="N27" s="295"/>
      <c r="O27" s="295">
        <f>S27/26*J27</f>
        <v>12.692307692307693</v>
      </c>
      <c r="P27" s="295">
        <f>J27/2</f>
        <v>16.5</v>
      </c>
      <c r="Q27" s="295">
        <f>J27-P27-O27</f>
        <v>3.8076923076923066</v>
      </c>
      <c r="R27" s="304"/>
      <c r="S27" s="43">
        <v>10</v>
      </c>
      <c r="T27" s="43">
        <v>10</v>
      </c>
      <c r="U27" s="43"/>
      <c r="V27" s="43"/>
    </row>
    <row r="28" spans="8:22" x14ac:dyDescent="0.3">
      <c r="H28" s="297">
        <v>44227</v>
      </c>
      <c r="I28" s="43">
        <v>596</v>
      </c>
      <c r="J28" s="275">
        <f t="shared" si="3"/>
        <v>38</v>
      </c>
      <c r="K28" s="43"/>
      <c r="L28" s="303"/>
      <c r="M28" s="295"/>
      <c r="N28" s="295"/>
      <c r="O28" s="295">
        <f t="shared" ref="O28:O36" si="14">S28/26*J28</f>
        <v>13.153846153846153</v>
      </c>
      <c r="P28" s="295">
        <f t="shared" ref="P28:P36" si="15">J28/2</f>
        <v>19</v>
      </c>
      <c r="Q28" s="295">
        <f t="shared" ref="Q28:Q36" si="16">J28-P28-O28</f>
        <v>5.8461538461538467</v>
      </c>
      <c r="R28" s="304"/>
      <c r="S28" s="43">
        <f>S27-1</f>
        <v>9</v>
      </c>
      <c r="T28" s="43">
        <f>T27-1</f>
        <v>9</v>
      </c>
      <c r="U28" s="43"/>
      <c r="V28" s="43"/>
    </row>
    <row r="29" spans="8:22" x14ac:dyDescent="0.3">
      <c r="H29" s="297">
        <v>44234</v>
      </c>
      <c r="I29" s="43">
        <v>623</v>
      </c>
      <c r="J29" s="275">
        <f t="shared" si="3"/>
        <v>27</v>
      </c>
      <c r="K29" s="43"/>
      <c r="L29" s="303"/>
      <c r="M29" s="295"/>
      <c r="N29" s="295"/>
      <c r="O29" s="295">
        <f t="shared" si="14"/>
        <v>8.3076923076923084</v>
      </c>
      <c r="P29" s="295">
        <f t="shared" si="15"/>
        <v>13.5</v>
      </c>
      <c r="Q29" s="295">
        <f t="shared" si="16"/>
        <v>5.1923076923076916</v>
      </c>
      <c r="R29" s="304"/>
      <c r="S29" s="43">
        <f t="shared" ref="S29:S36" si="17">S28-1</f>
        <v>8</v>
      </c>
      <c r="T29" s="43">
        <f t="shared" ref="T29:T36" si="18">T28-1</f>
        <v>8</v>
      </c>
      <c r="U29" s="43"/>
      <c r="V29" s="43"/>
    </row>
    <row r="30" spans="8:22" x14ac:dyDescent="0.3">
      <c r="H30" s="297">
        <v>44242</v>
      </c>
      <c r="I30" s="43">
        <v>648</v>
      </c>
      <c r="J30" s="275">
        <f t="shared" si="3"/>
        <v>25</v>
      </c>
      <c r="K30" s="43"/>
      <c r="L30" s="303"/>
      <c r="M30" s="295"/>
      <c r="N30" s="295"/>
      <c r="O30" s="295">
        <f t="shared" si="14"/>
        <v>6.7307692307692308</v>
      </c>
      <c r="P30" s="295">
        <f t="shared" si="15"/>
        <v>12.5</v>
      </c>
      <c r="Q30" s="295">
        <f t="shared" si="16"/>
        <v>5.7692307692307692</v>
      </c>
      <c r="R30" s="304"/>
      <c r="S30" s="43">
        <f t="shared" si="17"/>
        <v>7</v>
      </c>
      <c r="T30" s="43">
        <f t="shared" si="18"/>
        <v>7</v>
      </c>
      <c r="U30" s="43"/>
      <c r="V30" s="43"/>
    </row>
    <row r="31" spans="8:22" x14ac:dyDescent="0.3">
      <c r="H31" s="297">
        <v>44248</v>
      </c>
      <c r="I31" s="43">
        <v>663</v>
      </c>
      <c r="J31" s="275">
        <f t="shared" si="3"/>
        <v>15</v>
      </c>
      <c r="K31" s="43"/>
      <c r="L31" s="303"/>
      <c r="M31" s="295"/>
      <c r="N31" s="295"/>
      <c r="O31" s="295">
        <f t="shared" si="14"/>
        <v>3.4615384615384617</v>
      </c>
      <c r="P31" s="295">
        <f t="shared" si="15"/>
        <v>7.5</v>
      </c>
      <c r="Q31" s="295">
        <f t="shared" si="16"/>
        <v>4.0384615384615383</v>
      </c>
      <c r="R31" s="304"/>
      <c r="S31" s="43">
        <f t="shared" si="17"/>
        <v>6</v>
      </c>
      <c r="T31" s="43">
        <f t="shared" si="18"/>
        <v>6</v>
      </c>
      <c r="U31" s="43"/>
      <c r="V31" s="43"/>
    </row>
    <row r="32" spans="8:22" x14ac:dyDescent="0.3">
      <c r="H32" s="297">
        <v>44255</v>
      </c>
      <c r="I32" s="43">
        <v>679</v>
      </c>
      <c r="J32" s="275">
        <f t="shared" si="3"/>
        <v>16</v>
      </c>
      <c r="K32" s="43"/>
      <c r="L32" s="303"/>
      <c r="M32" s="295"/>
      <c r="N32" s="295"/>
      <c r="O32" s="295">
        <f t="shared" si="14"/>
        <v>3.0769230769230771</v>
      </c>
      <c r="P32" s="295">
        <f t="shared" si="15"/>
        <v>8</v>
      </c>
      <c r="Q32" s="295">
        <f t="shared" si="16"/>
        <v>4.9230769230769234</v>
      </c>
      <c r="R32" s="304"/>
      <c r="S32" s="43">
        <f t="shared" si="17"/>
        <v>5</v>
      </c>
      <c r="T32" s="43">
        <f t="shared" si="18"/>
        <v>5</v>
      </c>
      <c r="U32" s="43"/>
      <c r="V32" s="43"/>
    </row>
    <row r="33" spans="8:22" x14ac:dyDescent="0.3">
      <c r="H33" s="297">
        <v>44262</v>
      </c>
      <c r="I33" s="43">
        <v>687</v>
      </c>
      <c r="J33" s="275">
        <f t="shared" si="3"/>
        <v>8</v>
      </c>
      <c r="K33" s="43"/>
      <c r="L33" s="303"/>
      <c r="M33" s="295"/>
      <c r="N33" s="295"/>
      <c r="O33" s="295">
        <f t="shared" si="14"/>
        <v>1.2307692307692308</v>
      </c>
      <c r="P33" s="295">
        <f t="shared" si="15"/>
        <v>4</v>
      </c>
      <c r="Q33" s="295">
        <f t="shared" si="16"/>
        <v>2.7692307692307692</v>
      </c>
      <c r="R33" s="304"/>
      <c r="S33" s="43">
        <f t="shared" si="17"/>
        <v>4</v>
      </c>
      <c r="T33" s="43">
        <f t="shared" si="18"/>
        <v>4</v>
      </c>
      <c r="U33" s="43"/>
      <c r="V33" s="43"/>
    </row>
    <row r="34" spans="8:22" x14ac:dyDescent="0.3">
      <c r="H34" s="297">
        <v>44269</v>
      </c>
      <c r="I34" s="43">
        <v>704</v>
      </c>
      <c r="J34" s="275">
        <f t="shared" si="3"/>
        <v>17</v>
      </c>
      <c r="K34" s="43"/>
      <c r="L34" s="303"/>
      <c r="M34" s="295"/>
      <c r="N34" s="295"/>
      <c r="O34" s="295">
        <f t="shared" si="14"/>
        <v>1.9615384615384617</v>
      </c>
      <c r="P34" s="295">
        <f t="shared" si="15"/>
        <v>8.5</v>
      </c>
      <c r="Q34" s="295">
        <f t="shared" si="16"/>
        <v>6.5384615384615383</v>
      </c>
      <c r="R34" s="304"/>
      <c r="S34" s="43">
        <f t="shared" si="17"/>
        <v>3</v>
      </c>
      <c r="T34" s="43">
        <f t="shared" si="18"/>
        <v>3</v>
      </c>
      <c r="U34" s="43"/>
      <c r="V34" s="43"/>
    </row>
    <row r="35" spans="8:22" x14ac:dyDescent="0.3">
      <c r="H35" s="297">
        <v>44276</v>
      </c>
      <c r="I35" s="43">
        <v>718</v>
      </c>
      <c r="J35" s="275">
        <f t="shared" si="3"/>
        <v>14</v>
      </c>
      <c r="K35" s="43"/>
      <c r="L35" s="303"/>
      <c r="M35" s="295"/>
      <c r="N35" s="295"/>
      <c r="O35" s="295">
        <f t="shared" si="14"/>
        <v>1.0769230769230771</v>
      </c>
      <c r="P35" s="295">
        <f t="shared" si="15"/>
        <v>7</v>
      </c>
      <c r="Q35" s="295">
        <f t="shared" si="16"/>
        <v>5.9230769230769234</v>
      </c>
      <c r="R35" s="304"/>
      <c r="S35" s="43">
        <f t="shared" si="17"/>
        <v>2</v>
      </c>
      <c r="T35" s="43">
        <f t="shared" si="18"/>
        <v>2</v>
      </c>
      <c r="U35" s="43"/>
      <c r="V35" s="43"/>
    </row>
    <row r="36" spans="8:22" x14ac:dyDescent="0.3">
      <c r="H36" s="297">
        <v>44283</v>
      </c>
      <c r="I36" s="43">
        <v>734</v>
      </c>
      <c r="J36" s="275">
        <f t="shared" si="3"/>
        <v>16</v>
      </c>
      <c r="K36" s="43"/>
      <c r="L36" s="303"/>
      <c r="M36" s="295"/>
      <c r="N36" s="295"/>
      <c r="O36" s="295">
        <f t="shared" si="14"/>
        <v>0.61538461538461542</v>
      </c>
      <c r="P36" s="295">
        <f t="shared" si="15"/>
        <v>8</v>
      </c>
      <c r="Q36" s="295">
        <f t="shared" si="16"/>
        <v>7.384615384615385</v>
      </c>
      <c r="R36" s="304"/>
      <c r="S36" s="43">
        <f t="shared" si="17"/>
        <v>1</v>
      </c>
      <c r="T36" s="43">
        <f t="shared" si="18"/>
        <v>1</v>
      </c>
      <c r="U36" s="43"/>
      <c r="V36" s="43"/>
    </row>
    <row r="37" spans="8:22" x14ac:dyDescent="0.3">
      <c r="H37" s="297">
        <v>44290</v>
      </c>
      <c r="I37" s="43">
        <v>746</v>
      </c>
      <c r="J37" s="275">
        <f t="shared" si="3"/>
        <v>12</v>
      </c>
      <c r="K37" s="43"/>
      <c r="L37" s="303"/>
      <c r="M37" s="295"/>
      <c r="N37" s="295"/>
      <c r="O37" s="295"/>
      <c r="P37" s="295">
        <f>T37/26*J37</f>
        <v>6</v>
      </c>
      <c r="Q37" s="295">
        <f>J37/2</f>
        <v>6</v>
      </c>
      <c r="R37" s="304">
        <f>J37-Q37-P37</f>
        <v>0</v>
      </c>
      <c r="S37" s="43">
        <v>13</v>
      </c>
      <c r="T37" s="43">
        <v>13</v>
      </c>
      <c r="U37" s="43"/>
      <c r="V37" s="43"/>
    </row>
    <row r="38" spans="8:22" x14ac:dyDescent="0.3">
      <c r="H38" s="297">
        <v>44297</v>
      </c>
      <c r="I38" s="43">
        <v>755</v>
      </c>
      <c r="J38" s="275">
        <f t="shared" si="3"/>
        <v>9</v>
      </c>
      <c r="K38" s="43"/>
      <c r="L38" s="303"/>
      <c r="M38" s="295"/>
      <c r="N38" s="295"/>
      <c r="O38" s="295"/>
      <c r="P38" s="295">
        <f t="shared" ref="P38:P45" si="19">T38/26*J38</f>
        <v>4.1538461538461542</v>
      </c>
      <c r="Q38" s="295">
        <f t="shared" ref="Q38:Q45" si="20">J38/2</f>
        <v>4.5</v>
      </c>
      <c r="R38" s="304">
        <f t="shared" ref="R38:R45" si="21">J38-Q38-P38</f>
        <v>0.34615384615384581</v>
      </c>
      <c r="S38" s="43">
        <f>S37-1</f>
        <v>12</v>
      </c>
      <c r="T38" s="43">
        <f>T37-1</f>
        <v>12</v>
      </c>
      <c r="U38" s="43"/>
      <c r="V38" s="43"/>
    </row>
    <row r="39" spans="8:22" x14ac:dyDescent="0.3">
      <c r="H39" s="297">
        <v>44304</v>
      </c>
      <c r="I39" s="43">
        <v>762</v>
      </c>
      <c r="J39" s="275">
        <f t="shared" si="3"/>
        <v>7</v>
      </c>
      <c r="K39" s="43"/>
      <c r="L39" s="303"/>
      <c r="M39" s="295"/>
      <c r="N39" s="295"/>
      <c r="O39" s="295"/>
      <c r="P39" s="295">
        <f t="shared" si="19"/>
        <v>2.9615384615384617</v>
      </c>
      <c r="Q39" s="295">
        <f t="shared" si="20"/>
        <v>3.5</v>
      </c>
      <c r="R39" s="304">
        <f t="shared" si="21"/>
        <v>0.53846153846153832</v>
      </c>
      <c r="S39" s="43">
        <f t="shared" ref="S39:S45" si="22">S38-1</f>
        <v>11</v>
      </c>
      <c r="T39" s="43">
        <f t="shared" ref="T39:T45" si="23">T38-1</f>
        <v>11</v>
      </c>
      <c r="U39" s="43"/>
      <c r="V39" s="43"/>
    </row>
    <row r="40" spans="8:22" x14ac:dyDescent="0.3">
      <c r="H40" s="297">
        <v>44311</v>
      </c>
      <c r="I40" s="43">
        <v>771</v>
      </c>
      <c r="J40" s="275">
        <f t="shared" si="3"/>
        <v>9</v>
      </c>
      <c r="K40" s="43"/>
      <c r="L40" s="303"/>
      <c r="M40" s="295"/>
      <c r="N40" s="295"/>
      <c r="O40" s="295"/>
      <c r="P40" s="295">
        <f t="shared" si="19"/>
        <v>3.4615384615384617</v>
      </c>
      <c r="Q40" s="295">
        <f t="shared" si="20"/>
        <v>4.5</v>
      </c>
      <c r="R40" s="304">
        <f t="shared" si="21"/>
        <v>1.0384615384615383</v>
      </c>
      <c r="S40" s="43">
        <f t="shared" si="22"/>
        <v>10</v>
      </c>
      <c r="T40" s="43">
        <f t="shared" si="23"/>
        <v>10</v>
      </c>
      <c r="U40" s="43"/>
      <c r="V40" s="43"/>
    </row>
    <row r="41" spans="8:22" x14ac:dyDescent="0.3">
      <c r="H41" s="297">
        <v>44318</v>
      </c>
      <c r="I41" s="43">
        <v>780</v>
      </c>
      <c r="J41" s="275">
        <f t="shared" si="3"/>
        <v>9</v>
      </c>
      <c r="K41" s="43"/>
      <c r="L41" s="303"/>
      <c r="M41" s="295"/>
      <c r="N41" s="295"/>
      <c r="O41" s="295"/>
      <c r="P41" s="295">
        <f t="shared" si="19"/>
        <v>3.1153846153846154</v>
      </c>
      <c r="Q41" s="295">
        <f t="shared" si="20"/>
        <v>4.5</v>
      </c>
      <c r="R41" s="304">
        <f t="shared" si="21"/>
        <v>1.3846153846153846</v>
      </c>
      <c r="S41" s="43">
        <f t="shared" si="22"/>
        <v>9</v>
      </c>
      <c r="T41" s="43">
        <f t="shared" si="23"/>
        <v>9</v>
      </c>
      <c r="U41" s="43"/>
      <c r="V41" s="43"/>
    </row>
    <row r="42" spans="8:22" x14ac:dyDescent="0.3">
      <c r="H42" s="297">
        <v>44325</v>
      </c>
      <c r="I42" s="43">
        <v>782</v>
      </c>
      <c r="J42" s="275">
        <f t="shared" si="3"/>
        <v>2</v>
      </c>
      <c r="K42" s="43"/>
      <c r="L42" s="303"/>
      <c r="M42" s="295"/>
      <c r="N42" s="295"/>
      <c r="O42" s="295"/>
      <c r="P42" s="295">
        <f t="shared" si="19"/>
        <v>0.61538461538461542</v>
      </c>
      <c r="Q42" s="295">
        <f t="shared" si="20"/>
        <v>1</v>
      </c>
      <c r="R42" s="304">
        <f t="shared" si="21"/>
        <v>0.38461538461538458</v>
      </c>
      <c r="S42" s="43">
        <f t="shared" si="22"/>
        <v>8</v>
      </c>
      <c r="T42" s="43">
        <f t="shared" si="23"/>
        <v>8</v>
      </c>
      <c r="U42" s="43"/>
      <c r="V42" s="43"/>
    </row>
    <row r="43" spans="8:22" x14ac:dyDescent="0.3">
      <c r="H43" s="297">
        <v>44332</v>
      </c>
      <c r="I43" s="43">
        <v>788</v>
      </c>
      <c r="J43" s="275">
        <f t="shared" si="3"/>
        <v>6</v>
      </c>
      <c r="K43" s="43"/>
      <c r="L43" s="303"/>
      <c r="M43" s="295"/>
      <c r="N43" s="295"/>
      <c r="O43" s="295"/>
      <c r="P43" s="295">
        <f t="shared" si="19"/>
        <v>1.6153846153846154</v>
      </c>
      <c r="Q43" s="295">
        <f t="shared" si="20"/>
        <v>3</v>
      </c>
      <c r="R43" s="304">
        <f t="shared" si="21"/>
        <v>1.3846153846153846</v>
      </c>
      <c r="S43" s="43">
        <f t="shared" si="22"/>
        <v>7</v>
      </c>
      <c r="T43" s="43">
        <f t="shared" si="23"/>
        <v>7</v>
      </c>
      <c r="U43" s="43"/>
      <c r="V43" s="43"/>
    </row>
    <row r="44" spans="8:22" x14ac:dyDescent="0.3">
      <c r="H44" s="297">
        <v>44339</v>
      </c>
      <c r="I44" s="43">
        <v>796</v>
      </c>
      <c r="J44" s="275">
        <f t="shared" si="3"/>
        <v>8</v>
      </c>
      <c r="K44" s="43"/>
      <c r="L44" s="303"/>
      <c r="M44" s="295"/>
      <c r="N44" s="295"/>
      <c r="O44" s="295"/>
      <c r="P44" s="295">
        <f t="shared" si="19"/>
        <v>1.8461538461538463</v>
      </c>
      <c r="Q44" s="295">
        <f t="shared" si="20"/>
        <v>4</v>
      </c>
      <c r="R44" s="304">
        <f t="shared" si="21"/>
        <v>2.1538461538461537</v>
      </c>
      <c r="S44" s="43">
        <f t="shared" si="22"/>
        <v>6</v>
      </c>
      <c r="T44" s="43">
        <f t="shared" si="23"/>
        <v>6</v>
      </c>
      <c r="U44" s="43"/>
      <c r="V44" s="43"/>
    </row>
    <row r="45" spans="8:22" x14ac:dyDescent="0.3">
      <c r="H45" s="298">
        <v>44347</v>
      </c>
      <c r="I45" s="145">
        <v>800</v>
      </c>
      <c r="J45" s="174">
        <f t="shared" si="3"/>
        <v>4</v>
      </c>
      <c r="K45" s="43"/>
      <c r="L45" s="303"/>
      <c r="M45" s="295"/>
      <c r="N45" s="295"/>
      <c r="O45" s="295"/>
      <c r="P45" s="295">
        <f t="shared" si="19"/>
        <v>0.76923076923076927</v>
      </c>
      <c r="Q45" s="295">
        <f t="shared" si="20"/>
        <v>2</v>
      </c>
      <c r="R45" s="304">
        <f t="shared" si="21"/>
        <v>1.2307692307692308</v>
      </c>
      <c r="S45" s="43">
        <f t="shared" si="22"/>
        <v>5</v>
      </c>
      <c r="T45" s="43">
        <f t="shared" si="23"/>
        <v>5</v>
      </c>
      <c r="U45" s="43"/>
      <c r="V45" s="43"/>
    </row>
    <row r="46" spans="8:22" x14ac:dyDescent="0.3">
      <c r="H46" s="43"/>
      <c r="I46" s="43"/>
      <c r="J46" s="43"/>
      <c r="K46" s="43"/>
      <c r="L46" s="303">
        <f>SUM(L11:L45)</f>
        <v>184.80769230769229</v>
      </c>
      <c r="M46" s="295">
        <f t="shared" ref="M46:R46" si="24">SUM(M11:M45)</f>
        <v>261.42307692307696</v>
      </c>
      <c r="N46" s="295">
        <f t="shared" si="24"/>
        <v>77.692307692307693</v>
      </c>
      <c r="O46" s="295">
        <f t="shared" si="24"/>
        <v>53.384615384615394</v>
      </c>
      <c r="P46" s="295">
        <f t="shared" si="24"/>
        <v>129.03846153846155</v>
      </c>
      <c r="Q46" s="295">
        <f t="shared" si="24"/>
        <v>85.192307692307693</v>
      </c>
      <c r="R46" s="304">
        <f t="shared" si="24"/>
        <v>8.4615384615384599</v>
      </c>
      <c r="S46" s="43"/>
      <c r="T46" s="43"/>
      <c r="U46" s="43"/>
      <c r="V46" s="43"/>
    </row>
    <row r="47" spans="8:22" x14ac:dyDescent="0.3">
      <c r="H47" s="43"/>
      <c r="I47" s="43"/>
      <c r="J47" s="43"/>
      <c r="K47" s="43"/>
      <c r="L47" s="305">
        <f>L46*4</f>
        <v>739.23076923076917</v>
      </c>
      <c r="M47" s="306">
        <f t="shared" ref="M47:R47" si="25">M46*4</f>
        <v>1045.6923076923078</v>
      </c>
      <c r="N47" s="306">
        <f t="shared" si="25"/>
        <v>310.76923076923077</v>
      </c>
      <c r="O47" s="306">
        <f t="shared" si="25"/>
        <v>213.53846153846158</v>
      </c>
      <c r="P47" s="306">
        <f t="shared" si="25"/>
        <v>516.15384615384619</v>
      </c>
      <c r="Q47" s="306">
        <f t="shared" si="25"/>
        <v>340.76923076923077</v>
      </c>
      <c r="R47" s="307">
        <f t="shared" si="25"/>
        <v>33.84615384615384</v>
      </c>
      <c r="S47" s="43" t="s">
        <v>448</v>
      </c>
      <c r="T47" s="43"/>
      <c r="U47" s="43"/>
      <c r="V47" s="43"/>
    </row>
    <row r="48" spans="8:22" x14ac:dyDescent="0.3">
      <c r="J48" s="34" t="s">
        <v>449</v>
      </c>
      <c r="L48" s="34">
        <v>634</v>
      </c>
      <c r="M48" s="90">
        <f>K55</f>
        <v>900.7</v>
      </c>
      <c r="N48" s="90">
        <f t="shared" ref="N48:P48" si="26">L55</f>
        <v>270.7</v>
      </c>
      <c r="O48" s="90">
        <f t="shared" si="26"/>
        <v>195.4</v>
      </c>
      <c r="P48" s="90">
        <f t="shared" si="26"/>
        <v>451.9</v>
      </c>
      <c r="Q48" s="90">
        <v>279</v>
      </c>
      <c r="R48" s="90"/>
    </row>
    <row r="50" spans="8:25" x14ac:dyDescent="0.3">
      <c r="H50" s="1076" t="s">
        <v>450</v>
      </c>
      <c r="I50" s="1077"/>
      <c r="J50" s="1067" t="s">
        <v>401</v>
      </c>
      <c r="K50" s="1068"/>
      <c r="L50" s="1068"/>
      <c r="M50" s="1068"/>
      <c r="N50" s="1068"/>
      <c r="O50" s="1068"/>
      <c r="P50" s="863"/>
      <c r="Q50" s="52"/>
      <c r="R50" s="52"/>
      <c r="S50" s="52"/>
      <c r="T50" s="52"/>
      <c r="U50" s="52"/>
      <c r="V50" s="52"/>
      <c r="W50" s="52"/>
      <c r="X50" s="52"/>
      <c r="Y50" s="52"/>
    </row>
    <row r="51" spans="8:25" x14ac:dyDescent="0.3">
      <c r="H51" s="1078"/>
      <c r="I51" s="1079"/>
      <c r="J51" s="1057">
        <v>2020</v>
      </c>
      <c r="K51" s="1058"/>
      <c r="L51" s="1058"/>
      <c r="M51" s="1057">
        <v>2021</v>
      </c>
      <c r="N51" s="1058"/>
      <c r="O51" s="1058"/>
      <c r="P51" s="864"/>
      <c r="Q51" s="1073"/>
      <c r="R51" s="1073"/>
      <c r="S51" s="1073"/>
      <c r="T51" s="1073"/>
      <c r="U51" s="1073"/>
      <c r="V51" s="1073"/>
      <c r="W51" s="1073"/>
      <c r="X51" s="1073"/>
    </row>
    <row r="52" spans="8:25" x14ac:dyDescent="0.3">
      <c r="H52" s="1080"/>
      <c r="I52" s="1081"/>
      <c r="J52" s="162" t="s">
        <v>405</v>
      </c>
      <c r="K52" s="149" t="s">
        <v>290</v>
      </c>
      <c r="L52" s="149" t="s">
        <v>403</v>
      </c>
      <c r="M52" s="35" t="s">
        <v>404</v>
      </c>
      <c r="N52" s="36" t="s">
        <v>405</v>
      </c>
      <c r="O52" s="36" t="s">
        <v>290</v>
      </c>
      <c r="P52" s="61" t="s">
        <v>403</v>
      </c>
      <c r="Q52" s="43"/>
      <c r="U52" s="43"/>
    </row>
    <row r="53" spans="8:25" ht="32.5" customHeight="1" x14ac:dyDescent="0.3">
      <c r="H53" s="56" t="s">
        <v>451</v>
      </c>
      <c r="I53" s="43" t="s">
        <v>452</v>
      </c>
      <c r="J53" s="861">
        <f>'Haver Pivoted'!GU47</f>
        <v>57.2</v>
      </c>
      <c r="K53" s="862">
        <f>'Haver Pivoted'!GV47</f>
        <v>81.2</v>
      </c>
      <c r="L53" s="862">
        <f>'Haver Pivoted'!GW47</f>
        <v>24.4</v>
      </c>
      <c r="M53" s="286">
        <f>'Haver Pivoted'!GX47</f>
        <v>10.8</v>
      </c>
      <c r="N53" s="286">
        <f>'Haver Pivoted'!GY47</f>
        <v>24.7</v>
      </c>
      <c r="O53" s="921">
        <f>'Haver Pivoted'!GZ47</f>
        <v>14</v>
      </c>
      <c r="P53" s="387">
        <f>O56*R47</f>
        <v>1.6983733112765369</v>
      </c>
      <c r="Q53" s="286"/>
      <c r="R53" s="286"/>
    </row>
    <row r="54" spans="8:25" ht="33.65" customHeight="1" x14ac:dyDescent="0.3">
      <c r="H54" s="56" t="s">
        <v>453</v>
      </c>
      <c r="I54" s="63" t="s">
        <v>454</v>
      </c>
      <c r="J54" s="287">
        <f>'Haver Pivoted'!GU49</f>
        <v>576.9</v>
      </c>
      <c r="K54" s="286">
        <f>'Haver Pivoted'!GV49</f>
        <v>819.5</v>
      </c>
      <c r="L54" s="286">
        <f>'Haver Pivoted'!GW49</f>
        <v>246.3</v>
      </c>
      <c r="M54" s="286">
        <f>'Haver Pivoted'!GX49</f>
        <v>184.6</v>
      </c>
      <c r="N54" s="286">
        <f>'Haver Pivoted'!GY49</f>
        <v>427.2</v>
      </c>
      <c r="O54" s="921">
        <f>'Haver Pivoted'!GZ49</f>
        <v>265</v>
      </c>
      <c r="P54" s="288">
        <f>R47-P53</f>
        <v>32.147780534877306</v>
      </c>
      <c r="Q54" s="286"/>
      <c r="R54" s="286"/>
    </row>
    <row r="55" spans="8:25" x14ac:dyDescent="0.3">
      <c r="H55" s="41" t="s">
        <v>437</v>
      </c>
      <c r="I55" s="43"/>
      <c r="J55" s="287">
        <f>J54+J53</f>
        <v>634.1</v>
      </c>
      <c r="K55" s="286">
        <f t="shared" ref="K55:M55" si="27">K54+K53</f>
        <v>900.7</v>
      </c>
      <c r="L55" s="286">
        <f t="shared" si="27"/>
        <v>270.7</v>
      </c>
      <c r="M55" s="286">
        <f t="shared" si="27"/>
        <v>195.4</v>
      </c>
      <c r="N55" s="286">
        <f t="shared" ref="N55:O55" si="28">N54+N53</f>
        <v>451.9</v>
      </c>
      <c r="O55" s="921">
        <f t="shared" si="28"/>
        <v>279</v>
      </c>
      <c r="P55" s="288">
        <f t="shared" ref="P55" si="29">P54+P53</f>
        <v>33.84615384615384</v>
      </c>
      <c r="Q55" s="286"/>
      <c r="R55" s="286"/>
    </row>
    <row r="56" spans="8:25" x14ac:dyDescent="0.3">
      <c r="H56" s="138" t="s">
        <v>455</v>
      </c>
      <c r="I56" s="145"/>
      <c r="J56" s="566">
        <f t="shared" ref="J56:O56" si="30">J53/J55</f>
        <v>9.0206592020186091E-2</v>
      </c>
      <c r="K56" s="567">
        <f t="shared" si="30"/>
        <v>9.015210391917397E-2</v>
      </c>
      <c r="L56" s="567">
        <f t="shared" si="30"/>
        <v>9.0136682674547469E-2</v>
      </c>
      <c r="M56" s="567">
        <f t="shared" si="30"/>
        <v>5.527123848515865E-2</v>
      </c>
      <c r="N56" s="567">
        <f t="shared" si="30"/>
        <v>5.4658110201371984E-2</v>
      </c>
      <c r="O56" s="568">
        <f t="shared" si="30"/>
        <v>5.0179211469534052E-2</v>
      </c>
      <c r="P56" s="292">
        <f t="shared" ref="P56" si="31">O56</f>
        <v>5.0179211469534052E-2</v>
      </c>
      <c r="Q56" s="293" t="s">
        <v>456</v>
      </c>
      <c r="R56" s="294"/>
      <c r="W56" s="34">
        <v>15.066666666666668</v>
      </c>
    </row>
    <row r="57" spans="8:25" x14ac:dyDescent="0.3">
      <c r="W57" s="34">
        <v>279.15117766339108</v>
      </c>
    </row>
    <row r="58" spans="8:25" x14ac:dyDescent="0.3">
      <c r="W58" s="34">
        <v>294.21784433005774</v>
      </c>
    </row>
    <row r="59" spans="8:25" x14ac:dyDescent="0.3">
      <c r="H59" s="39"/>
      <c r="I59" s="43"/>
      <c r="J59" s="286"/>
      <c r="K59" s="286"/>
      <c r="L59" s="286" t="s">
        <v>457</v>
      </c>
      <c r="M59" s="286"/>
      <c r="N59" s="286"/>
      <c r="O59" s="286"/>
      <c r="P59" s="286"/>
      <c r="Q59" s="286"/>
      <c r="R59" s="286"/>
      <c r="S59" s="286"/>
    </row>
    <row r="60" spans="8:25" x14ac:dyDescent="0.3">
      <c r="H60" s="39"/>
      <c r="I60" s="63"/>
      <c r="J60" s="286"/>
      <c r="K60" s="286"/>
      <c r="L60" s="286"/>
      <c r="M60" s="286" t="s">
        <v>299</v>
      </c>
      <c r="N60" s="286" t="s">
        <v>300</v>
      </c>
      <c r="O60" s="286" t="s">
        <v>458</v>
      </c>
      <c r="P60" s="286"/>
      <c r="Q60" s="286"/>
      <c r="R60" s="286"/>
      <c r="S60" s="286"/>
    </row>
    <row r="61" spans="8:25" x14ac:dyDescent="0.3">
      <c r="I61" s="43"/>
      <c r="J61" s="286"/>
      <c r="K61" s="286"/>
      <c r="L61" s="286"/>
      <c r="M61" s="286"/>
      <c r="N61" s="286"/>
      <c r="O61" s="286"/>
      <c r="P61" s="286"/>
      <c r="Q61" s="286"/>
      <c r="R61" s="286"/>
      <c r="S61" s="286"/>
    </row>
    <row r="62" spans="8:25" x14ac:dyDescent="0.3">
      <c r="I62" s="43"/>
      <c r="J62" s="294"/>
      <c r="K62" s="294"/>
      <c r="L62" s="294"/>
      <c r="M62" s="294"/>
      <c r="N62" s="294"/>
      <c r="O62" s="294"/>
      <c r="P62" s="294"/>
      <c r="Q62" s="293"/>
      <c r="R62" s="294"/>
      <c r="S62" s="293"/>
    </row>
    <row r="63" spans="8:25" x14ac:dyDescent="0.3">
      <c r="L63" s="34" t="s">
        <v>459</v>
      </c>
      <c r="M63" s="34">
        <v>4.8999999999999995</v>
      </c>
      <c r="N63" s="34">
        <v>11.333333333333334</v>
      </c>
      <c r="O63" s="34">
        <f>'Monthly Personal Income'!M18</f>
        <v>7.7</v>
      </c>
      <c r="P63" s="34">
        <f>O63/N63-1</f>
        <v>-0.32058823529411762</v>
      </c>
    </row>
    <row r="64" spans="8:25" x14ac:dyDescent="0.3">
      <c r="L64" s="34" t="s">
        <v>460</v>
      </c>
      <c r="M64" s="34">
        <v>76.733333333333334</v>
      </c>
      <c r="N64" s="34">
        <v>177.63333333333333</v>
      </c>
      <c r="O64" s="34">
        <f>'Monthly Personal Income'!M21</f>
        <v>116.36666666666667</v>
      </c>
      <c r="P64" s="34">
        <f t="shared" ref="P64:P67" si="32">O64/N64-1</f>
        <v>-0.34490523550384677</v>
      </c>
    </row>
    <row r="65" spans="12:16" x14ac:dyDescent="0.3">
      <c r="L65" s="34" t="s">
        <v>461</v>
      </c>
      <c r="M65" s="34">
        <f>M64+M63</f>
        <v>81.63333333333334</v>
      </c>
      <c r="N65" s="34">
        <f>N64+N63</f>
        <v>188.96666666666667</v>
      </c>
      <c r="O65" s="34">
        <f>O64+O63</f>
        <v>124.06666666666668</v>
      </c>
      <c r="P65" s="34">
        <f t="shared" si="32"/>
        <v>-0.34344681601693416</v>
      </c>
    </row>
    <row r="66" spans="12:16" x14ac:dyDescent="0.3">
      <c r="L66" s="34" t="s">
        <v>462</v>
      </c>
      <c r="M66" s="34">
        <f>AVERAGE('Monthly Personal Income'!D45:F45)</f>
        <v>10.833333333333334</v>
      </c>
      <c r="N66" s="34">
        <f>AVERAGE('Monthly Personal Income'!G45:I45)</f>
        <v>24.733333333333334</v>
      </c>
      <c r="O66" s="34">
        <f>'Monthly Personal Income'!M45</f>
        <v>15.066666666666668</v>
      </c>
      <c r="P66" s="34">
        <f t="shared" si="32"/>
        <v>-0.39083557951482473</v>
      </c>
    </row>
    <row r="67" spans="12:16" x14ac:dyDescent="0.3">
      <c r="L67" s="34" t="s">
        <v>463</v>
      </c>
      <c r="M67" s="90">
        <f>M68-M66-M65</f>
        <v>102.93333333333332</v>
      </c>
      <c r="N67" s="90">
        <f>N68-N66-N65</f>
        <v>238.19999999999996</v>
      </c>
      <c r="O67" s="34">
        <f>N67/(N66+N65)*(O65+O66)</f>
        <v>155.08451099672439</v>
      </c>
      <c r="P67" s="34">
        <f t="shared" si="32"/>
        <v>-0.34893152394322247</v>
      </c>
    </row>
    <row r="68" spans="12:16" x14ac:dyDescent="0.3">
      <c r="L68" s="34" t="s">
        <v>437</v>
      </c>
      <c r="M68" s="90">
        <f>M55</f>
        <v>195.4</v>
      </c>
      <c r="N68" s="90">
        <f>N55</f>
        <v>451.9</v>
      </c>
      <c r="O68" s="34">
        <f>O67+O66+O65</f>
        <v>294.21784433005774</v>
      </c>
    </row>
    <row r="69" spans="12:16" x14ac:dyDescent="0.3">
      <c r="M69" s="34">
        <f>M67/M68</f>
        <v>0.52678266803138851</v>
      </c>
      <c r="N69" s="34">
        <f>N67/N68</f>
        <v>0.52710776720513386</v>
      </c>
      <c r="O69" s="90">
        <f>O55-O68</f>
        <v>-15.217844330057744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17"/>
  <sheetViews>
    <sheetView topLeftCell="B1" zoomScale="74" zoomScaleNormal="211" workbookViewId="0">
      <selection activeCell="B11" sqref="B11"/>
    </sheetView>
  </sheetViews>
  <sheetFormatPr defaultColWidth="8.81640625" defaultRowHeight="14.5" x14ac:dyDescent="0.35"/>
  <cols>
    <col min="2" max="2" width="38.81640625" customWidth="1"/>
    <col min="3" max="9" width="10.54296875" customWidth="1"/>
    <col min="10" max="20" width="7.1796875" customWidth="1"/>
    <col min="21" max="21" width="20.453125" customWidth="1"/>
    <col min="22" max="22" width="11.81640625" customWidth="1"/>
  </cols>
  <sheetData>
    <row r="1" spans="1:22" x14ac:dyDescent="0.35">
      <c r="B1" s="1039" t="s">
        <v>195</v>
      </c>
      <c r="C1" s="1039"/>
      <c r="D1" s="1039"/>
      <c r="E1" s="1039"/>
      <c r="F1" s="1039"/>
      <c r="G1" s="1039"/>
      <c r="H1" s="1039"/>
      <c r="I1" s="1039"/>
      <c r="J1" s="1039"/>
      <c r="K1" s="1039"/>
      <c r="L1" s="1039"/>
      <c r="M1" s="1039"/>
      <c r="N1" s="1039"/>
      <c r="O1" s="1039"/>
      <c r="P1" s="1039"/>
      <c r="Q1" s="1039"/>
      <c r="R1" s="1039"/>
      <c r="S1" s="1039"/>
      <c r="T1" s="1039"/>
    </row>
    <row r="2" spans="1:22" x14ac:dyDescent="0.35">
      <c r="B2" s="1082" t="s">
        <v>428</v>
      </c>
      <c r="C2" s="1082"/>
      <c r="D2" s="1082"/>
      <c r="E2" s="1082"/>
      <c r="F2" s="1082"/>
      <c r="G2" s="1082"/>
      <c r="H2" s="1082"/>
      <c r="I2" s="1082"/>
      <c r="J2" s="1082"/>
      <c r="K2" s="1082"/>
      <c r="L2" s="1082"/>
      <c r="M2" s="1082"/>
      <c r="N2" s="1082"/>
      <c r="O2" s="1082"/>
      <c r="P2" s="1082"/>
      <c r="Q2" s="1082"/>
      <c r="R2" s="1082"/>
      <c r="S2" s="1082"/>
      <c r="T2" s="1082"/>
    </row>
    <row r="3" spans="1:22" x14ac:dyDescent="0.35">
      <c r="B3" s="1082"/>
      <c r="C3" s="1082"/>
      <c r="D3" s="1082"/>
      <c r="E3" s="1082"/>
      <c r="F3" s="1082"/>
      <c r="G3" s="1082"/>
      <c r="H3" s="1082"/>
      <c r="I3" s="1082"/>
      <c r="J3" s="1082"/>
      <c r="K3" s="1082"/>
      <c r="L3" s="1082"/>
      <c r="M3" s="1082"/>
      <c r="N3" s="1082"/>
      <c r="O3" s="1082"/>
      <c r="P3" s="1082"/>
      <c r="Q3" s="1082"/>
      <c r="R3" s="1082"/>
      <c r="S3" s="1082"/>
      <c r="T3" s="1082"/>
    </row>
    <row r="4" spans="1:22" x14ac:dyDescent="0.35">
      <c r="B4" s="1082"/>
      <c r="C4" s="1082"/>
      <c r="D4" s="1082"/>
      <c r="E4" s="1082"/>
      <c r="F4" s="1082"/>
      <c r="G4" s="1082"/>
      <c r="H4" s="1082"/>
      <c r="I4" s="1082"/>
      <c r="J4" s="1082"/>
      <c r="K4" s="1082"/>
      <c r="L4" s="1082"/>
      <c r="M4" s="1082"/>
      <c r="N4" s="1082"/>
      <c r="O4" s="1082"/>
      <c r="P4" s="1082"/>
      <c r="Q4" s="1082"/>
      <c r="R4" s="1082"/>
      <c r="S4" s="1082"/>
      <c r="T4" s="1082"/>
    </row>
    <row r="5" spans="1:22" x14ac:dyDescent="0.35">
      <c r="B5" s="1082"/>
      <c r="C5" s="1082"/>
      <c r="D5" s="1082"/>
      <c r="E5" s="1082"/>
      <c r="F5" s="1082"/>
      <c r="G5" s="1082"/>
      <c r="H5" s="1082"/>
      <c r="I5" s="1082"/>
      <c r="J5" s="1082"/>
      <c r="K5" s="1082"/>
      <c r="L5" s="1082"/>
      <c r="M5" s="1082"/>
      <c r="N5" s="1082"/>
      <c r="O5" s="1082"/>
      <c r="P5" s="1082"/>
      <c r="Q5" s="1082"/>
      <c r="R5" s="1082"/>
      <c r="S5" s="1082"/>
      <c r="T5" s="1082"/>
    </row>
    <row r="6" spans="1:22" x14ac:dyDescent="0.35">
      <c r="B6" s="1082"/>
      <c r="C6" s="1082"/>
      <c r="D6" s="1082"/>
      <c r="E6" s="1082"/>
      <c r="F6" s="1082"/>
      <c r="G6" s="1082"/>
      <c r="H6" s="1082"/>
      <c r="I6" s="1082"/>
      <c r="J6" s="1082"/>
      <c r="K6" s="1082"/>
      <c r="L6" s="1082"/>
      <c r="M6" s="1082"/>
      <c r="N6" s="1082"/>
      <c r="O6" s="1082"/>
      <c r="P6" s="1082"/>
      <c r="Q6" s="1082"/>
      <c r="R6" s="1082"/>
      <c r="S6" s="1082"/>
      <c r="T6" s="1082"/>
    </row>
    <row r="7" spans="1:22" x14ac:dyDescent="0.35">
      <c r="J7" s="218"/>
      <c r="K7" s="218"/>
      <c r="M7" s="218"/>
    </row>
    <row r="9" spans="1:22" ht="14.5" customHeight="1" x14ac:dyDescent="0.35">
      <c r="A9" s="221"/>
      <c r="B9" s="1083" t="s">
        <v>429</v>
      </c>
      <c r="C9" s="1084"/>
      <c r="D9" s="433">
        <v>2018</v>
      </c>
      <c r="E9" s="1091">
        <v>2019</v>
      </c>
      <c r="F9" s="1092"/>
      <c r="G9" s="1092"/>
      <c r="H9" s="1093"/>
      <c r="I9" s="1089">
        <v>2020</v>
      </c>
      <c r="J9" s="1090"/>
      <c r="K9" s="1090"/>
      <c r="L9" s="1090"/>
      <c r="M9" s="1094">
        <v>2021</v>
      </c>
      <c r="N9" s="1095"/>
      <c r="O9" s="1095"/>
      <c r="P9" s="852">
        <v>2021</v>
      </c>
      <c r="Q9" s="1087">
        <v>2022</v>
      </c>
      <c r="R9" s="1087"/>
      <c r="S9" s="1087"/>
      <c r="T9" s="1088"/>
    </row>
    <row r="10" spans="1:22" x14ac:dyDescent="0.35">
      <c r="B10" s="1085"/>
      <c r="C10" s="1086"/>
      <c r="D10" s="991" t="s">
        <v>403</v>
      </c>
      <c r="E10" s="992" t="s">
        <v>404</v>
      </c>
      <c r="F10" s="993" t="s">
        <v>405</v>
      </c>
      <c r="G10" s="993" t="s">
        <v>290</v>
      </c>
      <c r="H10" s="994" t="s">
        <v>403</v>
      </c>
      <c r="I10" s="992" t="s">
        <v>404</v>
      </c>
      <c r="J10" s="993" t="s">
        <v>405</v>
      </c>
      <c r="K10" s="993" t="s">
        <v>290</v>
      </c>
      <c r="L10" s="993" t="s">
        <v>403</v>
      </c>
      <c r="M10" s="162" t="s">
        <v>404</v>
      </c>
      <c r="N10" s="995" t="s">
        <v>405</v>
      </c>
      <c r="O10" s="995" t="s">
        <v>290</v>
      </c>
      <c r="P10" s="61" t="s">
        <v>403</v>
      </c>
      <c r="Q10" s="381" t="s">
        <v>404</v>
      </c>
      <c r="R10" s="381" t="s">
        <v>405</v>
      </c>
      <c r="S10" s="381" t="s">
        <v>290</v>
      </c>
      <c r="T10" s="385" t="s">
        <v>403</v>
      </c>
    </row>
    <row r="11" spans="1:22" ht="29" x14ac:dyDescent="0.35">
      <c r="A11" s="384"/>
      <c r="B11" s="379" t="s">
        <v>182</v>
      </c>
      <c r="C11" s="857" t="s">
        <v>430</v>
      </c>
      <c r="D11" s="998"/>
      <c r="E11" s="857"/>
      <c r="F11" s="857"/>
      <c r="G11" s="857"/>
      <c r="H11" s="857"/>
      <c r="I11" s="857"/>
      <c r="J11" s="858">
        <f>'Haver Pivoted'!GU48</f>
        <v>160.9</v>
      </c>
      <c r="K11" s="858">
        <f>'Haver Pivoted'!GV48</f>
        <v>58.4</v>
      </c>
      <c r="L11" s="858">
        <f>'Haver Pivoted'!GW48</f>
        <v>34.5</v>
      </c>
      <c r="M11" s="858">
        <f>'Haver Pivoted'!GX48</f>
        <v>42.8</v>
      </c>
      <c r="N11" s="858">
        <f>'Haver Pivoted'!GY48</f>
        <v>26.6</v>
      </c>
      <c r="O11" s="999">
        <f>'Haver Pivoted'!GZ48</f>
        <v>37.4</v>
      </c>
      <c r="P11" s="850">
        <f t="shared" ref="P11:P13" si="0">P$14*P15</f>
        <v>12.2</v>
      </c>
      <c r="Q11" s="850">
        <f t="shared" ref="Q11:S11" si="1">Q$14*Q15</f>
        <v>0</v>
      </c>
      <c r="R11" s="850">
        <f t="shared" si="1"/>
        <v>0</v>
      </c>
      <c r="S11" s="850">
        <f t="shared" si="1"/>
        <v>0</v>
      </c>
      <c r="T11" s="913"/>
    </row>
    <row r="12" spans="1:22" ht="29" x14ac:dyDescent="0.35">
      <c r="A12" s="384"/>
      <c r="B12" s="380" t="s">
        <v>431</v>
      </c>
      <c r="C12" s="988" t="s">
        <v>432</v>
      </c>
      <c r="D12" s="380"/>
      <c r="E12" s="988"/>
      <c r="F12" s="988"/>
      <c r="G12" s="988"/>
      <c r="H12" s="988"/>
      <c r="I12" s="988"/>
      <c r="J12" s="996">
        <f>'Haver Pivoted'!GU58</f>
        <v>64.400000000000006</v>
      </c>
      <c r="K12" s="996">
        <f>'Haver Pivoted'!GV58</f>
        <v>23.4</v>
      </c>
      <c r="L12" s="996">
        <f>'Haver Pivoted'!GW58</f>
        <v>13.8</v>
      </c>
      <c r="M12" s="996">
        <f>'Haver Pivoted'!GX58</f>
        <v>17.100000000000001</v>
      </c>
      <c r="N12" s="996">
        <f>'Haver Pivoted'!GY58</f>
        <v>10.6</v>
      </c>
      <c r="O12" s="926">
        <f>'Haver Pivoted'!GZ58</f>
        <v>15</v>
      </c>
      <c r="P12" s="382">
        <f t="shared" si="0"/>
        <v>4.8930481283422456</v>
      </c>
      <c r="Q12" s="382">
        <f t="shared" ref="Q12:S12" si="2">Q$14*Q16</f>
        <v>0</v>
      </c>
      <c r="R12" s="382">
        <f t="shared" si="2"/>
        <v>0</v>
      </c>
      <c r="S12" s="382">
        <f t="shared" si="2"/>
        <v>0</v>
      </c>
      <c r="T12" s="385"/>
    </row>
    <row r="13" spans="1:22" ht="42" customHeight="1" x14ac:dyDescent="0.35">
      <c r="A13" s="384"/>
      <c r="B13" s="380" t="s">
        <v>433</v>
      </c>
      <c r="C13" s="988" t="s">
        <v>434</v>
      </c>
      <c r="D13" s="380"/>
      <c r="E13" s="988"/>
      <c r="F13" s="988"/>
      <c r="G13" s="988"/>
      <c r="H13" s="988"/>
      <c r="I13" s="988"/>
      <c r="J13" s="996">
        <f>'Haver Pivoted'!GU54</f>
        <v>96.6</v>
      </c>
      <c r="K13" s="996">
        <f>'Haver Pivoted'!GV54</f>
        <v>35.1</v>
      </c>
      <c r="L13" s="996">
        <f>'Haver Pivoted'!GW54</f>
        <v>20.7</v>
      </c>
      <c r="M13" s="996">
        <f>'Haver Pivoted'!GX54</f>
        <v>25.7</v>
      </c>
      <c r="N13" s="996">
        <f>'Haver Pivoted'!GY54</f>
        <v>16</v>
      </c>
      <c r="O13" s="926">
        <f>'Haver Pivoted'!GZ54</f>
        <v>22.4</v>
      </c>
      <c r="P13" s="382">
        <f t="shared" si="0"/>
        <v>7.3069518716577528</v>
      </c>
      <c r="Q13" s="382">
        <f>Q$14*Q17</f>
        <v>0</v>
      </c>
      <c r="R13" s="382">
        <f t="shared" ref="R13:S13" si="3">R$14*R17</f>
        <v>0</v>
      </c>
      <c r="S13" s="382">
        <f t="shared" si="3"/>
        <v>0</v>
      </c>
      <c r="T13" s="385"/>
      <c r="U13" s="464" t="s">
        <v>435</v>
      </c>
      <c r="V13" s="463" t="s">
        <v>436</v>
      </c>
    </row>
    <row r="14" spans="1:22" x14ac:dyDescent="0.35">
      <c r="B14" s="462" t="s">
        <v>437</v>
      </c>
      <c r="C14" s="989"/>
      <c r="D14" s="462"/>
      <c r="E14" s="989"/>
      <c r="F14" s="989"/>
      <c r="G14" s="989"/>
      <c r="H14" s="989"/>
      <c r="I14" s="989"/>
      <c r="J14" s="996">
        <f t="shared" ref="J14:O14" si="4">J13+J12+J11</f>
        <v>321.89999999999998</v>
      </c>
      <c r="K14" s="996">
        <f t="shared" si="4"/>
        <v>116.9</v>
      </c>
      <c r="L14" s="996">
        <f t="shared" si="4"/>
        <v>69</v>
      </c>
      <c r="M14" s="996">
        <f t="shared" si="4"/>
        <v>85.6</v>
      </c>
      <c r="N14" s="996">
        <f t="shared" si="4"/>
        <v>53.2</v>
      </c>
      <c r="O14" s="926">
        <f t="shared" si="4"/>
        <v>74.8</v>
      </c>
      <c r="P14" s="381">
        <v>24.4</v>
      </c>
      <c r="Q14" s="381">
        <v>0</v>
      </c>
      <c r="R14" s="381">
        <v>0</v>
      </c>
      <c r="S14" s="381">
        <v>0</v>
      </c>
      <c r="T14" s="385"/>
      <c r="U14" s="1002">
        <v>186.5</v>
      </c>
      <c r="V14" s="1003">
        <f>SUM(J14:S14)/4</f>
        <v>186.45</v>
      </c>
    </row>
    <row r="15" spans="1:22" x14ac:dyDescent="0.35">
      <c r="B15" s="383" t="s">
        <v>438</v>
      </c>
      <c r="C15" s="990"/>
      <c r="D15" s="383"/>
      <c r="E15" s="990"/>
      <c r="F15" s="990"/>
      <c r="G15" s="990"/>
      <c r="H15" s="990"/>
      <c r="I15" s="990"/>
      <c r="J15" s="997">
        <f t="shared" ref="J15:N17" si="5">J11/J$14</f>
        <v>0.49984467225846541</v>
      </c>
      <c r="K15" s="997">
        <f t="shared" si="5"/>
        <v>0.49957228400342168</v>
      </c>
      <c r="L15" s="997">
        <f t="shared" si="5"/>
        <v>0.5</v>
      </c>
      <c r="M15" s="997">
        <f t="shared" si="5"/>
        <v>0.5</v>
      </c>
      <c r="N15" s="997">
        <f t="shared" si="5"/>
        <v>0.5</v>
      </c>
      <c r="O15" s="1000">
        <f t="shared" ref="O15" si="6">O11/O$14</f>
        <v>0.5</v>
      </c>
      <c r="P15" s="403">
        <f t="shared" ref="P15:P17" si="7">O15</f>
        <v>0.5</v>
      </c>
      <c r="Q15" s="403">
        <f t="shared" ref="Q15:Q17" si="8">P15</f>
        <v>0.5</v>
      </c>
      <c r="R15" s="403">
        <f t="shared" ref="R15:R17" si="9">Q15</f>
        <v>0.5</v>
      </c>
      <c r="S15" s="403">
        <f t="shared" ref="S15:S17" si="10">R15</f>
        <v>0.5</v>
      </c>
      <c r="T15" s="385"/>
    </row>
    <row r="16" spans="1:22" x14ac:dyDescent="0.35">
      <c r="B16" s="383" t="s">
        <v>439</v>
      </c>
      <c r="C16" s="990"/>
      <c r="D16" s="383"/>
      <c r="E16" s="990"/>
      <c r="F16" s="990"/>
      <c r="G16" s="990"/>
      <c r="H16" s="990"/>
      <c r="I16" s="990"/>
      <c r="J16" s="997">
        <f t="shared" si="5"/>
        <v>0.20006213109661389</v>
      </c>
      <c r="K16" s="997">
        <f t="shared" si="5"/>
        <v>0.20017108639863129</v>
      </c>
      <c r="L16" s="997">
        <f t="shared" si="5"/>
        <v>0.2</v>
      </c>
      <c r="M16" s="997">
        <f t="shared" si="5"/>
        <v>0.19976635514018695</v>
      </c>
      <c r="N16" s="997">
        <f t="shared" si="5"/>
        <v>0.19924812030075187</v>
      </c>
      <c r="O16" s="1000">
        <f t="shared" ref="O16" si="11">O12/O$14</f>
        <v>0.20053475935828877</v>
      </c>
      <c r="P16" s="403">
        <f t="shared" si="7"/>
        <v>0.20053475935828877</v>
      </c>
      <c r="Q16" s="403">
        <f t="shared" si="8"/>
        <v>0.20053475935828877</v>
      </c>
      <c r="R16" s="403">
        <f t="shared" si="9"/>
        <v>0.20053475935828877</v>
      </c>
      <c r="S16" s="403">
        <f t="shared" si="10"/>
        <v>0.20053475935828877</v>
      </c>
      <c r="T16" s="385"/>
    </row>
    <row r="17" spans="2:20" x14ac:dyDescent="0.35">
      <c r="B17" s="404" t="s">
        <v>440</v>
      </c>
      <c r="C17" s="856"/>
      <c r="D17" s="404"/>
      <c r="E17" s="856"/>
      <c r="F17" s="856"/>
      <c r="G17" s="856"/>
      <c r="H17" s="856"/>
      <c r="I17" s="856"/>
      <c r="J17" s="284">
        <f t="shared" si="5"/>
        <v>0.30009319664492079</v>
      </c>
      <c r="K17" s="284">
        <f t="shared" si="5"/>
        <v>0.30025662959794697</v>
      </c>
      <c r="L17" s="284">
        <f t="shared" si="5"/>
        <v>0.3</v>
      </c>
      <c r="M17" s="284">
        <f t="shared" si="5"/>
        <v>0.30023364485981308</v>
      </c>
      <c r="N17" s="284">
        <f t="shared" si="5"/>
        <v>0.3007518796992481</v>
      </c>
      <c r="O17" s="1001">
        <f t="shared" ref="O17" si="12">O13/O$14</f>
        <v>0.29946524064171121</v>
      </c>
      <c r="P17" s="405">
        <f t="shared" si="7"/>
        <v>0.29946524064171121</v>
      </c>
      <c r="Q17" s="405">
        <f t="shared" si="8"/>
        <v>0.29946524064171121</v>
      </c>
      <c r="R17" s="405">
        <f t="shared" si="9"/>
        <v>0.29946524064171121</v>
      </c>
      <c r="S17" s="405">
        <f t="shared" si="10"/>
        <v>0.29946524064171121</v>
      </c>
      <c r="T17" s="406"/>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75" zoomScale="59" zoomScaleNormal="80" workbookViewId="0">
      <selection activeCell="R100" sqref="R100"/>
    </sheetView>
  </sheetViews>
  <sheetFormatPr defaultColWidth="8.54296875" defaultRowHeight="14" x14ac:dyDescent="0.3"/>
  <cols>
    <col min="1" max="1" width="8.5429687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54296875" style="34" customWidth="1"/>
    <col min="14" max="29" width="8.1796875" style="34" customWidth="1"/>
    <col min="30" max="30" width="29.54296875" style="34" customWidth="1"/>
    <col min="31" max="31" width="31.1796875" style="34" customWidth="1"/>
    <col min="32" max="32" width="114.81640625" style="34" customWidth="1"/>
    <col min="33" max="16384" width="8.54296875" style="34"/>
  </cols>
  <sheetData>
    <row r="1" spans="2:34" x14ac:dyDescent="0.3">
      <c r="B1" s="1055" t="s">
        <v>236</v>
      </c>
      <c r="C1" s="1055"/>
      <c r="D1" s="1055"/>
      <c r="E1" s="1055"/>
      <c r="F1" s="1055"/>
      <c r="G1" s="1055"/>
      <c r="H1" s="1055"/>
      <c r="I1" s="1055"/>
      <c r="J1" s="1055"/>
      <c r="K1" s="1055"/>
      <c r="L1" s="1055"/>
      <c r="M1" s="1055"/>
      <c r="N1" s="1055"/>
      <c r="O1" s="1055"/>
      <c r="P1" s="1055"/>
      <c r="Q1" s="1055"/>
      <c r="R1" s="1055"/>
      <c r="S1" s="1055"/>
      <c r="T1" s="1055"/>
      <c r="U1" s="1055"/>
      <c r="V1" s="1055"/>
      <c r="W1" s="1055"/>
      <c r="X1" s="1055"/>
      <c r="Y1" s="1055"/>
      <c r="Z1" s="536"/>
      <c r="AA1" s="536"/>
      <c r="AB1" s="536"/>
      <c r="AC1" s="536"/>
      <c r="AD1" s="181"/>
      <c r="AE1" s="181"/>
    </row>
    <row r="2" spans="2:34" ht="14.15" customHeight="1" x14ac:dyDescent="0.3">
      <c r="B2" s="1056" t="s">
        <v>464</v>
      </c>
      <c r="C2" s="1056"/>
      <c r="D2" s="1056"/>
      <c r="E2" s="1056"/>
      <c r="F2" s="1056"/>
      <c r="G2" s="1056"/>
      <c r="H2" s="1056"/>
      <c r="I2" s="1056"/>
      <c r="J2" s="1056"/>
      <c r="K2" s="1056"/>
      <c r="L2" s="1056"/>
      <c r="M2" s="1056"/>
      <c r="N2" s="1056"/>
      <c r="O2" s="1056"/>
      <c r="P2" s="1056"/>
      <c r="Q2" s="1056"/>
      <c r="R2" s="1056"/>
      <c r="S2" s="1056"/>
      <c r="T2" s="1056"/>
      <c r="U2" s="1056"/>
      <c r="V2" s="1056"/>
      <c r="W2" s="1056"/>
      <c r="X2" s="1056"/>
      <c r="Y2" s="1056"/>
      <c r="Z2" s="1056"/>
      <c r="AA2" s="1056"/>
      <c r="AB2" s="1056"/>
      <c r="AC2" s="1056"/>
      <c r="AD2" s="220"/>
      <c r="AE2" s="220"/>
    </row>
    <row r="3" spans="2:34" ht="50.5" customHeight="1" x14ac:dyDescent="0.3">
      <c r="B3" s="1056"/>
      <c r="C3" s="1056"/>
      <c r="D3" s="1056"/>
      <c r="E3" s="1056"/>
      <c r="F3" s="1056"/>
      <c r="G3" s="1056"/>
      <c r="H3" s="1056"/>
      <c r="I3" s="1056"/>
      <c r="J3" s="1056"/>
      <c r="K3" s="1056"/>
      <c r="L3" s="1056"/>
      <c r="M3" s="1056"/>
      <c r="N3" s="1056"/>
      <c r="O3" s="1056"/>
      <c r="P3" s="1056"/>
      <c r="Q3" s="1056"/>
      <c r="R3" s="1056"/>
      <c r="S3" s="1056"/>
      <c r="T3" s="1056"/>
      <c r="U3" s="1056"/>
      <c r="V3" s="1056"/>
      <c r="W3" s="1056"/>
      <c r="X3" s="1056"/>
      <c r="Y3" s="1056"/>
      <c r="Z3" s="1056"/>
      <c r="AA3" s="1056"/>
      <c r="AB3" s="1056"/>
      <c r="AC3" s="1056"/>
      <c r="AD3" s="220"/>
      <c r="AE3" s="220"/>
    </row>
    <row r="4" spans="2:34" ht="5.15" customHeight="1" x14ac:dyDescent="0.3">
      <c r="B4" s="1056"/>
      <c r="C4" s="1056"/>
      <c r="D4" s="1056"/>
      <c r="E4" s="1056"/>
      <c r="F4" s="1056"/>
      <c r="G4" s="1056"/>
      <c r="H4" s="1056"/>
      <c r="I4" s="1056"/>
      <c r="J4" s="1056"/>
      <c r="K4" s="1056"/>
      <c r="L4" s="1056"/>
      <c r="M4" s="1056"/>
      <c r="N4" s="1056"/>
      <c r="O4" s="1056"/>
      <c r="P4" s="1056"/>
      <c r="Q4" s="1056"/>
      <c r="R4" s="1056"/>
      <c r="S4" s="1056"/>
      <c r="T4" s="1056"/>
      <c r="U4" s="1056"/>
      <c r="V4" s="1056"/>
      <c r="W4" s="1056"/>
      <c r="X4" s="1056"/>
      <c r="Y4" s="1056"/>
      <c r="Z4" s="1056"/>
      <c r="AA4" s="1056"/>
      <c r="AB4" s="1056"/>
      <c r="AC4" s="1056"/>
      <c r="AD4" s="220"/>
      <c r="AE4" s="220"/>
    </row>
    <row r="5" spans="2:34" x14ac:dyDescent="0.3">
      <c r="B5" s="134" t="s">
        <v>465</v>
      </c>
    </row>
    <row r="6" spans="2:34" ht="14.5" customHeight="1" x14ac:dyDescent="0.3">
      <c r="B6" s="1060" t="s">
        <v>466</v>
      </c>
      <c r="C6" s="1061"/>
      <c r="D6" s="1067" t="s">
        <v>401</v>
      </c>
      <c r="E6" s="1068"/>
      <c r="F6" s="1068"/>
      <c r="G6" s="1068"/>
      <c r="H6" s="1068"/>
      <c r="I6" s="1068"/>
      <c r="J6" s="1068"/>
      <c r="K6" s="1068"/>
      <c r="L6" s="1068"/>
      <c r="M6" s="1108"/>
      <c r="N6" s="1109"/>
      <c r="O6" s="1070" t="s">
        <v>402</v>
      </c>
      <c r="P6" s="1071"/>
      <c r="Q6" s="1071"/>
      <c r="R6" s="1071"/>
      <c r="S6" s="1071"/>
      <c r="T6" s="1071"/>
      <c r="U6" s="1071"/>
      <c r="V6" s="1071"/>
      <c r="W6" s="1071"/>
      <c r="X6" s="1071"/>
      <c r="Y6" s="1071"/>
      <c r="Z6" s="1071"/>
      <c r="AA6" s="1071"/>
      <c r="AB6" s="1071"/>
      <c r="AC6" s="1072"/>
      <c r="AD6" s="1102" t="s">
        <v>467</v>
      </c>
      <c r="AE6" s="1105" t="s">
        <v>468</v>
      </c>
    </row>
    <row r="7" spans="2:34" ht="24" customHeight="1" x14ac:dyDescent="0.3">
      <c r="B7" s="1062"/>
      <c r="C7" s="1063"/>
      <c r="D7" s="537">
        <v>2018</v>
      </c>
      <c r="E7" s="1057">
        <v>2019</v>
      </c>
      <c r="F7" s="1058"/>
      <c r="G7" s="1058"/>
      <c r="H7" s="1059"/>
      <c r="I7" s="1057">
        <v>2020</v>
      </c>
      <c r="J7" s="1058"/>
      <c r="K7" s="1058"/>
      <c r="L7" s="1058"/>
      <c r="M7" s="1057">
        <v>2021</v>
      </c>
      <c r="N7" s="1058"/>
      <c r="O7" s="1059"/>
      <c r="P7" s="570">
        <v>2021</v>
      </c>
      <c r="Q7" s="1064">
        <v>2022</v>
      </c>
      <c r="R7" s="1065"/>
      <c r="S7" s="1065"/>
      <c r="T7" s="1066"/>
      <c r="U7" s="1064">
        <v>2023</v>
      </c>
      <c r="V7" s="1065"/>
      <c r="W7" s="1065"/>
      <c r="X7" s="1065"/>
      <c r="Y7" s="1064">
        <v>2024</v>
      </c>
      <c r="Z7" s="1065"/>
      <c r="AA7" s="1065"/>
      <c r="AB7" s="1066"/>
      <c r="AC7" s="334">
        <v>2025</v>
      </c>
      <c r="AD7" s="1103"/>
      <c r="AE7" s="1106"/>
    </row>
    <row r="8" spans="2:34" ht="14.15" customHeight="1" x14ac:dyDescent="0.3">
      <c r="B8" s="1100"/>
      <c r="C8" s="1101"/>
      <c r="D8" s="167" t="s">
        <v>403</v>
      </c>
      <c r="E8" s="167" t="s">
        <v>404</v>
      </c>
      <c r="F8" s="148" t="s">
        <v>405</v>
      </c>
      <c r="G8" s="148" t="s">
        <v>290</v>
      </c>
      <c r="H8" s="155" t="s">
        <v>403</v>
      </c>
      <c r="I8" s="149" t="s">
        <v>404</v>
      </c>
      <c r="J8" s="149" t="s">
        <v>405</v>
      </c>
      <c r="K8" s="149" t="s">
        <v>290</v>
      </c>
      <c r="L8" s="149" t="s">
        <v>403</v>
      </c>
      <c r="M8" s="35" t="s">
        <v>404</v>
      </c>
      <c r="N8" s="36" t="s">
        <v>405</v>
      </c>
      <c r="O8" s="37" t="s">
        <v>290</v>
      </c>
      <c r="P8" s="431" t="s">
        <v>403</v>
      </c>
      <c r="Q8" s="429" t="s">
        <v>404</v>
      </c>
      <c r="R8" s="430" t="s">
        <v>405</v>
      </c>
      <c r="S8" s="430" t="s">
        <v>290</v>
      </c>
      <c r="T8" s="430" t="s">
        <v>403</v>
      </c>
      <c r="U8" s="429" t="s">
        <v>404</v>
      </c>
      <c r="V8" s="430" t="s">
        <v>405</v>
      </c>
      <c r="W8" s="430" t="s">
        <v>290</v>
      </c>
      <c r="X8" s="430" t="s">
        <v>403</v>
      </c>
      <c r="Y8" s="429" t="s">
        <v>404</v>
      </c>
      <c r="Z8" s="394" t="s">
        <v>405</v>
      </c>
      <c r="AA8" s="430" t="s">
        <v>290</v>
      </c>
      <c r="AB8" s="431" t="s">
        <v>403</v>
      </c>
      <c r="AC8" s="71" t="s">
        <v>404</v>
      </c>
      <c r="AD8" s="1104"/>
      <c r="AE8" s="1107"/>
    </row>
    <row r="9" spans="2:34" ht="23.5" customHeight="1" x14ac:dyDescent="0.3">
      <c r="B9" s="255" t="s">
        <v>469</v>
      </c>
      <c r="C9" s="869" t="s">
        <v>470</v>
      </c>
      <c r="D9" s="1008">
        <f>'Haver Pivoted'!GO32</f>
        <v>588.9</v>
      </c>
      <c r="E9" s="756">
        <f>'Haver Pivoted'!GP32</f>
        <v>593.79999999999995</v>
      </c>
      <c r="F9" s="756">
        <f>'Haver Pivoted'!GQ32</f>
        <v>610.5</v>
      </c>
      <c r="G9" s="756">
        <f>'Haver Pivoted'!GR32</f>
        <v>610.4</v>
      </c>
      <c r="H9" s="756">
        <f>'Haver Pivoted'!GS32</f>
        <v>622.4</v>
      </c>
      <c r="I9" s="756">
        <f>'Haver Pivoted'!GT32</f>
        <v>640.6</v>
      </c>
      <c r="J9" s="756">
        <f>'Haver Pivoted'!GU32</f>
        <v>1400</v>
      </c>
      <c r="K9" s="756">
        <f>'Haver Pivoted'!GV32</f>
        <v>738.5</v>
      </c>
      <c r="L9" s="756">
        <f>'Haver Pivoted'!GW32</f>
        <v>743</v>
      </c>
      <c r="M9" s="299">
        <f>'Haver Pivoted'!GX32</f>
        <v>781.5</v>
      </c>
      <c r="N9" s="299">
        <f>'Haver Pivoted'!GY32</f>
        <v>1632.2</v>
      </c>
      <c r="O9" s="930">
        <f>'Haver Pivoted'!GZ32</f>
        <v>1057.0999999999999</v>
      </c>
      <c r="P9" s="254">
        <f>P10+P11</f>
        <v>884.32065475994216</v>
      </c>
      <c r="Q9" s="254">
        <f t="shared" ref="Q9:AC9" si="0">Q10+Q11</f>
        <v>1577.2510550266163</v>
      </c>
      <c r="R9" s="254">
        <f t="shared" si="0"/>
        <v>931.54279385187328</v>
      </c>
      <c r="S9" s="254">
        <f t="shared" si="0"/>
        <v>894.61650661931515</v>
      </c>
      <c r="T9" s="254">
        <f t="shared" si="0"/>
        <v>893.47196995587296</v>
      </c>
      <c r="U9" s="254">
        <f t="shared" si="0"/>
        <v>904.90371768964974</v>
      </c>
      <c r="V9" s="254">
        <f t="shared" si="0"/>
        <v>916.73311159361265</v>
      </c>
      <c r="W9" s="254">
        <f t="shared" si="0"/>
        <v>928.97587645760723</v>
      </c>
      <c r="X9" s="254">
        <f t="shared" si="0"/>
        <v>940.7232390315562</v>
      </c>
      <c r="Y9" s="254">
        <f t="shared" si="0"/>
        <v>950.07007053210816</v>
      </c>
      <c r="Z9" s="254">
        <f t="shared" si="0"/>
        <v>966.81290046416871</v>
      </c>
      <c r="AA9" s="254">
        <f t="shared" si="0"/>
        <v>1004.008475185499</v>
      </c>
      <c r="AB9" s="254">
        <f t="shared" si="0"/>
        <v>1018.8398480422609</v>
      </c>
      <c r="AC9" s="387">
        <f t="shared" si="0"/>
        <v>1059.1204731698567</v>
      </c>
      <c r="AD9" s="569"/>
      <c r="AE9" s="931"/>
    </row>
    <row r="10" spans="2:34" s="80" customFormat="1" ht="28" x14ac:dyDescent="0.3">
      <c r="B10" s="95" t="s">
        <v>176</v>
      </c>
      <c r="C10" s="88" t="s">
        <v>471</v>
      </c>
      <c r="D10" s="1009">
        <f>'Haver Pivoted'!GO40</f>
        <v>390.86599999999999</v>
      </c>
      <c r="E10" s="563">
        <f>'Haver Pivoted'!GP40</f>
        <v>408.75599999999997</v>
      </c>
      <c r="F10" s="563">
        <f>'Haver Pivoted'!GQ40</f>
        <v>413.34399999999999</v>
      </c>
      <c r="G10" s="563">
        <f>'Haver Pivoted'!GR40</f>
        <v>418.529</v>
      </c>
      <c r="H10" s="563">
        <f>'Haver Pivoted'!GS40</f>
        <v>413.80599999999998</v>
      </c>
      <c r="I10" s="563">
        <f>'Haver Pivoted'!GT40</f>
        <v>428.11799999999999</v>
      </c>
      <c r="J10" s="563">
        <f>'Haver Pivoted'!GU40</f>
        <v>502.49</v>
      </c>
      <c r="K10" s="563">
        <f>'Haver Pivoted'!GV40</f>
        <v>481.71699999999998</v>
      </c>
      <c r="L10" s="563">
        <f>'Haver Pivoted'!GW40</f>
        <v>507.83699999999999</v>
      </c>
      <c r="M10" s="563">
        <f>'Haver Pivoted'!GX40</f>
        <v>511.34500000000003</v>
      </c>
      <c r="N10" s="563">
        <f>'Haver Pivoted'!GY40</f>
        <v>520.72900000000004</v>
      </c>
      <c r="O10" s="932">
        <f>'Haver Pivoted'!GZ40</f>
        <v>530.82100000000003</v>
      </c>
      <c r="P10" s="399">
        <f>Medicaid!L26</f>
        <v>538.14001996493334</v>
      </c>
      <c r="Q10" s="399">
        <f>Medicaid!M26</f>
        <v>570.27040489328328</v>
      </c>
      <c r="R10" s="399">
        <f>Medicaid!N26</f>
        <v>578.13335771320669</v>
      </c>
      <c r="S10" s="399">
        <f>Medicaid!O26</f>
        <v>532.12913303510197</v>
      </c>
      <c r="T10" s="399">
        <f>Medicaid!P26</f>
        <v>531.19254142829129</v>
      </c>
      <c r="U10" s="399">
        <f>Medicaid!Q26</f>
        <v>532.8055920209647</v>
      </c>
      <c r="V10" s="399">
        <f>Medicaid!R26</f>
        <v>534.42354089818025</v>
      </c>
      <c r="W10" s="399">
        <f>Medicaid!S26</f>
        <v>536.0464029343575</v>
      </c>
      <c r="X10" s="399">
        <f>Medicaid!T26</f>
        <v>558.00706656737646</v>
      </c>
      <c r="Y10" s="399">
        <f>Medicaid!U26</f>
        <v>580.86741116936116</v>
      </c>
      <c r="Z10" s="399">
        <f>Medicaid!V26</f>
        <v>604.66429472691186</v>
      </c>
      <c r="AA10" s="399">
        <f>Medicaid!W26</f>
        <v>629.43608521875183</v>
      </c>
      <c r="AB10" s="399">
        <f>Medicaid!X26</f>
        <v>655.22272247684373</v>
      </c>
      <c r="AC10" s="400">
        <f>Medicaid!Y26</f>
        <v>682.06578258182287</v>
      </c>
      <c r="AD10" s="620"/>
      <c r="AE10" s="448"/>
    </row>
    <row r="11" spans="2:34" s="80" customFormat="1" ht="17.149999999999999" customHeight="1" x14ac:dyDescent="0.3">
      <c r="B11" s="49" t="s">
        <v>472</v>
      </c>
      <c r="C11" s="88"/>
      <c r="D11" s="1009">
        <f t="shared" ref="D11:G11" si="1">D9-D10</f>
        <v>198.03399999999999</v>
      </c>
      <c r="E11" s="563">
        <f t="shared" si="1"/>
        <v>185.04399999999998</v>
      </c>
      <c r="F11" s="563">
        <f t="shared" si="1"/>
        <v>197.15600000000001</v>
      </c>
      <c r="G11" s="563">
        <f t="shared" si="1"/>
        <v>191.87099999999998</v>
      </c>
      <c r="H11" s="563">
        <f>H9-H10</f>
        <v>208.59399999999999</v>
      </c>
      <c r="I11" s="563">
        <f t="shared" ref="I11:N11" si="2">I9-I10</f>
        <v>212.48200000000003</v>
      </c>
      <c r="J11" s="563">
        <f t="shared" si="2"/>
        <v>897.51</v>
      </c>
      <c r="K11" s="563">
        <f t="shared" si="2"/>
        <v>256.78300000000002</v>
      </c>
      <c r="L11" s="563">
        <f t="shared" si="2"/>
        <v>235.16300000000001</v>
      </c>
      <c r="M11" s="563">
        <f t="shared" si="2"/>
        <v>270.15499999999997</v>
      </c>
      <c r="N11" s="563">
        <f t="shared" si="2"/>
        <v>1111.471</v>
      </c>
      <c r="O11" s="932">
        <f>O9-O10</f>
        <v>526.27899999999988</v>
      </c>
      <c r="P11" s="399">
        <f>SUM(P12:P20)</f>
        <v>346.18063479500881</v>
      </c>
      <c r="Q11" s="399">
        <f t="shared" ref="Q11:AC11" si="3">SUM(Q12:Q20)</f>
        <v>1006.980650133333</v>
      </c>
      <c r="R11" s="399">
        <f t="shared" si="3"/>
        <v>353.40943613866654</v>
      </c>
      <c r="S11" s="399">
        <f t="shared" si="3"/>
        <v>362.48737358421317</v>
      </c>
      <c r="T11" s="399">
        <f t="shared" si="3"/>
        <v>362.27942852758167</v>
      </c>
      <c r="U11" s="399">
        <f t="shared" si="3"/>
        <v>372.09812566868499</v>
      </c>
      <c r="V11" s="399">
        <f t="shared" si="3"/>
        <v>382.3095706954324</v>
      </c>
      <c r="W11" s="399">
        <f t="shared" si="3"/>
        <v>392.92947352324973</v>
      </c>
      <c r="X11" s="399">
        <f t="shared" si="3"/>
        <v>382.71617246417975</v>
      </c>
      <c r="Y11" s="399">
        <f t="shared" si="3"/>
        <v>369.202659362747</v>
      </c>
      <c r="Z11" s="399">
        <f t="shared" si="3"/>
        <v>362.14860573725684</v>
      </c>
      <c r="AA11" s="399">
        <f t="shared" si="3"/>
        <v>374.57238996674721</v>
      </c>
      <c r="AB11" s="399">
        <f t="shared" si="3"/>
        <v>363.6171255654171</v>
      </c>
      <c r="AC11" s="400">
        <f t="shared" si="3"/>
        <v>377.05469058803379</v>
      </c>
      <c r="AD11" s="620"/>
      <c r="AE11" s="448"/>
    </row>
    <row r="12" spans="2:34" s="80" customFormat="1" ht="16" customHeight="1" x14ac:dyDescent="0.3">
      <c r="B12" s="81" t="s">
        <v>192</v>
      </c>
      <c r="C12" s="261" t="s">
        <v>473</v>
      </c>
      <c r="D12" s="578"/>
      <c r="E12" s="261"/>
      <c r="F12" s="261"/>
      <c r="G12" s="261"/>
      <c r="H12" s="265"/>
      <c r="I12" s="265"/>
      <c r="J12" s="265">
        <f>'Haver Pivoted'!GU56</f>
        <v>597.9</v>
      </c>
      <c r="K12" s="265"/>
      <c r="L12" s="265"/>
      <c r="M12" s="265"/>
      <c r="N12" s="265"/>
      <c r="O12" s="620">
        <v>0</v>
      </c>
      <c r="P12" s="399">
        <v>0</v>
      </c>
      <c r="Q12" s="399">
        <v>0</v>
      </c>
      <c r="R12" s="399">
        <v>0</v>
      </c>
      <c r="S12" s="399">
        <v>0</v>
      </c>
      <c r="T12" s="399">
        <v>0</v>
      </c>
      <c r="U12" s="399">
        <v>0</v>
      </c>
      <c r="V12" s="399">
        <v>0</v>
      </c>
      <c r="W12" s="399">
        <v>0</v>
      </c>
      <c r="X12" s="399">
        <v>0</v>
      </c>
      <c r="Y12" s="399">
        <v>0</v>
      </c>
      <c r="Z12" s="399">
        <v>0</v>
      </c>
      <c r="AA12" s="399">
        <v>0</v>
      </c>
      <c r="AB12" s="399">
        <v>0</v>
      </c>
      <c r="AC12" s="400">
        <v>0</v>
      </c>
      <c r="AD12" s="620">
        <f>SUM(I12:Y12)/4</f>
        <v>149.47499999999999</v>
      </c>
      <c r="AE12" s="448">
        <f>AD25</f>
        <v>150</v>
      </c>
    </row>
    <row r="13" spans="2:34" s="80" customFormat="1" x14ac:dyDescent="0.3">
      <c r="B13" s="81" t="s">
        <v>193</v>
      </c>
      <c r="C13" s="261" t="s">
        <v>474</v>
      </c>
      <c r="D13" s="578"/>
      <c r="E13" s="261"/>
      <c r="F13" s="261"/>
      <c r="G13" s="261"/>
      <c r="H13" s="265"/>
      <c r="I13" s="265"/>
      <c r="J13" s="265">
        <f>'Haver Pivoted'!GU57</f>
        <v>28.4</v>
      </c>
      <c r="K13" s="265">
        <f>'Haver Pivoted'!GV57</f>
        <v>15.8</v>
      </c>
      <c r="L13" s="265">
        <f>'Haver Pivoted'!GW57</f>
        <v>15.2</v>
      </c>
      <c r="M13" s="265">
        <f>'Haver Pivoted'!GX57</f>
        <v>28.9</v>
      </c>
      <c r="N13" s="265">
        <f>'Haver Pivoted'!GY57</f>
        <v>67.599999999999994</v>
      </c>
      <c r="O13" s="933">
        <f>'Haver Pivoted'!GZ57</f>
        <v>80.7</v>
      </c>
      <c r="P13" s="399">
        <f t="shared" ref="P13:AC13" si="4">P26+P30+P36</f>
        <v>74.123333333333335</v>
      </c>
      <c r="Q13" s="399">
        <f t="shared" si="4"/>
        <v>69.123333333333306</v>
      </c>
      <c r="R13" s="399">
        <f t="shared" si="4"/>
        <v>69.123333333333306</v>
      </c>
      <c r="S13" s="399">
        <f t="shared" si="4"/>
        <v>69.123333333333306</v>
      </c>
      <c r="T13" s="399">
        <f t="shared" si="4"/>
        <v>60.929333333333297</v>
      </c>
      <c r="U13" s="399">
        <f t="shared" si="4"/>
        <v>60.929333333333297</v>
      </c>
      <c r="V13" s="399">
        <f t="shared" si="4"/>
        <v>60.929333333333297</v>
      </c>
      <c r="W13" s="399">
        <f t="shared" si="4"/>
        <v>60.929333333333297</v>
      </c>
      <c r="X13" s="399">
        <f t="shared" si="4"/>
        <v>54.244333333333302</v>
      </c>
      <c r="Y13" s="399">
        <f t="shared" si="4"/>
        <v>50.911000000000001</v>
      </c>
      <c r="Z13" s="399">
        <f t="shared" si="4"/>
        <v>31.911000000000001</v>
      </c>
      <c r="AA13" s="399">
        <f t="shared" si="4"/>
        <v>31.911000000000001</v>
      </c>
      <c r="AB13" s="399">
        <f t="shared" si="4"/>
        <v>23.099</v>
      </c>
      <c r="AC13" s="400">
        <f t="shared" si="4"/>
        <v>23.099</v>
      </c>
      <c r="AD13" s="620">
        <f t="shared" ref="AD13:AD19" si="5">SUM(I13:Y13)/4</f>
        <v>216.74149999999992</v>
      </c>
      <c r="AE13" s="448">
        <f>AD26+AD30+AD36</f>
        <v>218.26349999999994</v>
      </c>
    </row>
    <row r="14" spans="2:34" s="80" customFormat="1" x14ac:dyDescent="0.3">
      <c r="B14" s="81" t="s">
        <v>195</v>
      </c>
      <c r="C14" s="97" t="s">
        <v>432</v>
      </c>
      <c r="D14" s="577"/>
      <c r="E14" s="97"/>
      <c r="F14" s="97"/>
      <c r="G14" s="97"/>
      <c r="H14" s="265"/>
      <c r="I14" s="265"/>
      <c r="J14" s="265">
        <f>'Haver Pivoted'!GU58</f>
        <v>64.400000000000006</v>
      </c>
      <c r="K14" s="265">
        <f>'Haver Pivoted'!GV58</f>
        <v>23.4</v>
      </c>
      <c r="L14" s="265">
        <f>'Haver Pivoted'!GW58</f>
        <v>13.8</v>
      </c>
      <c r="M14" s="265">
        <f>'Haver Pivoted'!GX58</f>
        <v>17.100000000000001</v>
      </c>
      <c r="N14" s="265">
        <f>'Haver Pivoted'!GY58</f>
        <v>10.6</v>
      </c>
      <c r="O14" s="933">
        <f>'Haver Pivoted'!GZ58</f>
        <v>15</v>
      </c>
      <c r="P14" s="399">
        <f>'Provider Relief'!P12</f>
        <v>4.8930481283422456</v>
      </c>
      <c r="Q14" s="399">
        <f>'Provider Relief'!Q12</f>
        <v>0</v>
      </c>
      <c r="R14" s="399">
        <f>'Provider Relief'!R12</f>
        <v>0</v>
      </c>
      <c r="S14" s="399">
        <f>'Provider Relief'!S12</f>
        <v>0</v>
      </c>
      <c r="T14" s="399">
        <f>'Provider Relief'!T12</f>
        <v>0</v>
      </c>
      <c r="U14" s="399">
        <f>'Provider Relief'!U12</f>
        <v>0</v>
      </c>
      <c r="V14" s="399">
        <f>'Provider Relief'!V12</f>
        <v>0</v>
      </c>
      <c r="W14" s="399">
        <f>'Provider Relief'!W12</f>
        <v>0</v>
      </c>
      <c r="X14" s="399">
        <f>'Provider Relief'!X12</f>
        <v>0</v>
      </c>
      <c r="Y14" s="399">
        <f>'Provider Relief'!Y12</f>
        <v>0</v>
      </c>
      <c r="Z14" s="399">
        <f>'Provider Relief'!Z12</f>
        <v>0</v>
      </c>
      <c r="AA14" s="399">
        <f>'Provider Relief'!AA12</f>
        <v>0</v>
      </c>
      <c r="AB14" s="399">
        <f>'Provider Relief'!AB12</f>
        <v>0</v>
      </c>
      <c r="AC14" s="400">
        <f>'Provider Relief'!AC12</f>
        <v>0</v>
      </c>
      <c r="AD14" s="620">
        <f>SUM(I14:Y14)/4</f>
        <v>37.298262032085567</v>
      </c>
      <c r="AE14" s="448">
        <f>AD27+AD31+AD37</f>
        <v>34.125000000000007</v>
      </c>
    </row>
    <row r="15" spans="2:34" s="80" customFormat="1" ht="15.65" customHeight="1" x14ac:dyDescent="0.3">
      <c r="B15" s="81" t="s">
        <v>475</v>
      </c>
      <c r="C15" s="97"/>
      <c r="D15" s="577"/>
      <c r="E15" s="97"/>
      <c r="F15" s="97"/>
      <c r="G15" s="97"/>
      <c r="H15" s="265"/>
      <c r="I15" s="265"/>
      <c r="J15" s="265"/>
      <c r="K15" s="265"/>
      <c r="L15" s="265"/>
      <c r="M15" s="265">
        <f>M29</f>
        <v>9.6666666666666661</v>
      </c>
      <c r="N15" s="108">
        <f t="shared" ref="N15:AC15" si="6">N29</f>
        <v>9.6666666666666661</v>
      </c>
      <c r="O15" s="620">
        <f t="shared" si="6"/>
        <v>9.6666666666666661</v>
      </c>
      <c r="P15" s="399">
        <f t="shared" si="6"/>
        <v>9.6666666666666661</v>
      </c>
      <c r="Q15" s="399">
        <f t="shared" si="6"/>
        <v>9.6666666666666661</v>
      </c>
      <c r="R15" s="399">
        <f t="shared" si="6"/>
        <v>9.6666666666666661</v>
      </c>
      <c r="S15" s="399">
        <f t="shared" si="6"/>
        <v>9.6666666666666661</v>
      </c>
      <c r="T15" s="399">
        <f t="shared" si="6"/>
        <v>9.6666666666666661</v>
      </c>
      <c r="U15" s="399">
        <f t="shared" si="6"/>
        <v>9.6666666666666661</v>
      </c>
      <c r="V15" s="399">
        <f t="shared" si="6"/>
        <v>9.6666666666666661</v>
      </c>
      <c r="W15" s="399">
        <f t="shared" si="6"/>
        <v>9.6666666666666661</v>
      </c>
      <c r="X15" s="399">
        <f t="shared" si="6"/>
        <v>9.6666666666666661</v>
      </c>
      <c r="Y15" s="399">
        <f t="shared" si="6"/>
        <v>0</v>
      </c>
      <c r="Z15" s="399">
        <f t="shared" si="6"/>
        <v>0</v>
      </c>
      <c r="AA15" s="399">
        <f t="shared" si="6"/>
        <v>0</v>
      </c>
      <c r="AB15" s="399">
        <f t="shared" si="6"/>
        <v>0</v>
      </c>
      <c r="AC15" s="400">
        <f t="shared" si="6"/>
        <v>0</v>
      </c>
      <c r="AD15" s="620">
        <f>SUM(I15:Y15)/4</f>
        <v>29.000000000000004</v>
      </c>
      <c r="AE15" s="449">
        <f>AD29</f>
        <v>29.000000000000004</v>
      </c>
      <c r="AF15" s="109" t="s">
        <v>476</v>
      </c>
      <c r="AG15" s="109"/>
      <c r="AH15" s="109"/>
    </row>
    <row r="16" spans="2:34" s="80" customFormat="1" ht="31" customHeight="1" x14ac:dyDescent="0.3">
      <c r="B16" s="81" t="s">
        <v>477</v>
      </c>
      <c r="C16" s="97"/>
      <c r="D16" s="577"/>
      <c r="E16" s="97"/>
      <c r="F16" s="97"/>
      <c r="G16" s="97"/>
      <c r="H16" s="265"/>
      <c r="I16" s="265"/>
      <c r="J16" s="265"/>
      <c r="K16" s="265"/>
      <c r="L16" s="265"/>
      <c r="M16" s="265">
        <f>M33+M32</f>
        <v>12</v>
      </c>
      <c r="N16" s="108">
        <f>N33+N32</f>
        <v>12</v>
      </c>
      <c r="O16" s="620">
        <f t="shared" ref="O16:AC16" si="7">O33+O32</f>
        <v>12</v>
      </c>
      <c r="P16" s="399">
        <f t="shared" si="7"/>
        <v>12</v>
      </c>
      <c r="Q16" s="399">
        <f t="shared" si="7"/>
        <v>12</v>
      </c>
      <c r="R16" s="399">
        <f t="shared" si="7"/>
        <v>12</v>
      </c>
      <c r="S16" s="399">
        <f t="shared" si="7"/>
        <v>12</v>
      </c>
      <c r="T16" s="399">
        <f t="shared" si="7"/>
        <v>12</v>
      </c>
      <c r="U16" s="399">
        <f t="shared" si="7"/>
        <v>12</v>
      </c>
      <c r="V16" s="399">
        <f t="shared" si="7"/>
        <v>12</v>
      </c>
      <c r="W16" s="399">
        <f t="shared" si="7"/>
        <v>12</v>
      </c>
      <c r="X16" s="399">
        <f t="shared" si="7"/>
        <v>12</v>
      </c>
      <c r="Y16" s="399">
        <f t="shared" si="7"/>
        <v>0</v>
      </c>
      <c r="Z16" s="399">
        <f t="shared" si="7"/>
        <v>0</v>
      </c>
      <c r="AA16" s="399">
        <f t="shared" si="7"/>
        <v>0</v>
      </c>
      <c r="AB16" s="399">
        <f t="shared" si="7"/>
        <v>0</v>
      </c>
      <c r="AC16" s="400">
        <f t="shared" si="7"/>
        <v>0</v>
      </c>
      <c r="AD16" s="620">
        <f>SUM(I16:Y16)/4</f>
        <v>36</v>
      </c>
      <c r="AE16" s="448">
        <f>SUM(AD32:AD33)+AD38</f>
        <v>130.3365</v>
      </c>
      <c r="AF16" s="109" t="s">
        <v>478</v>
      </c>
      <c r="AG16" s="109"/>
      <c r="AH16" s="109"/>
    </row>
    <row r="17" spans="1:34" s="80" customFormat="1" x14ac:dyDescent="0.3">
      <c r="B17" s="81" t="s">
        <v>479</v>
      </c>
      <c r="C17" s="97"/>
      <c r="D17" s="577"/>
      <c r="E17" s="97"/>
      <c r="F17" s="97"/>
      <c r="G17" s="97"/>
      <c r="H17" s="265"/>
      <c r="I17" s="265"/>
      <c r="J17" s="265"/>
      <c r="K17" s="265"/>
      <c r="L17" s="265"/>
      <c r="M17" s="265"/>
      <c r="N17" s="108">
        <f>N38</f>
        <v>59.256</v>
      </c>
      <c r="O17" s="620">
        <f t="shared" ref="O17:AC17" si="8">O38</f>
        <v>59.256</v>
      </c>
      <c r="P17" s="399">
        <f t="shared" si="8"/>
        <v>35.671000000000006</v>
      </c>
      <c r="Q17" s="399">
        <f t="shared" si="8"/>
        <v>35.671000000000006</v>
      </c>
      <c r="R17" s="399">
        <f t="shared" si="8"/>
        <v>35.671000000000006</v>
      </c>
      <c r="S17" s="399">
        <f t="shared" si="8"/>
        <v>35.671000000000006</v>
      </c>
      <c r="T17" s="399">
        <f t="shared" si="8"/>
        <v>24.216000000000001</v>
      </c>
      <c r="U17" s="399">
        <f t="shared" si="8"/>
        <v>24.216000000000001</v>
      </c>
      <c r="V17" s="399">
        <f t="shared" si="8"/>
        <v>24.216000000000001</v>
      </c>
      <c r="W17" s="399">
        <f t="shared" si="8"/>
        <v>24.216000000000001</v>
      </c>
      <c r="X17" s="399">
        <f t="shared" si="8"/>
        <v>9.6430000000000007</v>
      </c>
      <c r="Y17" s="399">
        <f t="shared" si="8"/>
        <v>9.6430000000000007</v>
      </c>
      <c r="Z17" s="399">
        <f t="shared" si="8"/>
        <v>9.6430000000000007</v>
      </c>
      <c r="AA17" s="399">
        <f t="shared" si="8"/>
        <v>9.6430000000000007</v>
      </c>
      <c r="AB17" s="399">
        <f t="shared" si="8"/>
        <v>4.5789999999999997</v>
      </c>
      <c r="AC17" s="400">
        <f t="shared" si="8"/>
        <v>4.5789999999999997</v>
      </c>
      <c r="AD17" s="620">
        <f>SUM(I17:Y17)/4</f>
        <v>94.336500000000001</v>
      </c>
      <c r="AE17" s="448"/>
      <c r="AF17" s="109"/>
      <c r="AG17" s="109"/>
      <c r="AH17" s="109"/>
    </row>
    <row r="18" spans="1:34" s="80" customFormat="1" ht="42" x14ac:dyDescent="0.3">
      <c r="B18" s="651" t="s">
        <v>1229</v>
      </c>
      <c r="C18" s="97"/>
      <c r="D18" s="577"/>
      <c r="E18" s="97"/>
      <c r="F18" s="97"/>
      <c r="G18" s="97"/>
      <c r="H18" s="265"/>
      <c r="I18" s="265"/>
      <c r="J18" s="265"/>
      <c r="K18" s="265"/>
      <c r="L18" s="265"/>
      <c r="M18" s="265"/>
      <c r="N18" s="1006">
        <v>-40</v>
      </c>
      <c r="O18" s="1007">
        <v>-40</v>
      </c>
      <c r="P18" s="399"/>
      <c r="Q18" s="399"/>
      <c r="R18" s="399"/>
      <c r="S18" s="399"/>
      <c r="T18" s="399">
        <v>10</v>
      </c>
      <c r="U18" s="399">
        <v>10</v>
      </c>
      <c r="V18" s="399">
        <v>10</v>
      </c>
      <c r="W18" s="399">
        <v>10</v>
      </c>
      <c r="X18" s="399">
        <v>10</v>
      </c>
      <c r="Y18" s="399">
        <v>10</v>
      </c>
      <c r="Z18" s="399">
        <v>10</v>
      </c>
      <c r="AA18" s="399">
        <v>10</v>
      </c>
      <c r="AB18" s="399"/>
      <c r="AC18" s="400"/>
      <c r="AD18" s="620"/>
      <c r="AE18" s="448"/>
      <c r="AF18" s="109"/>
      <c r="AG18" s="109"/>
      <c r="AH18" s="109"/>
    </row>
    <row r="19" spans="1:34" s="80" customFormat="1" ht="15.65" customHeight="1" x14ac:dyDescent="0.3">
      <c r="B19" s="81" t="s">
        <v>480</v>
      </c>
      <c r="C19" s="261" t="s">
        <v>481</v>
      </c>
      <c r="D19" s="577"/>
      <c r="E19" s="97"/>
      <c r="F19" s="97"/>
      <c r="G19" s="97"/>
      <c r="H19" s="265"/>
      <c r="I19" s="265"/>
      <c r="J19" s="265"/>
      <c r="K19" s="265">
        <f>'Haver Pivoted'!GV56</f>
        <v>0</v>
      </c>
      <c r="L19" s="265">
        <f>'Haver Pivoted'!GW56</f>
        <v>0</v>
      </c>
      <c r="M19" s="265">
        <f>'Haver Pivoted'!GX56</f>
        <v>0</v>
      </c>
      <c r="N19" s="265">
        <f>'Haver Pivoted'!GY56</f>
        <v>785.9</v>
      </c>
      <c r="O19" s="933">
        <f>'Haver Pivoted'!GZ56</f>
        <v>187.9</v>
      </c>
      <c r="P19" s="74">
        <f t="shared" ref="P19:AC19" si="9">P35</f>
        <v>0</v>
      </c>
      <c r="Q19" s="74">
        <f>4*AE19-N19</f>
        <v>662.29999999999984</v>
      </c>
      <c r="R19" s="74">
        <f t="shared" si="9"/>
        <v>0</v>
      </c>
      <c r="S19" s="74">
        <f t="shared" si="9"/>
        <v>0</v>
      </c>
      <c r="T19" s="74">
        <f t="shared" si="9"/>
        <v>0</v>
      </c>
      <c r="U19" s="74">
        <f t="shared" si="9"/>
        <v>0</v>
      </c>
      <c r="V19" s="74">
        <f t="shared" si="9"/>
        <v>0</v>
      </c>
      <c r="W19" s="74">
        <f t="shared" si="9"/>
        <v>0</v>
      </c>
      <c r="X19" s="74">
        <f t="shared" si="9"/>
        <v>0</v>
      </c>
      <c r="Y19" s="74">
        <f t="shared" si="9"/>
        <v>0</v>
      </c>
      <c r="Z19" s="74">
        <f t="shared" si="9"/>
        <v>0</v>
      </c>
      <c r="AA19" s="74">
        <f t="shared" si="9"/>
        <v>0</v>
      </c>
      <c r="AB19" s="74">
        <f t="shared" si="9"/>
        <v>0</v>
      </c>
      <c r="AC19" s="75">
        <f t="shared" si="9"/>
        <v>0</v>
      </c>
      <c r="AD19" s="620">
        <f t="shared" si="5"/>
        <v>409.02499999999998</v>
      </c>
      <c r="AE19" s="448">
        <f>AD35</f>
        <v>362.04999999999995</v>
      </c>
      <c r="AF19" s="129"/>
      <c r="AH19" s="109"/>
    </row>
    <row r="20" spans="1:34" s="80" customFormat="1" ht="15.65" customHeight="1" x14ac:dyDescent="0.3">
      <c r="A20" s="113"/>
      <c r="B20" s="110" t="s">
        <v>482</v>
      </c>
      <c r="C20" s="264"/>
      <c r="D20" s="1010">
        <f t="shared" ref="D20:G20" si="10">D11-SUM(D12:D19)</f>
        <v>198.03399999999999</v>
      </c>
      <c r="E20" s="621">
        <f t="shared" si="10"/>
        <v>185.04399999999998</v>
      </c>
      <c r="F20" s="621">
        <f t="shared" si="10"/>
        <v>197.15600000000001</v>
      </c>
      <c r="G20" s="621">
        <f t="shared" si="10"/>
        <v>191.87099999999998</v>
      </c>
      <c r="H20" s="621">
        <f>H11-SUM(H12:H19)</f>
        <v>208.59399999999999</v>
      </c>
      <c r="I20" s="621">
        <f t="shared" ref="I20:M20" si="11">I11-SUM(I12:I19)</f>
        <v>212.48200000000003</v>
      </c>
      <c r="J20" s="621">
        <f t="shared" si="11"/>
        <v>206.81000000000006</v>
      </c>
      <c r="K20" s="621">
        <f t="shared" si="11"/>
        <v>217.58300000000003</v>
      </c>
      <c r="L20" s="621">
        <f t="shared" si="11"/>
        <v>206.16300000000001</v>
      </c>
      <c r="M20" s="621">
        <f t="shared" si="11"/>
        <v>202.48833333333332</v>
      </c>
      <c r="N20" s="621">
        <f>N11-SUM(N12:N19)</f>
        <v>206.44833333333338</v>
      </c>
      <c r="O20" s="870">
        <f>O11-SUM(O12:O19)</f>
        <v>201.7563333333332</v>
      </c>
      <c r="P20" s="401">
        <f t="shared" ref="P20:Y20" si="12">O20*1.04</f>
        <v>209.82658666666654</v>
      </c>
      <c r="Q20" s="401">
        <f t="shared" si="12"/>
        <v>218.2196501333332</v>
      </c>
      <c r="R20" s="401">
        <f t="shared" si="12"/>
        <v>226.94843613866655</v>
      </c>
      <c r="S20" s="401">
        <f t="shared" si="12"/>
        <v>236.02637358421322</v>
      </c>
      <c r="T20" s="401">
        <f t="shared" si="12"/>
        <v>245.46742852758175</v>
      </c>
      <c r="U20" s="401">
        <f t="shared" si="12"/>
        <v>255.28612566868503</v>
      </c>
      <c r="V20" s="401">
        <f t="shared" si="12"/>
        <v>265.49757069543244</v>
      </c>
      <c r="W20" s="401">
        <f t="shared" si="12"/>
        <v>276.11747352324977</v>
      </c>
      <c r="X20" s="401">
        <f t="shared" si="12"/>
        <v>287.16217246417978</v>
      </c>
      <c r="Y20" s="401">
        <f t="shared" si="12"/>
        <v>298.64865936274697</v>
      </c>
      <c r="Z20" s="401">
        <f t="shared" ref="Z20" si="13">Y20*1.04</f>
        <v>310.59460573725687</v>
      </c>
      <c r="AA20" s="401">
        <f t="shared" ref="AA20" si="14">Z20*1.04</f>
        <v>323.01838996674718</v>
      </c>
      <c r="AB20" s="401">
        <f t="shared" ref="AB20" si="15">AA20*1.04</f>
        <v>335.9391255654171</v>
      </c>
      <c r="AC20" s="402">
        <f t="shared" ref="AC20" si="16">AB20*1.04</f>
        <v>349.3766905880338</v>
      </c>
      <c r="AD20" s="622"/>
      <c r="AE20" s="450"/>
      <c r="AF20" s="109" t="s">
        <v>483</v>
      </c>
      <c r="AG20" s="109"/>
      <c r="AH20" s="109"/>
    </row>
    <row r="21" spans="1:34" s="80" customFormat="1" x14ac:dyDescent="0.35">
      <c r="C21" s="97"/>
      <c r="D21" s="97"/>
      <c r="E21" s="1011"/>
      <c r="F21" s="97"/>
      <c r="G21" s="97"/>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row>
    <row r="22" spans="1:34" s="80" customFormat="1" x14ac:dyDescent="0.35">
      <c r="B22" s="256" t="s">
        <v>484</v>
      </c>
      <c r="C22" s="97"/>
      <c r="D22" s="97"/>
      <c r="E22" s="97"/>
      <c r="F22" s="97"/>
      <c r="G22" s="97"/>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row>
    <row r="23" spans="1:34" s="80" customFormat="1" ht="27" customHeight="1" x14ac:dyDescent="0.35">
      <c r="B23" s="1110" t="s">
        <v>485</v>
      </c>
      <c r="C23" s="1111"/>
      <c r="D23" s="1112"/>
      <c r="E23" s="1112"/>
      <c r="F23" s="1112"/>
      <c r="G23" s="1112"/>
      <c r="H23" s="1112"/>
      <c r="I23" s="1112"/>
      <c r="J23" s="1112"/>
      <c r="K23" s="1112"/>
      <c r="L23" s="1112"/>
      <c r="M23" s="1112"/>
      <c r="N23" s="1112"/>
      <c r="O23" s="1112"/>
      <c r="P23" s="1112"/>
      <c r="Q23" s="1112"/>
      <c r="R23" s="1112"/>
      <c r="S23" s="1112"/>
      <c r="T23" s="1112"/>
      <c r="U23" s="1112"/>
      <c r="V23" s="1112"/>
      <c r="W23" s="1112"/>
      <c r="X23" s="1112"/>
      <c r="Y23" s="1112"/>
      <c r="Z23" s="1112"/>
      <c r="AA23" s="1112"/>
      <c r="AB23" s="1112"/>
      <c r="AC23" s="1113"/>
      <c r="AD23" s="452" t="s">
        <v>467</v>
      </c>
      <c r="AE23" s="451"/>
    </row>
    <row r="24" spans="1:34" s="80" customFormat="1" ht="17.5" customHeight="1" x14ac:dyDescent="0.3">
      <c r="B24" s="73" t="s">
        <v>486</v>
      </c>
      <c r="C24" s="97"/>
      <c r="D24" s="865"/>
      <c r="E24" s="866"/>
      <c r="F24" s="866"/>
      <c r="G24" s="866"/>
      <c r="H24" s="653"/>
      <c r="I24" s="653"/>
      <c r="J24" s="867">
        <f>SUM(J25:J27)</f>
        <v>692.8</v>
      </c>
      <c r="K24" s="867">
        <f t="shared" ref="K24:P24" si="17">SUM(K25:K27)</f>
        <v>39.200000000000003</v>
      </c>
      <c r="L24" s="867">
        <f t="shared" si="17"/>
        <v>29</v>
      </c>
      <c r="M24" s="867">
        <f t="shared" si="17"/>
        <v>27</v>
      </c>
      <c r="N24" s="867">
        <f t="shared" si="17"/>
        <v>18</v>
      </c>
      <c r="O24" s="868">
        <f t="shared" si="17"/>
        <v>0</v>
      </c>
      <c r="P24" s="632">
        <f t="shared" si="17"/>
        <v>0</v>
      </c>
      <c r="Q24" s="632"/>
      <c r="R24" s="632"/>
      <c r="S24" s="632"/>
      <c r="T24" s="632"/>
      <c r="U24" s="632"/>
      <c r="V24" s="632"/>
      <c r="W24" s="632"/>
      <c r="X24" s="632"/>
      <c r="Y24" s="632"/>
      <c r="Z24" s="632"/>
      <c r="AA24" s="632"/>
      <c r="AB24" s="632"/>
      <c r="AC24" s="136"/>
      <c r="AD24" s="620">
        <f t="shared" ref="AD24:AD38" si="18">SUM(I24:Y24)/4</f>
        <v>201.5</v>
      </c>
      <c r="AE24" s="1099" t="s">
        <v>487</v>
      </c>
      <c r="AF24" s="1074"/>
    </row>
    <row r="25" spans="1:34" s="80" customFormat="1" x14ac:dyDescent="0.3">
      <c r="B25" s="114" t="s">
        <v>192</v>
      </c>
      <c r="C25" s="97"/>
      <c r="D25" s="577"/>
      <c r="E25" s="97"/>
      <c r="F25" s="97"/>
      <c r="G25" s="97"/>
      <c r="H25" s="108"/>
      <c r="I25" s="108"/>
      <c r="J25" s="133">
        <f>C45*4</f>
        <v>600</v>
      </c>
      <c r="K25" s="133"/>
      <c r="L25" s="133"/>
      <c r="M25" s="133"/>
      <c r="N25" s="133"/>
      <c r="O25" s="934"/>
      <c r="P25" s="74"/>
      <c r="Q25" s="74"/>
      <c r="R25" s="74"/>
      <c r="S25" s="74"/>
      <c r="T25" s="74"/>
      <c r="U25" s="74"/>
      <c r="V25" s="74"/>
      <c r="W25" s="74"/>
      <c r="X25" s="74"/>
      <c r="Y25" s="74"/>
      <c r="Z25" s="74"/>
      <c r="AA25" s="74"/>
      <c r="AB25" s="74"/>
      <c r="AC25" s="75"/>
      <c r="AD25" s="620">
        <f t="shared" si="18"/>
        <v>150</v>
      </c>
      <c r="AE25" s="133"/>
    </row>
    <row r="26" spans="1:34" s="80" customFormat="1" ht="15" customHeight="1" x14ac:dyDescent="0.3">
      <c r="B26" s="114" t="s">
        <v>193</v>
      </c>
      <c r="C26" s="97"/>
      <c r="D26" s="577"/>
      <c r="E26" s="97"/>
      <c r="F26" s="97"/>
      <c r="G26" s="97"/>
      <c r="H26" s="108"/>
      <c r="I26" s="108"/>
      <c r="J26" s="133">
        <v>28.4</v>
      </c>
      <c r="K26" s="133">
        <v>15.8</v>
      </c>
      <c r="L26" s="133">
        <v>15.2</v>
      </c>
      <c r="M26" s="133">
        <v>10.9</v>
      </c>
      <c r="N26" s="133">
        <v>18</v>
      </c>
      <c r="O26" s="934"/>
      <c r="P26" s="74"/>
      <c r="Q26" s="74"/>
      <c r="R26" s="74"/>
      <c r="S26" s="74"/>
      <c r="T26" s="74"/>
      <c r="U26" s="74"/>
      <c r="V26" s="74"/>
      <c r="W26" s="74"/>
      <c r="X26" s="74"/>
      <c r="Y26" s="74"/>
      <c r="Z26" s="74"/>
      <c r="AA26" s="74"/>
      <c r="AB26" s="74"/>
      <c r="AC26" s="75"/>
      <c r="AD26" s="620">
        <f t="shared" si="18"/>
        <v>22.075000000000003</v>
      </c>
      <c r="AE26" s="133"/>
    </row>
    <row r="27" spans="1:34" s="80" customFormat="1" x14ac:dyDescent="0.3">
      <c r="B27" s="114" t="s">
        <v>195</v>
      </c>
      <c r="C27" s="97"/>
      <c r="D27" s="577"/>
      <c r="E27" s="97"/>
      <c r="F27" s="97"/>
      <c r="G27" s="97"/>
      <c r="H27" s="108"/>
      <c r="I27" s="108"/>
      <c r="J27" s="88">
        <v>64.400000000000006</v>
      </c>
      <c r="K27" s="88">
        <v>23.4</v>
      </c>
      <c r="L27" s="88">
        <v>13.8</v>
      </c>
      <c r="M27" s="88">
        <v>16.100000000000001</v>
      </c>
      <c r="N27" s="133"/>
      <c r="O27" s="934"/>
      <c r="P27" s="74"/>
      <c r="Q27" s="74"/>
      <c r="R27" s="74"/>
      <c r="S27" s="74"/>
      <c r="T27" s="74"/>
      <c r="U27" s="74"/>
      <c r="V27" s="74"/>
      <c r="W27" s="74"/>
      <c r="X27" s="74"/>
      <c r="Y27" s="74"/>
      <c r="Z27" s="74"/>
      <c r="AA27" s="74"/>
      <c r="AB27" s="74"/>
      <c r="AC27" s="75"/>
      <c r="AD27" s="620">
        <f t="shared" si="18"/>
        <v>29.425000000000004</v>
      </c>
      <c r="AE27" s="133"/>
    </row>
    <row r="28" spans="1:34" s="80" customFormat="1" ht="16.5" customHeight="1" x14ac:dyDescent="0.3">
      <c r="B28" s="73" t="s">
        <v>488</v>
      </c>
      <c r="C28" s="97"/>
      <c r="D28" s="577"/>
      <c r="E28" s="97"/>
      <c r="F28" s="97"/>
      <c r="G28" s="97"/>
      <c r="H28" s="108"/>
      <c r="I28" s="108"/>
      <c r="J28" s="108"/>
      <c r="K28" s="108"/>
      <c r="L28" s="108"/>
      <c r="M28" s="133">
        <f>SUM(M29:M33)</f>
        <v>43</v>
      </c>
      <c r="N28" s="133">
        <f t="shared" ref="N28:AC28" si="19">SUM(N29:N33)</f>
        <v>70</v>
      </c>
      <c r="O28" s="934">
        <f t="shared" si="19"/>
        <v>59.999999999999964</v>
      </c>
      <c r="P28" s="74">
        <f t="shared" si="19"/>
        <v>50</v>
      </c>
      <c r="Q28" s="74">
        <f t="shared" si="19"/>
        <v>44.999999999999964</v>
      </c>
      <c r="R28" s="74">
        <f t="shared" si="19"/>
        <v>44.999999999999964</v>
      </c>
      <c r="S28" s="74">
        <f t="shared" si="19"/>
        <v>44.999999999999964</v>
      </c>
      <c r="T28" s="74">
        <f t="shared" si="19"/>
        <v>44.999999999999964</v>
      </c>
      <c r="U28" s="74">
        <f t="shared" si="19"/>
        <v>44.999999999999964</v>
      </c>
      <c r="V28" s="74">
        <f t="shared" si="19"/>
        <v>44.999999999999964</v>
      </c>
      <c r="W28" s="74">
        <f t="shared" si="19"/>
        <v>44.999999999999964</v>
      </c>
      <c r="X28" s="74">
        <f t="shared" si="19"/>
        <v>44.999999999999964</v>
      </c>
      <c r="Y28" s="74">
        <f t="shared" si="19"/>
        <v>19</v>
      </c>
      <c r="Z28" s="74">
        <f t="shared" si="19"/>
        <v>0</v>
      </c>
      <c r="AA28" s="74">
        <f t="shared" si="19"/>
        <v>0</v>
      </c>
      <c r="AB28" s="74">
        <f t="shared" si="19"/>
        <v>0</v>
      </c>
      <c r="AC28" s="75">
        <f t="shared" si="19"/>
        <v>0</v>
      </c>
      <c r="AD28" s="620">
        <f t="shared" si="18"/>
        <v>150.49999999999991</v>
      </c>
      <c r="AE28" s="1099" t="s">
        <v>489</v>
      </c>
      <c r="AF28" s="1074"/>
    </row>
    <row r="29" spans="1:34" s="80" customFormat="1" x14ac:dyDescent="0.3">
      <c r="B29" s="114" t="s">
        <v>475</v>
      </c>
      <c r="C29" s="97"/>
      <c r="D29" s="577"/>
      <c r="E29" s="97"/>
      <c r="F29" s="97"/>
      <c r="G29" s="97"/>
      <c r="H29" s="108"/>
      <c r="I29" s="108"/>
      <c r="J29" s="108"/>
      <c r="K29" s="108"/>
      <c r="L29" s="108"/>
      <c r="M29" s="133">
        <f>C48/12*4</f>
        <v>9.6666666666666661</v>
      </c>
      <c r="N29" s="133">
        <f>M29</f>
        <v>9.6666666666666661</v>
      </c>
      <c r="O29" s="934">
        <f t="shared" ref="O29:X29" si="20">N29</f>
        <v>9.6666666666666661</v>
      </c>
      <c r="P29" s="74">
        <f t="shared" si="20"/>
        <v>9.6666666666666661</v>
      </c>
      <c r="Q29" s="74">
        <f t="shared" si="20"/>
        <v>9.6666666666666661</v>
      </c>
      <c r="R29" s="74">
        <f t="shared" si="20"/>
        <v>9.6666666666666661</v>
      </c>
      <c r="S29" s="74">
        <f t="shared" si="20"/>
        <v>9.6666666666666661</v>
      </c>
      <c r="T29" s="74">
        <f t="shared" si="20"/>
        <v>9.6666666666666661</v>
      </c>
      <c r="U29" s="74">
        <f t="shared" si="20"/>
        <v>9.6666666666666661</v>
      </c>
      <c r="V29" s="74">
        <f t="shared" si="20"/>
        <v>9.6666666666666661</v>
      </c>
      <c r="W29" s="74">
        <f t="shared" si="20"/>
        <v>9.6666666666666661</v>
      </c>
      <c r="X29" s="74">
        <f t="shared" si="20"/>
        <v>9.6666666666666661</v>
      </c>
      <c r="Y29" s="391"/>
      <c r="Z29" s="391"/>
      <c r="AA29" s="391"/>
      <c r="AB29" s="391"/>
      <c r="AC29" s="77"/>
      <c r="AD29" s="620">
        <f t="shared" si="18"/>
        <v>29.000000000000004</v>
      </c>
      <c r="AE29" s="1099"/>
      <c r="AF29" s="1074"/>
    </row>
    <row r="30" spans="1:34" s="80" customFormat="1" ht="42" x14ac:dyDescent="0.3">
      <c r="B30" s="114" t="s">
        <v>193</v>
      </c>
      <c r="C30" s="97"/>
      <c r="D30" s="577"/>
      <c r="E30" s="97"/>
      <c r="F30" s="97"/>
      <c r="G30" s="97"/>
      <c r="H30" s="108"/>
      <c r="I30" s="108"/>
      <c r="J30" s="108"/>
      <c r="K30" s="108"/>
      <c r="L30" s="108"/>
      <c r="M30" s="616">
        <f>C59/12*4 - 7</f>
        <v>20.333333333333332</v>
      </c>
      <c r="N30" s="616">
        <f>C59/12*4 + 20</f>
        <v>47.333333333333329</v>
      </c>
      <c r="O30" s="935">
        <v>37.3333333333333</v>
      </c>
      <c r="P30" s="78">
        <v>27.333333333333332</v>
      </c>
      <c r="Q30" s="78">
        <v>22.3333333333333</v>
      </c>
      <c r="R30" s="78">
        <v>22.3333333333333</v>
      </c>
      <c r="S30" s="78">
        <v>22.3333333333333</v>
      </c>
      <c r="T30" s="78">
        <v>22.3333333333333</v>
      </c>
      <c r="U30" s="78">
        <v>22.3333333333333</v>
      </c>
      <c r="V30" s="78">
        <v>22.3333333333333</v>
      </c>
      <c r="W30" s="78">
        <v>22.3333333333333</v>
      </c>
      <c r="X30" s="78">
        <v>22.3333333333333</v>
      </c>
      <c r="Y30" s="78">
        <v>19</v>
      </c>
      <c r="Z30" s="78"/>
      <c r="AA30" s="78"/>
      <c r="AB30" s="78"/>
      <c r="AC30" s="79"/>
      <c r="AD30" s="620">
        <f>SUM(I30:Y30)/4</f>
        <v>82.499999999999943</v>
      </c>
      <c r="AE30" s="89" t="s">
        <v>490</v>
      </c>
    </row>
    <row r="31" spans="1:34" s="80" customFormat="1" x14ac:dyDescent="0.3">
      <c r="B31" s="114" t="s">
        <v>195</v>
      </c>
      <c r="C31" s="97"/>
      <c r="D31" s="577"/>
      <c r="E31" s="97"/>
      <c r="F31" s="97"/>
      <c r="G31" s="97"/>
      <c r="H31" s="108"/>
      <c r="I31" s="108"/>
      <c r="J31" s="108"/>
      <c r="K31" s="108"/>
      <c r="L31" s="108"/>
      <c r="M31" s="133">
        <f>C60/12*4</f>
        <v>1</v>
      </c>
      <c r="N31" s="133">
        <f>C60/12*4</f>
        <v>1</v>
      </c>
      <c r="O31" s="934">
        <f t="shared" ref="O31:X31" si="21">$C$60/12*4</f>
        <v>1</v>
      </c>
      <c r="P31" s="74">
        <f t="shared" si="21"/>
        <v>1</v>
      </c>
      <c r="Q31" s="74">
        <f t="shared" si="21"/>
        <v>1</v>
      </c>
      <c r="R31" s="74">
        <f t="shared" si="21"/>
        <v>1</v>
      </c>
      <c r="S31" s="74">
        <f t="shared" si="21"/>
        <v>1</v>
      </c>
      <c r="T31" s="74">
        <f t="shared" si="21"/>
        <v>1</v>
      </c>
      <c r="U31" s="74">
        <f t="shared" si="21"/>
        <v>1</v>
      </c>
      <c r="V31" s="74">
        <f t="shared" si="21"/>
        <v>1</v>
      </c>
      <c r="W31" s="74">
        <f t="shared" si="21"/>
        <v>1</v>
      </c>
      <c r="X31" s="74">
        <f t="shared" si="21"/>
        <v>1</v>
      </c>
      <c r="Y31" s="391"/>
      <c r="Z31" s="391"/>
      <c r="AA31" s="391"/>
      <c r="AB31" s="391"/>
      <c r="AC31" s="77"/>
      <c r="AD31" s="620">
        <f t="shared" si="18"/>
        <v>3</v>
      </c>
      <c r="AE31" s="108"/>
    </row>
    <row r="32" spans="1:34" s="80" customFormat="1" ht="13" customHeight="1" x14ac:dyDescent="0.3">
      <c r="B32" s="114" t="s">
        <v>491</v>
      </c>
      <c r="C32" s="97"/>
      <c r="D32" s="577"/>
      <c r="E32" s="97"/>
      <c r="F32" s="97"/>
      <c r="G32" s="97"/>
      <c r="H32" s="108"/>
      <c r="I32" s="108"/>
      <c r="J32" s="108"/>
      <c r="K32" s="108"/>
      <c r="L32" s="108"/>
      <c r="M32" s="133">
        <f t="shared" ref="M32:X32" si="22">$C$61/12*4</f>
        <v>11.333333333333334</v>
      </c>
      <c r="N32" s="133">
        <f t="shared" si="22"/>
        <v>11.333333333333334</v>
      </c>
      <c r="O32" s="934">
        <f t="shared" si="22"/>
        <v>11.333333333333334</v>
      </c>
      <c r="P32" s="74">
        <f t="shared" si="22"/>
        <v>11.333333333333334</v>
      </c>
      <c r="Q32" s="74">
        <f t="shared" si="22"/>
        <v>11.333333333333334</v>
      </c>
      <c r="R32" s="74">
        <f t="shared" si="22"/>
        <v>11.333333333333334</v>
      </c>
      <c r="S32" s="74">
        <f t="shared" si="22"/>
        <v>11.333333333333334</v>
      </c>
      <c r="T32" s="74">
        <f t="shared" si="22"/>
        <v>11.333333333333334</v>
      </c>
      <c r="U32" s="74">
        <f t="shared" si="22"/>
        <v>11.333333333333334</v>
      </c>
      <c r="V32" s="74">
        <f t="shared" si="22"/>
        <v>11.333333333333334</v>
      </c>
      <c r="W32" s="74">
        <f t="shared" si="22"/>
        <v>11.333333333333334</v>
      </c>
      <c r="X32" s="74">
        <f t="shared" si="22"/>
        <v>11.333333333333334</v>
      </c>
      <c r="Y32" s="391"/>
      <c r="Z32" s="391"/>
      <c r="AA32" s="391"/>
      <c r="AB32" s="391"/>
      <c r="AC32" s="77"/>
      <c r="AD32" s="620">
        <f t="shared" si="18"/>
        <v>33.999999999999993</v>
      </c>
      <c r="AE32" s="108"/>
    </row>
    <row r="33" spans="1:88" s="80" customFormat="1" x14ac:dyDescent="0.3">
      <c r="B33" s="114" t="s">
        <v>492</v>
      </c>
      <c r="C33" s="97"/>
      <c r="D33" s="577"/>
      <c r="E33" s="97"/>
      <c r="F33" s="97"/>
      <c r="G33" s="97"/>
      <c r="H33" s="108"/>
      <c r="I33" s="108"/>
      <c r="J33" s="108"/>
      <c r="K33" s="108"/>
      <c r="L33" s="108"/>
      <c r="M33" s="133">
        <f t="shared" ref="M33:X33" si="23">$C$62/12*4</f>
        <v>0.66666666666666663</v>
      </c>
      <c r="N33" s="133">
        <f t="shared" si="23"/>
        <v>0.66666666666666663</v>
      </c>
      <c r="O33" s="934">
        <f t="shared" si="23"/>
        <v>0.66666666666666663</v>
      </c>
      <c r="P33" s="74">
        <f t="shared" si="23"/>
        <v>0.66666666666666663</v>
      </c>
      <c r="Q33" s="74">
        <f t="shared" si="23"/>
        <v>0.66666666666666663</v>
      </c>
      <c r="R33" s="74">
        <f t="shared" si="23"/>
        <v>0.66666666666666663</v>
      </c>
      <c r="S33" s="74">
        <f t="shared" si="23"/>
        <v>0.66666666666666663</v>
      </c>
      <c r="T33" s="74">
        <f t="shared" si="23"/>
        <v>0.66666666666666663</v>
      </c>
      <c r="U33" s="74">
        <f t="shared" si="23"/>
        <v>0.66666666666666663</v>
      </c>
      <c r="V33" s="74">
        <f t="shared" si="23"/>
        <v>0.66666666666666663</v>
      </c>
      <c r="W33" s="74">
        <f t="shared" si="23"/>
        <v>0.66666666666666663</v>
      </c>
      <c r="X33" s="74">
        <f t="shared" si="23"/>
        <v>0.66666666666666663</v>
      </c>
      <c r="Y33" s="391"/>
      <c r="Z33" s="391"/>
      <c r="AA33" s="391"/>
      <c r="AB33" s="391"/>
      <c r="AC33" s="77"/>
      <c r="AD33" s="620">
        <f t="shared" si="18"/>
        <v>2</v>
      </c>
      <c r="AE33" s="108"/>
    </row>
    <row r="34" spans="1:88" s="80" customFormat="1" ht="44.15" customHeight="1" x14ac:dyDescent="0.3">
      <c r="B34" s="73" t="s">
        <v>493</v>
      </c>
      <c r="C34" s="97"/>
      <c r="D34" s="577"/>
      <c r="E34" s="97"/>
      <c r="F34" s="97"/>
      <c r="G34" s="97"/>
      <c r="H34" s="108"/>
      <c r="I34" s="108"/>
      <c r="J34" s="108"/>
      <c r="K34" s="108"/>
      <c r="L34" s="108"/>
      <c r="M34" s="133"/>
      <c r="N34" s="133">
        <f t="shared" ref="N34:AC34" si="24">SUM(N35:N39)</f>
        <v>953.63159999999982</v>
      </c>
      <c r="O34" s="934">
        <f t="shared" si="24"/>
        <v>85.9084</v>
      </c>
      <c r="P34" s="74">
        <f t="shared" si="24"/>
        <v>83.481000000000009</v>
      </c>
      <c r="Q34" s="74">
        <f t="shared" si="24"/>
        <v>662.76099999999997</v>
      </c>
      <c r="R34" s="74">
        <f t="shared" si="24"/>
        <v>83.481000000000009</v>
      </c>
      <c r="S34" s="74">
        <f t="shared" si="24"/>
        <v>83.481000000000009</v>
      </c>
      <c r="T34" s="74">
        <f t="shared" si="24"/>
        <v>62.811999999999998</v>
      </c>
      <c r="U34" s="74">
        <f t="shared" si="24"/>
        <v>62.811999999999998</v>
      </c>
      <c r="V34" s="74">
        <f t="shared" si="24"/>
        <v>62.811999999999998</v>
      </c>
      <c r="W34" s="74">
        <f t="shared" si="24"/>
        <v>62.811999999999998</v>
      </c>
      <c r="X34" s="74">
        <f t="shared" si="24"/>
        <v>41.554000000000002</v>
      </c>
      <c r="Y34" s="74">
        <f t="shared" si="24"/>
        <v>41.554000000000002</v>
      </c>
      <c r="Z34" s="74">
        <f t="shared" si="24"/>
        <v>41.554000000000002</v>
      </c>
      <c r="AA34" s="74">
        <f t="shared" si="24"/>
        <v>41.554000000000002</v>
      </c>
      <c r="AB34" s="74">
        <f t="shared" si="24"/>
        <v>27.678000000000001</v>
      </c>
      <c r="AC34" s="75">
        <f t="shared" si="24"/>
        <v>27.678000000000001</v>
      </c>
      <c r="AD34" s="620">
        <f t="shared" si="18"/>
        <v>571.77499999999986</v>
      </c>
      <c r="AE34" s="1099" t="s">
        <v>494</v>
      </c>
      <c r="AF34" s="1074"/>
    </row>
    <row r="35" spans="1:88" s="80" customFormat="1" ht="17.5" customHeight="1" x14ac:dyDescent="0.3">
      <c r="B35" s="114" t="s">
        <v>480</v>
      </c>
      <c r="C35" s="97"/>
      <c r="D35" s="577"/>
      <c r="E35" s="97"/>
      <c r="F35" s="97"/>
      <c r="G35" s="97"/>
      <c r="H35" s="108"/>
      <c r="I35" s="108"/>
      <c r="J35" s="108"/>
      <c r="K35" s="108"/>
      <c r="L35" s="108"/>
      <c r="M35" s="133"/>
      <c r="N35" s="133">
        <f>0.6*C64*4</f>
        <v>868.91999999999985</v>
      </c>
      <c r="O35" s="934"/>
      <c r="P35" s="74"/>
      <c r="Q35" s="74">
        <f>0.4*C64*4</f>
        <v>579.28</v>
      </c>
      <c r="R35" s="74"/>
      <c r="S35" s="74"/>
      <c r="T35" s="74"/>
      <c r="U35" s="74"/>
      <c r="V35" s="74"/>
      <c r="W35" s="74"/>
      <c r="X35" s="74"/>
      <c r="Y35" s="74"/>
      <c r="Z35" s="74"/>
      <c r="AA35" s="74"/>
      <c r="AB35" s="74"/>
      <c r="AC35" s="75"/>
      <c r="AD35" s="620">
        <f t="shared" si="18"/>
        <v>362.04999999999995</v>
      </c>
      <c r="AE35" s="129" t="s">
        <v>495</v>
      </c>
      <c r="AF35" s="129"/>
    </row>
    <row r="36" spans="1:88" s="80" customFormat="1" x14ac:dyDescent="0.3">
      <c r="B36" s="114" t="s">
        <v>193</v>
      </c>
      <c r="C36" s="97"/>
      <c r="D36" s="577"/>
      <c r="E36" s="97"/>
      <c r="F36" s="97"/>
      <c r="G36" s="97"/>
      <c r="H36" s="108"/>
      <c r="I36" s="108"/>
      <c r="J36" s="108"/>
      <c r="K36" s="108"/>
      <c r="L36" s="108"/>
      <c r="M36" s="133"/>
      <c r="N36" s="133">
        <f>'ARP Quarterly'!D9</f>
        <v>24.693999999999999</v>
      </c>
      <c r="O36" s="934">
        <f>'ARP Quarterly'!E9</f>
        <v>24.693999999999999</v>
      </c>
      <c r="P36" s="74">
        <f>'ARP Quarterly'!F9</f>
        <v>46.79</v>
      </c>
      <c r="Q36" s="74">
        <f>'ARP Quarterly'!G9</f>
        <v>46.79</v>
      </c>
      <c r="R36" s="74">
        <f>'ARP Quarterly'!H9</f>
        <v>46.79</v>
      </c>
      <c r="S36" s="74">
        <f>'ARP Quarterly'!I9</f>
        <v>46.79</v>
      </c>
      <c r="T36" s="74">
        <f>'ARP Quarterly'!J9</f>
        <v>38.595999999999997</v>
      </c>
      <c r="U36" s="74">
        <f>'ARP Quarterly'!K9</f>
        <v>38.595999999999997</v>
      </c>
      <c r="V36" s="74">
        <f>'ARP Quarterly'!L9</f>
        <v>38.595999999999997</v>
      </c>
      <c r="W36" s="74">
        <f>'ARP Quarterly'!M9</f>
        <v>38.595999999999997</v>
      </c>
      <c r="X36" s="74">
        <f>'ARP Quarterly'!N9</f>
        <v>31.911000000000001</v>
      </c>
      <c r="Y36" s="74">
        <f>'ARP Quarterly'!O9</f>
        <v>31.911000000000001</v>
      </c>
      <c r="Z36" s="74">
        <f>'ARP Quarterly'!P9</f>
        <v>31.911000000000001</v>
      </c>
      <c r="AA36" s="74">
        <f>'ARP Quarterly'!Q9</f>
        <v>31.911000000000001</v>
      </c>
      <c r="AB36" s="74">
        <f>'ARP Quarterly'!R9</f>
        <v>23.099</v>
      </c>
      <c r="AC36" s="75">
        <f>'ARP Quarterly'!S9</f>
        <v>23.099</v>
      </c>
      <c r="AD36" s="620">
        <f t="shared" si="18"/>
        <v>113.68849999999999</v>
      </c>
      <c r="AE36" s="133"/>
    </row>
    <row r="37" spans="1:88" s="80" customFormat="1" x14ac:dyDescent="0.3">
      <c r="B37" s="114" t="s">
        <v>195</v>
      </c>
      <c r="C37" s="97"/>
      <c r="D37" s="577"/>
      <c r="E37" s="97"/>
      <c r="F37" s="97"/>
      <c r="G37" s="97"/>
      <c r="H37" s="108"/>
      <c r="I37" s="108"/>
      <c r="J37" s="108"/>
      <c r="K37" s="108"/>
      <c r="L37" s="108"/>
      <c r="M37" s="133"/>
      <c r="N37" s="133">
        <f>'ARP Quarterly'!D14</f>
        <v>0.76160000000000005</v>
      </c>
      <c r="O37" s="934">
        <f>'ARP Quarterly'!E14</f>
        <v>1.9584000000000001</v>
      </c>
      <c r="P37" s="74">
        <f>'ARP Quarterly'!F14</f>
        <v>1.02</v>
      </c>
      <c r="Q37" s="74">
        <f>'ARP Quarterly'!G14</f>
        <v>1.02</v>
      </c>
      <c r="R37" s="74">
        <f>'ARP Quarterly'!H14</f>
        <v>1.02</v>
      </c>
      <c r="S37" s="74">
        <f>'ARP Quarterly'!I14</f>
        <v>1.02</v>
      </c>
      <c r="T37" s="74">
        <f>'ARP Quarterly'!J14</f>
        <v>0</v>
      </c>
      <c r="U37" s="74">
        <f>'ARP Quarterly'!K14</f>
        <v>0</v>
      </c>
      <c r="V37" s="74">
        <f>'ARP Quarterly'!L14</f>
        <v>0</v>
      </c>
      <c r="W37" s="74">
        <f>'ARP Quarterly'!M14</f>
        <v>0</v>
      </c>
      <c r="X37" s="74">
        <f>'ARP Quarterly'!N14</f>
        <v>0</v>
      </c>
      <c r="Y37" s="74">
        <f>'ARP Quarterly'!O14</f>
        <v>0</v>
      </c>
      <c r="Z37" s="74">
        <f>'ARP Quarterly'!P14</f>
        <v>0</v>
      </c>
      <c r="AA37" s="74">
        <f>'ARP Quarterly'!Q14</f>
        <v>0</v>
      </c>
      <c r="AB37" s="74">
        <f>'ARP Quarterly'!R14</f>
        <v>0</v>
      </c>
      <c r="AC37" s="75">
        <f>'ARP Quarterly'!S14</f>
        <v>0</v>
      </c>
      <c r="AD37" s="620">
        <f t="shared" si="18"/>
        <v>1.6999999999999997</v>
      </c>
      <c r="AE37" s="133"/>
    </row>
    <row r="38" spans="1:88" s="80" customFormat="1" x14ac:dyDescent="0.3">
      <c r="B38" s="114" t="s">
        <v>496</v>
      </c>
      <c r="C38" s="97"/>
      <c r="D38" s="577"/>
      <c r="E38" s="97"/>
      <c r="F38" s="97"/>
      <c r="G38" s="97"/>
      <c r="H38" s="108"/>
      <c r="I38" s="108"/>
      <c r="J38" s="108"/>
      <c r="K38" s="108"/>
      <c r="L38" s="108"/>
      <c r="M38" s="133"/>
      <c r="N38" s="133">
        <f>'ARP Quarterly'!D10</f>
        <v>59.256</v>
      </c>
      <c r="O38" s="934">
        <f>'ARP Quarterly'!E10</f>
        <v>59.256</v>
      </c>
      <c r="P38" s="74">
        <f>'ARP Quarterly'!F10</f>
        <v>35.671000000000006</v>
      </c>
      <c r="Q38" s="74">
        <f>'ARP Quarterly'!G10</f>
        <v>35.671000000000006</v>
      </c>
      <c r="R38" s="74">
        <f>'ARP Quarterly'!H10</f>
        <v>35.671000000000006</v>
      </c>
      <c r="S38" s="74">
        <f>'ARP Quarterly'!I10</f>
        <v>35.671000000000006</v>
      </c>
      <c r="T38" s="74">
        <f>'ARP Quarterly'!J10</f>
        <v>24.216000000000001</v>
      </c>
      <c r="U38" s="74">
        <f>'ARP Quarterly'!K10</f>
        <v>24.216000000000001</v>
      </c>
      <c r="V38" s="74">
        <f>'ARP Quarterly'!L10</f>
        <v>24.216000000000001</v>
      </c>
      <c r="W38" s="74">
        <f>'ARP Quarterly'!M10</f>
        <v>24.216000000000001</v>
      </c>
      <c r="X38" s="74">
        <f>'ARP Quarterly'!N10</f>
        <v>9.6430000000000007</v>
      </c>
      <c r="Y38" s="74">
        <f>'ARP Quarterly'!O10</f>
        <v>9.6430000000000007</v>
      </c>
      <c r="Z38" s="74">
        <f>'ARP Quarterly'!P10</f>
        <v>9.6430000000000007</v>
      </c>
      <c r="AA38" s="74">
        <f>'ARP Quarterly'!Q10</f>
        <v>9.6430000000000007</v>
      </c>
      <c r="AB38" s="74">
        <f>'ARP Quarterly'!R10</f>
        <v>4.5789999999999997</v>
      </c>
      <c r="AC38" s="75">
        <f>'ARP Quarterly'!S10</f>
        <v>4.5789999999999997</v>
      </c>
      <c r="AD38" s="620">
        <f t="shared" si="18"/>
        <v>94.336500000000001</v>
      </c>
      <c r="AE38" s="133"/>
    </row>
    <row r="39" spans="1:88" s="111" customFormat="1" x14ac:dyDescent="0.3">
      <c r="A39" s="80"/>
      <c r="B39" s="123"/>
      <c r="C39" s="264"/>
      <c r="D39" s="579"/>
      <c r="E39" s="264"/>
      <c r="F39" s="264"/>
      <c r="G39" s="264"/>
      <c r="H39" s="617"/>
      <c r="I39" s="617"/>
      <c r="J39" s="617"/>
      <c r="K39" s="617"/>
      <c r="L39" s="617"/>
      <c r="M39" s="619"/>
      <c r="N39" s="619"/>
      <c r="O39" s="618"/>
      <c r="P39" s="131"/>
      <c r="Q39" s="131"/>
      <c r="R39" s="131"/>
      <c r="S39" s="131"/>
      <c r="T39" s="131"/>
      <c r="U39" s="131"/>
      <c r="V39" s="131"/>
      <c r="W39" s="131"/>
      <c r="X39" s="131"/>
      <c r="Y39" s="131"/>
      <c r="Z39" s="131"/>
      <c r="AA39" s="131"/>
      <c r="AB39" s="131"/>
      <c r="AC39" s="132"/>
      <c r="AD39" s="618"/>
      <c r="AE39" s="133"/>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80"/>
      <c r="BG39" s="80"/>
      <c r="BH39" s="80"/>
      <c r="BI39" s="80"/>
      <c r="BJ39" s="80"/>
      <c r="BK39" s="80"/>
      <c r="BL39" s="80"/>
      <c r="BM39" s="80"/>
      <c r="BN39" s="80"/>
      <c r="BO39" s="80"/>
      <c r="BP39" s="80"/>
      <c r="BQ39" s="80"/>
      <c r="BR39" s="80"/>
      <c r="BS39" s="80"/>
      <c r="BT39" s="80"/>
      <c r="BU39" s="80"/>
      <c r="BV39" s="80"/>
      <c r="BW39" s="80"/>
      <c r="BX39" s="80"/>
      <c r="BY39" s="80"/>
      <c r="BZ39" s="80"/>
      <c r="CA39" s="80"/>
      <c r="CB39" s="80"/>
      <c r="CC39" s="80"/>
      <c r="CD39" s="80"/>
      <c r="CE39" s="80"/>
      <c r="CF39" s="80"/>
      <c r="CG39" s="80"/>
      <c r="CH39" s="80"/>
      <c r="CI39" s="80"/>
      <c r="CJ39" s="80"/>
    </row>
    <row r="40" spans="1:88" s="80" customFormat="1" x14ac:dyDescent="0.35">
      <c r="B40" s="112"/>
      <c r="C40" s="97"/>
      <c r="D40" s="97"/>
      <c r="E40" s="97"/>
      <c r="F40" s="97"/>
      <c r="G40" s="97"/>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row>
    <row r="41" spans="1:88" s="80" customFormat="1" x14ac:dyDescent="0.35">
      <c r="B41" s="112"/>
      <c r="C41" s="97"/>
      <c r="D41" s="97"/>
      <c r="E41" s="97"/>
      <c r="F41" s="97"/>
      <c r="G41" s="97"/>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row>
    <row r="42" spans="1:88" s="39" customFormat="1" ht="17.5" customHeight="1" x14ac:dyDescent="0.3">
      <c r="B42" s="134" t="s">
        <v>497</v>
      </c>
      <c r="H42" s="76"/>
      <c r="I42" s="76"/>
      <c r="J42" s="76"/>
      <c r="K42" s="76"/>
      <c r="L42" s="76"/>
      <c r="M42" s="76"/>
      <c r="N42" s="108"/>
      <c r="O42" s="108"/>
      <c r="P42" s="108"/>
      <c r="Q42" s="108"/>
      <c r="R42" s="108"/>
      <c r="S42" s="108"/>
      <c r="T42" s="108"/>
      <c r="U42" s="108"/>
      <c r="V42" s="108"/>
      <c r="W42" s="108"/>
      <c r="X42" s="108"/>
      <c r="Y42" s="108"/>
      <c r="Z42" s="108"/>
      <c r="AA42" s="108"/>
      <c r="AB42" s="108"/>
      <c r="AC42" s="108"/>
      <c r="AD42" s="108"/>
      <c r="AE42" s="108"/>
    </row>
    <row r="43" spans="1:88" s="39" customFormat="1" ht="29.5" customHeight="1" x14ac:dyDescent="0.3">
      <c r="B43" s="936" t="s">
        <v>498</v>
      </c>
      <c r="C43" s="937" t="s">
        <v>499</v>
      </c>
      <c r="D43" s="938" t="s">
        <v>500</v>
      </c>
      <c r="E43" s="434" t="s">
        <v>501</v>
      </c>
      <c r="F43" s="76"/>
      <c r="G43" s="76"/>
      <c r="H43" s="76"/>
      <c r="I43" s="76"/>
      <c r="J43" s="108"/>
      <c r="K43" s="108"/>
      <c r="L43" s="108"/>
      <c r="M43" s="108"/>
      <c r="N43" s="108"/>
      <c r="O43" s="108"/>
      <c r="P43" s="108"/>
      <c r="Q43" s="108"/>
      <c r="R43" s="108"/>
      <c r="S43" s="108"/>
      <c r="T43" s="108"/>
      <c r="U43" s="108"/>
      <c r="V43" s="108"/>
      <c r="W43" s="108"/>
    </row>
    <row r="44" spans="1:88" s="39" customFormat="1" ht="18.649999999999999" customHeight="1" x14ac:dyDescent="0.3">
      <c r="B44" s="98" t="s">
        <v>502</v>
      </c>
      <c r="C44" s="127">
        <f>SUM(C45:C50)</f>
        <v>898.11599999999999</v>
      </c>
      <c r="D44" s="76">
        <f>SUM(D45:D49)</f>
        <v>203.64166666666668</v>
      </c>
      <c r="E44" s="48">
        <f>SUM(E45:E49)</f>
        <v>649.07733333333329</v>
      </c>
      <c r="F44" s="76"/>
      <c r="G44" s="76"/>
      <c r="H44" s="76"/>
      <c r="I44" s="76"/>
      <c r="J44" s="108"/>
      <c r="K44" s="108"/>
      <c r="L44" s="108"/>
      <c r="M44" s="108"/>
      <c r="N44" s="108"/>
      <c r="O44" s="108"/>
      <c r="P44" s="108"/>
      <c r="Q44" s="108"/>
      <c r="R44" s="108"/>
      <c r="S44" s="108"/>
      <c r="T44" s="108"/>
      <c r="U44" s="108"/>
      <c r="V44" s="108"/>
      <c r="W44" s="108"/>
    </row>
    <row r="45" spans="1:88" s="39" customFormat="1" x14ac:dyDescent="0.3">
      <c r="B45" s="95" t="s">
        <v>192</v>
      </c>
      <c r="C45" s="127">
        <f>C54</f>
        <v>150</v>
      </c>
      <c r="D45" s="76">
        <f>SUM(H12:M12)/4</f>
        <v>149.47499999999999</v>
      </c>
      <c r="E45" s="116">
        <f>C45-D45</f>
        <v>0.52500000000000568</v>
      </c>
      <c r="F45" s="76"/>
      <c r="G45" s="76"/>
      <c r="H45" s="76"/>
      <c r="I45" s="137"/>
      <c r="J45" s="137"/>
      <c r="K45" s="137"/>
      <c r="L45" s="137"/>
      <c r="M45" s="137"/>
      <c r="N45" s="137"/>
      <c r="O45" s="137"/>
      <c r="P45" s="137"/>
      <c r="Q45" s="108"/>
      <c r="R45" s="108"/>
      <c r="S45" s="108"/>
      <c r="T45" s="108"/>
      <c r="U45" s="108"/>
      <c r="V45" s="108"/>
      <c r="W45" s="108"/>
    </row>
    <row r="46" spans="1:88" s="39" customFormat="1" x14ac:dyDescent="0.3">
      <c r="B46" s="95" t="s">
        <v>193</v>
      </c>
      <c r="C46" s="107">
        <f>C55+C59+C65</f>
        <v>273.16899999999998</v>
      </c>
      <c r="D46" s="76">
        <f>SUM(H13:M13)/4</f>
        <v>22.075000000000003</v>
      </c>
      <c r="E46" s="116">
        <f>C46-D46</f>
        <v>251.09399999999999</v>
      </c>
      <c r="F46" s="76"/>
      <c r="G46" s="76"/>
      <c r="H46" s="76"/>
      <c r="I46" s="137"/>
      <c r="J46" s="137"/>
      <c r="K46" s="137"/>
      <c r="L46" s="137"/>
      <c r="M46" s="137"/>
      <c r="N46" s="137"/>
      <c r="O46" s="137"/>
      <c r="P46" s="137"/>
      <c r="Q46" s="108"/>
      <c r="R46" s="108"/>
      <c r="S46" s="108"/>
      <c r="T46" s="108"/>
      <c r="U46" s="108"/>
      <c r="V46" s="108"/>
      <c r="W46" s="108"/>
    </row>
    <row r="47" spans="1:88" s="39" customFormat="1" x14ac:dyDescent="0.3">
      <c r="B47" s="95" t="s">
        <v>195</v>
      </c>
      <c r="C47" s="125">
        <f>C56+C66+C60</f>
        <v>38.5</v>
      </c>
      <c r="D47" s="76">
        <f>SUM(H14:M14)/4</f>
        <v>29.675000000000004</v>
      </c>
      <c r="E47" s="116">
        <f>C47-D47</f>
        <v>8.8249999999999957</v>
      </c>
      <c r="F47" s="76"/>
      <c r="G47" s="76"/>
      <c r="H47" s="76"/>
      <c r="I47" s="137"/>
      <c r="J47" s="137"/>
      <c r="K47" s="137"/>
      <c r="L47" s="137"/>
      <c r="M47" s="137"/>
      <c r="N47" s="137"/>
      <c r="O47" s="137"/>
      <c r="P47" s="137"/>
      <c r="Q47" s="1115"/>
      <c r="R47" s="1115"/>
      <c r="S47" s="1115"/>
      <c r="T47" s="1115"/>
      <c r="U47" s="1115"/>
      <c r="V47" s="1115"/>
      <c r="W47" s="1115"/>
      <c r="X47" s="1115"/>
      <c r="Y47" s="1115"/>
      <c r="Z47" s="1115"/>
      <c r="AA47" s="1115"/>
      <c r="AB47" s="1115"/>
      <c r="AC47" s="1115"/>
      <c r="AD47" s="1115"/>
      <c r="AE47" s="1115"/>
      <c r="AF47" s="1115"/>
      <c r="AG47" s="1115"/>
      <c r="AH47" s="1115"/>
    </row>
    <row r="48" spans="1:88" s="39" customFormat="1" ht="17.149999999999999" customHeight="1" x14ac:dyDescent="0.3">
      <c r="B48" s="95" t="s">
        <v>503</v>
      </c>
      <c r="C48" s="125">
        <f>C58</f>
        <v>29</v>
      </c>
      <c r="D48" s="76">
        <f>SUM(H15:M15)/4</f>
        <v>2.4166666666666665</v>
      </c>
      <c r="E48" s="116">
        <f>C48-D48</f>
        <v>26.583333333333332</v>
      </c>
      <c r="F48" s="76"/>
      <c r="G48" s="76"/>
      <c r="H48" s="76"/>
      <c r="I48" s="137"/>
      <c r="J48" s="137"/>
      <c r="K48" s="137"/>
      <c r="L48" s="137"/>
      <c r="M48" s="137"/>
      <c r="N48" s="137"/>
      <c r="O48" s="137"/>
      <c r="P48" s="137"/>
      <c r="Q48" s="1073"/>
      <c r="R48" s="1073"/>
      <c r="S48" s="1073"/>
      <c r="T48" s="1073"/>
      <c r="U48" s="1073"/>
      <c r="V48" s="1073"/>
      <c r="W48" s="1073"/>
      <c r="X48" s="1073"/>
      <c r="Y48" s="1073"/>
      <c r="Z48" s="43"/>
      <c r="AA48" s="43"/>
      <c r="AB48" s="43"/>
      <c r="AC48" s="43"/>
      <c r="AD48" s="1073"/>
      <c r="AE48" s="1073"/>
      <c r="AF48" s="1073"/>
      <c r="AG48" s="1073"/>
      <c r="AH48" s="43"/>
    </row>
    <row r="49" spans="1:34" s="39" customFormat="1" ht="15.65" customHeight="1" x14ac:dyDescent="0.3">
      <c r="B49" s="95" t="s">
        <v>480</v>
      </c>
      <c r="C49" s="125">
        <f>C64</f>
        <v>362.04999999999995</v>
      </c>
      <c r="D49" s="76">
        <v>0</v>
      </c>
      <c r="E49" s="116">
        <f>C49-D49</f>
        <v>362.04999999999995</v>
      </c>
      <c r="F49" s="76"/>
      <c r="G49" s="76"/>
      <c r="H49" s="76"/>
      <c r="I49" s="137"/>
      <c r="J49" s="137"/>
      <c r="K49" s="137"/>
      <c r="L49" s="137"/>
      <c r="M49" s="137"/>
      <c r="N49" s="137"/>
      <c r="O49" s="137"/>
      <c r="P49" s="137"/>
      <c r="Q49" s="43"/>
      <c r="R49" s="43"/>
      <c r="S49" s="43"/>
      <c r="T49" s="43"/>
      <c r="U49" s="43"/>
      <c r="V49" s="43"/>
      <c r="W49" s="43"/>
      <c r="X49" s="43"/>
      <c r="Y49" s="43"/>
      <c r="Z49" s="43"/>
      <c r="AA49" s="43"/>
      <c r="AB49" s="43"/>
      <c r="AC49" s="43"/>
      <c r="AD49" s="43"/>
      <c r="AE49" s="43"/>
      <c r="AF49" s="43"/>
      <c r="AG49" s="43"/>
      <c r="AH49" s="43"/>
    </row>
    <row r="50" spans="1:34" s="39" customFormat="1" ht="15" customHeight="1" x14ac:dyDescent="0.3">
      <c r="B50" s="92" t="s">
        <v>504</v>
      </c>
      <c r="C50" s="127">
        <f>C67+C68+C61+C62</f>
        <v>45.396999999999998</v>
      </c>
      <c r="D50" s="76"/>
      <c r="E50" s="116"/>
      <c r="F50" s="76"/>
      <c r="G50" s="76"/>
      <c r="H50" s="76"/>
      <c r="I50" s="137"/>
      <c r="J50" s="137"/>
      <c r="K50" s="137"/>
      <c r="L50" s="137"/>
      <c r="M50" s="137"/>
      <c r="N50" s="137"/>
      <c r="O50" s="137"/>
      <c r="P50" s="137"/>
      <c r="Q50" s="108"/>
      <c r="R50" s="108"/>
      <c r="S50" s="108"/>
      <c r="T50" s="108"/>
      <c r="U50" s="108"/>
      <c r="V50" s="108"/>
      <c r="W50" s="108"/>
    </row>
    <row r="51" spans="1:34" s="39" customFormat="1" ht="5.15" customHeight="1" x14ac:dyDescent="0.3">
      <c r="B51" s="92"/>
      <c r="C51" s="127"/>
      <c r="D51" s="76"/>
      <c r="E51" s="116"/>
      <c r="F51" s="76"/>
      <c r="G51" s="76"/>
      <c r="H51" s="76"/>
      <c r="I51" s="137"/>
      <c r="J51" s="137"/>
      <c r="K51" s="137"/>
      <c r="L51" s="137"/>
      <c r="M51" s="137"/>
      <c r="N51" s="137"/>
      <c r="O51" s="137"/>
      <c r="P51" s="137"/>
      <c r="Q51" s="108"/>
      <c r="R51" s="108"/>
      <c r="S51" s="108"/>
      <c r="T51" s="108"/>
      <c r="U51" s="108"/>
      <c r="V51" s="108"/>
      <c r="W51" s="108"/>
    </row>
    <row r="52" spans="1:34" s="39" customFormat="1" ht="18.649999999999999" customHeight="1" x14ac:dyDescent="0.3">
      <c r="B52" s="98" t="s">
        <v>505</v>
      </c>
      <c r="C52" s="125">
        <f>C53+C57+C63</f>
        <v>898.11599999999999</v>
      </c>
      <c r="D52" s="76"/>
      <c r="E52" s="116"/>
      <c r="F52" s="76"/>
      <c r="G52" s="76"/>
      <c r="H52" s="76"/>
      <c r="I52" s="137"/>
      <c r="J52" s="137"/>
      <c r="K52" s="137"/>
      <c r="L52" s="137"/>
      <c r="M52" s="137"/>
      <c r="N52" s="137"/>
      <c r="O52" s="137"/>
      <c r="P52" s="137"/>
      <c r="Q52" s="108"/>
      <c r="R52" s="108"/>
      <c r="S52" s="108"/>
      <c r="T52" s="108"/>
      <c r="U52" s="108"/>
      <c r="V52" s="108"/>
      <c r="W52" s="108"/>
    </row>
    <row r="53" spans="1:34" s="39" customFormat="1" ht="16" customHeight="1" x14ac:dyDescent="0.3">
      <c r="B53" s="73" t="s">
        <v>486</v>
      </c>
      <c r="C53" s="125">
        <f>SUM(C54:C56)</f>
        <v>199</v>
      </c>
      <c r="D53" s="76"/>
      <c r="E53" s="116"/>
      <c r="F53" s="76"/>
      <c r="G53" s="76"/>
      <c r="H53" s="76"/>
      <c r="I53" s="137"/>
      <c r="J53" s="137"/>
      <c r="K53" s="137"/>
      <c r="L53" s="137"/>
      <c r="M53" s="137"/>
      <c r="N53" s="137"/>
      <c r="O53" s="137"/>
      <c r="P53" s="137"/>
      <c r="Q53" s="108"/>
      <c r="R53" s="108"/>
      <c r="S53" s="108"/>
      <c r="T53" s="108"/>
      <c r="U53" s="108"/>
      <c r="V53" s="108"/>
      <c r="W53" s="108"/>
    </row>
    <row r="54" spans="1:34" s="39" customFormat="1" ht="20.5" customHeight="1" x14ac:dyDescent="0.3">
      <c r="B54" s="114" t="s">
        <v>192</v>
      </c>
      <c r="C54" s="125">
        <v>150</v>
      </c>
      <c r="D54" s="76"/>
      <c r="E54" s="116"/>
      <c r="F54" s="76"/>
      <c r="G54" s="76"/>
      <c r="H54" s="76"/>
      <c r="I54" s="137"/>
      <c r="J54" s="137"/>
      <c r="K54" s="137"/>
      <c r="L54" s="137"/>
      <c r="M54" s="137"/>
      <c r="N54" s="137"/>
      <c r="O54" s="137"/>
      <c r="P54" s="137"/>
      <c r="Q54" s="108"/>
      <c r="R54" s="108"/>
      <c r="S54" s="108"/>
      <c r="T54" s="108"/>
      <c r="U54" s="108"/>
      <c r="V54" s="108"/>
      <c r="W54" s="108"/>
    </row>
    <row r="55" spans="1:34" s="39" customFormat="1" ht="16.5" customHeight="1" x14ac:dyDescent="0.3">
      <c r="B55" s="114" t="s">
        <v>193</v>
      </c>
      <c r="C55" s="106">
        <v>22</v>
      </c>
      <c r="D55" s="88"/>
      <c r="E55" s="116"/>
      <c r="F55" s="76"/>
      <c r="G55" s="76"/>
      <c r="H55" s="76"/>
      <c r="I55" s="137"/>
      <c r="J55" s="137"/>
      <c r="K55" s="137"/>
      <c r="L55" s="137"/>
      <c r="M55" s="137"/>
      <c r="N55" s="137"/>
      <c r="O55" s="137"/>
      <c r="P55" s="137"/>
      <c r="Q55" s="108"/>
      <c r="R55" s="108"/>
      <c r="S55" s="108"/>
      <c r="T55" s="108"/>
      <c r="U55" s="108"/>
      <c r="V55" s="108"/>
      <c r="W55" s="108"/>
    </row>
    <row r="56" spans="1:34" s="39" customFormat="1" x14ac:dyDescent="0.3">
      <c r="B56" s="114" t="s">
        <v>195</v>
      </c>
      <c r="C56" s="125">
        <v>27</v>
      </c>
      <c r="D56" s="76"/>
      <c r="E56" s="116"/>
      <c r="F56" s="97"/>
      <c r="G56" s="76"/>
      <c r="H56" s="76"/>
      <c r="I56" s="137"/>
      <c r="J56" s="137"/>
      <c r="K56" s="137"/>
      <c r="L56" s="137"/>
      <c r="M56" s="137"/>
      <c r="N56" s="137"/>
      <c r="P56" s="137"/>
      <c r="Q56" s="108"/>
      <c r="R56" s="108"/>
      <c r="S56" s="108"/>
      <c r="T56" s="108"/>
      <c r="U56" s="108"/>
      <c r="V56" s="108"/>
      <c r="W56" s="108"/>
    </row>
    <row r="57" spans="1:34" s="39" customFormat="1" ht="15" customHeight="1" x14ac:dyDescent="0.3">
      <c r="B57" s="73" t="s">
        <v>488</v>
      </c>
      <c r="C57" s="125">
        <f>SUM(C58:C62)</f>
        <v>150</v>
      </c>
      <c r="D57" s="76"/>
      <c r="E57" s="116"/>
      <c r="F57" s="76"/>
      <c r="G57" s="76"/>
      <c r="H57" s="76"/>
      <c r="I57" s="76"/>
      <c r="J57" s="108"/>
      <c r="K57" s="108"/>
      <c r="L57" s="108"/>
      <c r="M57" s="108"/>
      <c r="N57" s="108"/>
      <c r="P57" s="108"/>
      <c r="Q57" s="108"/>
      <c r="R57" s="108"/>
      <c r="S57" s="108"/>
      <c r="T57" s="108"/>
      <c r="U57" s="108"/>
      <c r="V57" s="108"/>
      <c r="W57" s="108"/>
    </row>
    <row r="58" spans="1:34" s="39" customFormat="1" ht="17.149999999999999" customHeight="1" x14ac:dyDescent="0.3">
      <c r="B58" s="114" t="s">
        <v>475</v>
      </c>
      <c r="C58" s="125">
        <f>'Response and Relief Act Score'!F7</f>
        <v>29</v>
      </c>
      <c r="D58" s="76"/>
      <c r="E58" s="116"/>
      <c r="F58" s="76"/>
      <c r="G58" s="76"/>
      <c r="H58" s="76"/>
      <c r="I58" s="76"/>
    </row>
    <row r="59" spans="1:34" s="39" customFormat="1" x14ac:dyDescent="0.3">
      <c r="B59" s="114" t="s">
        <v>193</v>
      </c>
      <c r="C59" s="125">
        <f>'Response and Relief Act Score'!F5</f>
        <v>82</v>
      </c>
      <c r="D59" s="76"/>
      <c r="E59" s="116"/>
      <c r="F59" s="76"/>
      <c r="G59" s="76"/>
      <c r="H59" s="76"/>
      <c r="I59" s="76"/>
      <c r="J59" s="108"/>
      <c r="K59" s="108"/>
      <c r="L59" s="108"/>
      <c r="M59" s="108"/>
      <c r="N59" s="108"/>
      <c r="P59" s="108"/>
      <c r="Q59" s="108"/>
      <c r="R59" s="108"/>
      <c r="S59" s="108"/>
      <c r="T59" s="108"/>
      <c r="U59" s="108"/>
      <c r="V59" s="108"/>
      <c r="W59" s="108"/>
    </row>
    <row r="60" spans="1:34" s="39" customFormat="1" x14ac:dyDescent="0.3">
      <c r="B60" s="114" t="s">
        <v>195</v>
      </c>
      <c r="C60" s="125">
        <f>'Response and Relief Act Score'!F6</f>
        <v>3</v>
      </c>
      <c r="D60" s="76"/>
      <c r="E60" s="116"/>
      <c r="F60" s="76"/>
      <c r="G60" s="76"/>
      <c r="H60" s="76"/>
      <c r="I60" s="76"/>
      <c r="J60" s="108"/>
      <c r="K60" s="108"/>
      <c r="L60" s="108"/>
      <c r="M60" s="108"/>
      <c r="N60" s="108"/>
      <c r="P60" s="108"/>
      <c r="Q60" s="108"/>
      <c r="R60" s="108"/>
      <c r="S60" s="108"/>
      <c r="T60" s="108"/>
      <c r="U60" s="108"/>
      <c r="V60" s="108"/>
      <c r="W60" s="108"/>
    </row>
    <row r="61" spans="1:34" s="39" customFormat="1" x14ac:dyDescent="0.3">
      <c r="B61" s="114" t="s">
        <v>491</v>
      </c>
      <c r="C61" s="125">
        <f>'Response and Relief Act Score'!F9</f>
        <v>34</v>
      </c>
      <c r="D61" s="76"/>
      <c r="E61" s="116"/>
      <c r="F61" s="76"/>
      <c r="G61" s="76"/>
      <c r="H61" s="76"/>
      <c r="I61" s="135"/>
      <c r="J61" s="108"/>
      <c r="K61" s="108"/>
      <c r="L61" s="108"/>
      <c r="M61" s="108"/>
      <c r="N61" s="108"/>
      <c r="O61" s="137"/>
      <c r="P61" s="108"/>
      <c r="Q61" s="108"/>
      <c r="R61" s="108"/>
      <c r="S61" s="108"/>
      <c r="T61" s="108"/>
      <c r="U61" s="108"/>
      <c r="V61" s="108"/>
      <c r="W61" s="108"/>
    </row>
    <row r="62" spans="1:34" s="39" customFormat="1" ht="12.65" customHeight="1" x14ac:dyDescent="0.3">
      <c r="B62" s="114" t="s">
        <v>492</v>
      </c>
      <c r="C62" s="125">
        <f>'Response and Relief Act Score'!F8</f>
        <v>2</v>
      </c>
      <c r="D62" s="76"/>
      <c r="E62" s="116"/>
      <c r="F62" s="76"/>
      <c r="G62" s="76"/>
      <c r="H62" s="76"/>
      <c r="I62" s="76"/>
      <c r="J62" s="108"/>
      <c r="K62" s="108"/>
      <c r="L62" s="108"/>
      <c r="M62" s="108"/>
      <c r="N62" s="108"/>
      <c r="O62" s="108"/>
      <c r="P62" s="108"/>
      <c r="Q62" s="108"/>
      <c r="R62" s="108"/>
      <c r="S62" s="108"/>
      <c r="T62" s="108"/>
      <c r="U62" s="108"/>
      <c r="V62" s="108"/>
      <c r="W62" s="108"/>
    </row>
    <row r="63" spans="1:34" s="39" customFormat="1" x14ac:dyDescent="0.3">
      <c r="A63" s="122"/>
      <c r="B63" s="120" t="s">
        <v>493</v>
      </c>
      <c r="C63" s="127">
        <f>SUM(C64:C68)</f>
        <v>549.11599999999999</v>
      </c>
      <c r="D63" s="76"/>
      <c r="E63" s="116"/>
      <c r="F63" s="76"/>
      <c r="G63" s="76"/>
      <c r="H63" s="76"/>
      <c r="I63" s="76"/>
      <c r="J63" s="108"/>
      <c r="K63" s="108"/>
      <c r="L63" s="108"/>
      <c r="M63" s="108"/>
      <c r="N63" s="108"/>
      <c r="P63" s="108"/>
      <c r="Q63" s="108"/>
      <c r="R63" s="108"/>
      <c r="S63" s="108"/>
      <c r="T63" s="108"/>
      <c r="U63" s="108"/>
      <c r="V63" s="108"/>
      <c r="W63" s="108"/>
    </row>
    <row r="64" spans="1:34" s="39" customFormat="1" ht="16" customHeight="1" x14ac:dyDescent="0.3">
      <c r="A64" s="122"/>
      <c r="B64" s="121" t="s">
        <v>480</v>
      </c>
      <c r="C64" s="127">
        <f>'ARP Score'!AJ16</f>
        <v>362.04999999999995</v>
      </c>
      <c r="D64" s="76"/>
      <c r="E64" s="116"/>
      <c r="F64" s="76"/>
      <c r="G64" s="76"/>
      <c r="H64" s="76"/>
      <c r="I64" s="76"/>
      <c r="J64" s="108"/>
      <c r="K64" s="108"/>
      <c r="L64" s="108"/>
      <c r="M64" s="108"/>
      <c r="N64" s="108"/>
      <c r="O64" s="108"/>
      <c r="P64" s="108"/>
      <c r="Q64" s="108"/>
      <c r="R64" s="108"/>
      <c r="S64" s="108"/>
      <c r="T64" s="108"/>
      <c r="U64" s="108"/>
      <c r="V64" s="108"/>
      <c r="W64" s="108"/>
    </row>
    <row r="65" spans="1:31" s="39" customFormat="1" ht="15" customHeight="1" x14ac:dyDescent="0.3">
      <c r="A65" s="1114"/>
      <c r="B65" s="121" t="s">
        <v>193</v>
      </c>
      <c r="C65" s="127">
        <f>'ARP Score'!AL16</f>
        <v>169.16899999999998</v>
      </c>
      <c r="D65" s="76"/>
      <c r="E65" s="116"/>
      <c r="F65" s="76"/>
      <c r="G65" s="76"/>
      <c r="H65" s="76"/>
      <c r="I65" s="76"/>
      <c r="J65" s="108"/>
      <c r="K65" s="108"/>
      <c r="L65" s="108"/>
      <c r="M65" s="108"/>
      <c r="N65" s="108"/>
      <c r="O65" s="108"/>
      <c r="P65" s="108"/>
      <c r="Q65" s="108"/>
      <c r="R65" s="108"/>
      <c r="S65" s="108"/>
      <c r="T65" s="108"/>
      <c r="U65" s="108"/>
      <c r="V65" s="108"/>
      <c r="W65" s="108"/>
    </row>
    <row r="66" spans="1:31" s="39" customFormat="1" x14ac:dyDescent="0.3">
      <c r="A66" s="1114"/>
      <c r="B66" s="121" t="s">
        <v>195</v>
      </c>
      <c r="C66" s="127">
        <f>'ARP Score'!AK16</f>
        <v>8.5</v>
      </c>
      <c r="D66" s="76"/>
      <c r="E66" s="116"/>
      <c r="F66" s="76"/>
      <c r="G66" s="76"/>
      <c r="H66" s="76"/>
      <c r="I66" s="76"/>
      <c r="J66" s="108"/>
      <c r="K66" s="108"/>
      <c r="L66" s="108"/>
      <c r="M66" s="108"/>
      <c r="N66" s="108"/>
      <c r="O66" s="108"/>
      <c r="P66" s="108"/>
      <c r="Q66" s="108"/>
      <c r="R66" s="108"/>
      <c r="S66" s="108"/>
      <c r="T66" s="108"/>
      <c r="U66" s="108"/>
      <c r="V66" s="108"/>
      <c r="W66" s="108"/>
    </row>
    <row r="67" spans="1:31" s="39" customFormat="1" ht="17.149999999999999" customHeight="1" x14ac:dyDescent="0.3">
      <c r="A67" s="122"/>
      <c r="B67" s="121" t="s">
        <v>496</v>
      </c>
      <c r="C67" s="127">
        <f>'ARP Score'!AM16</f>
        <v>0.79700000000000004</v>
      </c>
      <c r="D67" s="76"/>
      <c r="E67" s="116"/>
      <c r="F67" s="76"/>
      <c r="G67" s="76"/>
      <c r="H67" s="76"/>
      <c r="I67" s="76"/>
      <c r="J67" s="108"/>
      <c r="K67" s="108"/>
      <c r="L67" s="108"/>
      <c r="M67" s="108"/>
      <c r="N67" s="108"/>
      <c r="O67" s="108"/>
      <c r="P67" s="108"/>
      <c r="Q67" s="108"/>
      <c r="R67" s="108"/>
      <c r="S67" s="108"/>
      <c r="T67" s="108"/>
      <c r="U67" s="108"/>
      <c r="V67" s="108"/>
      <c r="W67" s="108"/>
    </row>
    <row r="68" spans="1:31" s="39" customFormat="1" ht="17.149999999999999" customHeight="1" x14ac:dyDescent="0.3">
      <c r="A68" s="122"/>
      <c r="B68" s="123" t="s">
        <v>506</v>
      </c>
      <c r="C68" s="128">
        <f>'ARP Score'!AN16</f>
        <v>8.6</v>
      </c>
      <c r="D68" s="124"/>
      <c r="E68" s="117"/>
      <c r="F68" s="76"/>
      <c r="G68" s="76"/>
      <c r="H68" s="76"/>
      <c r="I68" s="76"/>
      <c r="J68" s="108"/>
      <c r="K68" s="108"/>
      <c r="L68" s="108"/>
      <c r="M68" s="108"/>
      <c r="N68" s="108"/>
      <c r="O68" s="108"/>
      <c r="P68" s="108"/>
      <c r="Q68" s="108"/>
      <c r="R68" s="108"/>
      <c r="S68" s="108"/>
      <c r="T68" s="108"/>
      <c r="U68" s="108"/>
      <c r="V68" s="108"/>
      <c r="W68" s="108"/>
    </row>
    <row r="69" spans="1:31" s="39" customFormat="1" ht="17.149999999999999" customHeight="1" x14ac:dyDescent="0.3">
      <c r="B69" s="121"/>
      <c r="C69" s="96"/>
      <c r="D69" s="96"/>
      <c r="E69" s="96"/>
      <c r="F69" s="96"/>
      <c r="G69" s="96"/>
      <c r="H69" s="76"/>
      <c r="I69" s="76"/>
      <c r="J69" s="76"/>
      <c r="K69" s="76"/>
      <c r="L69" s="76"/>
      <c r="M69" s="76"/>
      <c r="N69" s="108"/>
      <c r="O69" s="108"/>
      <c r="P69" s="108"/>
      <c r="Q69" s="108"/>
      <c r="R69" s="108"/>
      <c r="S69" s="108"/>
      <c r="T69" s="108"/>
      <c r="U69" s="108"/>
      <c r="V69" s="108"/>
      <c r="W69" s="108"/>
      <c r="X69" s="108"/>
      <c r="Y69" s="108"/>
      <c r="Z69" s="108"/>
      <c r="AA69" s="108"/>
      <c r="AB69" s="108"/>
      <c r="AC69" s="108"/>
      <c r="AD69" s="108"/>
      <c r="AE69" s="108"/>
    </row>
    <row r="70" spans="1:31" s="39" customFormat="1" ht="17.149999999999999" customHeight="1" x14ac:dyDescent="0.3">
      <c r="B70" s="115" t="s">
        <v>507</v>
      </c>
      <c r="C70" s="96"/>
      <c r="D70" s="96"/>
      <c r="E70" s="96"/>
      <c r="F70" s="96"/>
      <c r="G70" s="96"/>
      <c r="H70" s="76"/>
      <c r="I70" s="76"/>
      <c r="J70" s="76"/>
      <c r="K70" s="76"/>
      <c r="L70" s="76"/>
      <c r="M70" s="76"/>
      <c r="N70" s="108"/>
      <c r="O70" s="108"/>
      <c r="P70" s="108"/>
      <c r="Q70" s="108"/>
      <c r="R70" s="108"/>
      <c r="S70" s="108"/>
      <c r="T70" s="108"/>
      <c r="U70" s="108"/>
      <c r="V70" s="108"/>
      <c r="W70" s="108"/>
      <c r="X70" s="108"/>
      <c r="Y70" s="108"/>
      <c r="Z70" s="108"/>
      <c r="AA70" s="108"/>
      <c r="AB70" s="108"/>
      <c r="AC70" s="108"/>
      <c r="AD70" s="108"/>
      <c r="AE70" s="108"/>
    </row>
    <row r="71" spans="1:31" s="39" customFormat="1" ht="14.5" customHeight="1" x14ac:dyDescent="0.3">
      <c r="B71" s="1060" t="s">
        <v>508</v>
      </c>
      <c r="C71" s="1061"/>
      <c r="D71" s="1067" t="s">
        <v>401</v>
      </c>
      <c r="E71" s="1068"/>
      <c r="F71" s="1068"/>
      <c r="G71" s="1068"/>
      <c r="H71" s="1068"/>
      <c r="I71" s="1068"/>
      <c r="J71" s="1068"/>
      <c r="K71" s="1068"/>
      <c r="L71" s="1068"/>
      <c r="M71" s="1068"/>
      <c r="N71" s="1068"/>
      <c r="O71" s="1069"/>
      <c r="P71" s="1096" t="s">
        <v>402</v>
      </c>
      <c r="Q71" s="1097"/>
      <c r="R71" s="1097"/>
      <c r="S71" s="1097"/>
      <c r="T71" s="1097"/>
      <c r="U71" s="1097"/>
      <c r="V71" s="1097"/>
      <c r="W71" s="1097"/>
      <c r="X71" s="1097"/>
      <c r="Y71" s="1097"/>
      <c r="Z71" s="1097"/>
      <c r="AA71" s="1097"/>
      <c r="AB71" s="1097"/>
      <c r="AC71" s="1098"/>
      <c r="AD71" s="181"/>
      <c r="AE71" s="181"/>
    </row>
    <row r="72" spans="1:31" s="39" customFormat="1" x14ac:dyDescent="0.3">
      <c r="B72" s="1062"/>
      <c r="C72" s="1063"/>
      <c r="D72" s="537">
        <v>2018</v>
      </c>
      <c r="E72" s="1057">
        <v>2019</v>
      </c>
      <c r="F72" s="1058"/>
      <c r="G72" s="1058"/>
      <c r="H72" s="1059"/>
      <c r="I72" s="1057">
        <v>2020</v>
      </c>
      <c r="J72" s="1058"/>
      <c r="K72" s="1058"/>
      <c r="L72" s="1059"/>
      <c r="M72" s="1057">
        <v>2021</v>
      </c>
      <c r="N72" s="1058"/>
      <c r="O72" s="1059"/>
      <c r="P72" s="570">
        <v>2021</v>
      </c>
      <c r="Q72" s="1064">
        <v>2022</v>
      </c>
      <c r="R72" s="1065"/>
      <c r="S72" s="1065"/>
      <c r="T72" s="1066"/>
      <c r="U72" s="1064">
        <v>2023</v>
      </c>
      <c r="V72" s="1065"/>
      <c r="W72" s="1065"/>
      <c r="X72" s="1065"/>
      <c r="Y72" s="1064">
        <v>2024</v>
      </c>
      <c r="Z72" s="1065"/>
      <c r="AA72" s="1065"/>
      <c r="AB72" s="1066"/>
      <c r="AC72" s="334">
        <v>2025</v>
      </c>
      <c r="AD72" s="43"/>
      <c r="AE72" s="43"/>
    </row>
    <row r="73" spans="1:31" s="39" customFormat="1" x14ac:dyDescent="0.3">
      <c r="B73" s="1100"/>
      <c r="C73" s="1101"/>
      <c r="D73" s="167" t="s">
        <v>403</v>
      </c>
      <c r="E73" s="167" t="s">
        <v>404</v>
      </c>
      <c r="F73" s="148" t="s">
        <v>405</v>
      </c>
      <c r="G73" s="148" t="s">
        <v>290</v>
      </c>
      <c r="H73" s="155" t="s">
        <v>403</v>
      </c>
      <c r="I73" s="149" t="s">
        <v>404</v>
      </c>
      <c r="J73" s="149" t="s">
        <v>405</v>
      </c>
      <c r="K73" s="149" t="s">
        <v>290</v>
      </c>
      <c r="L73" s="149" t="s">
        <v>403</v>
      </c>
      <c r="M73" s="162" t="s">
        <v>404</v>
      </c>
      <c r="N73" s="149" t="s">
        <v>405</v>
      </c>
      <c r="O73" s="155" t="s">
        <v>290</v>
      </c>
      <c r="P73" s="431" t="s">
        <v>403</v>
      </c>
      <c r="Q73" s="429" t="s">
        <v>404</v>
      </c>
      <c r="R73" s="430" t="s">
        <v>405</v>
      </c>
      <c r="S73" s="430" t="s">
        <v>290</v>
      </c>
      <c r="T73" s="430" t="s">
        <v>403</v>
      </c>
      <c r="U73" s="429" t="s">
        <v>404</v>
      </c>
      <c r="V73" s="430" t="s">
        <v>405</v>
      </c>
      <c r="W73" s="430" t="s">
        <v>290</v>
      </c>
      <c r="X73" s="430" t="s">
        <v>403</v>
      </c>
      <c r="Y73" s="429" t="s">
        <v>404</v>
      </c>
      <c r="Z73" s="394" t="s">
        <v>405</v>
      </c>
      <c r="AA73" s="430" t="s">
        <v>290</v>
      </c>
      <c r="AB73" s="431" t="s">
        <v>403</v>
      </c>
      <c r="AC73" s="71" t="s">
        <v>404</v>
      </c>
      <c r="AD73" s="43"/>
      <c r="AE73" s="43"/>
    </row>
    <row r="74" spans="1:31" s="39" customFormat="1" ht="29.15" customHeight="1" x14ac:dyDescent="0.35">
      <c r="B74" s="447" t="s">
        <v>509</v>
      </c>
      <c r="C74" s="873"/>
      <c r="D74" s="871"/>
      <c r="E74" s="873"/>
      <c r="F74" s="873"/>
      <c r="G74" s="873"/>
      <c r="H74" s="874">
        <f t="shared" ref="H74:AC74" si="25">SUM(H76:H83)</f>
        <v>208.59399999999999</v>
      </c>
      <c r="I74" s="874">
        <f t="shared" si="25"/>
        <v>212.48200000000003</v>
      </c>
      <c r="J74" s="874">
        <f t="shared" si="25"/>
        <v>334.61</v>
      </c>
      <c r="K74" s="874">
        <f t="shared" si="25"/>
        <v>301.78300000000002</v>
      </c>
      <c r="L74" s="874">
        <f t="shared" si="25"/>
        <v>280.16300000000001</v>
      </c>
      <c r="M74" s="874">
        <f t="shared" si="25"/>
        <v>310.15499999999997</v>
      </c>
      <c r="N74" s="874">
        <f t="shared" si="25"/>
        <v>346.31500000000005</v>
      </c>
      <c r="O74" s="875">
        <f t="shared" si="25"/>
        <v>384.12299999999988</v>
      </c>
      <c r="P74" s="939">
        <f t="shared" si="25"/>
        <v>379.1028067950088</v>
      </c>
      <c r="Q74" s="939">
        <f t="shared" si="25"/>
        <v>382.98756493333315</v>
      </c>
      <c r="R74" s="939">
        <f t="shared" si="25"/>
        <v>404.11069713866652</v>
      </c>
      <c r="S74" s="939">
        <f t="shared" si="25"/>
        <v>422.17505958421322</v>
      </c>
      <c r="T74" s="939">
        <f t="shared" si="25"/>
        <v>442.52433352758169</v>
      </c>
      <c r="U74" s="939">
        <f t="shared" si="25"/>
        <v>462.59180486868502</v>
      </c>
      <c r="V74" s="939">
        <f t="shared" si="25"/>
        <v>454.67521469543243</v>
      </c>
      <c r="W74" s="939">
        <f t="shared" si="25"/>
        <v>461.67012952324978</v>
      </c>
      <c r="X74" s="939">
        <f t="shared" si="25"/>
        <v>474.30455646417977</v>
      </c>
      <c r="Y74" s="939">
        <f t="shared" si="25"/>
        <v>462.38077136274694</v>
      </c>
      <c r="Z74" s="939">
        <f t="shared" si="25"/>
        <v>453.93971473725685</v>
      </c>
      <c r="AA74" s="939">
        <f t="shared" si="25"/>
        <v>468.27371996674719</v>
      </c>
      <c r="AB74" s="939">
        <f t="shared" si="25"/>
        <v>482.30045126541711</v>
      </c>
      <c r="AC74" s="446">
        <f t="shared" si="25"/>
        <v>488.80668758803381</v>
      </c>
      <c r="AD74" s="259"/>
      <c r="AE74" s="259"/>
    </row>
    <row r="75" spans="1:31" s="39" customFormat="1" ht="19" customHeight="1" x14ac:dyDescent="0.35">
      <c r="B75" s="98" t="s">
        <v>510</v>
      </c>
      <c r="C75" s="179"/>
      <c r="D75" s="872"/>
      <c r="E75" s="179"/>
      <c r="F75" s="179"/>
      <c r="G75" s="179"/>
      <c r="H75" s="259"/>
      <c r="I75" s="259"/>
      <c r="J75" s="259"/>
      <c r="K75" s="259"/>
      <c r="L75" s="259"/>
      <c r="M75" s="259"/>
      <c r="N75" s="259"/>
      <c r="O75" s="940"/>
      <c r="P75" s="257"/>
      <c r="Q75" s="257"/>
      <c r="R75" s="257"/>
      <c r="S75" s="257"/>
      <c r="T75" s="257"/>
      <c r="U75" s="257"/>
      <c r="V75" s="257"/>
      <c r="W75" s="257"/>
      <c r="X75" s="257"/>
      <c r="Y75" s="257"/>
      <c r="Z75" s="257"/>
      <c r="AA75" s="257"/>
      <c r="AB75" s="257"/>
      <c r="AC75" s="258"/>
      <c r="AD75" s="259"/>
      <c r="AE75" s="259"/>
    </row>
    <row r="76" spans="1:31" s="39" customFormat="1" x14ac:dyDescent="0.3">
      <c r="B76" s="81" t="s">
        <v>195</v>
      </c>
      <c r="C76" s="97"/>
      <c r="D76" s="577"/>
      <c r="E76" s="97"/>
      <c r="F76" s="97"/>
      <c r="G76" s="97"/>
      <c r="H76" s="133"/>
      <c r="I76" s="133"/>
      <c r="J76" s="133">
        <f t="shared" ref="J76:AC76" si="26">J14</f>
        <v>64.400000000000006</v>
      </c>
      <c r="K76" s="133">
        <f t="shared" si="26"/>
        <v>23.4</v>
      </c>
      <c r="L76" s="133">
        <f t="shared" si="26"/>
        <v>13.8</v>
      </c>
      <c r="M76" s="133">
        <f t="shared" si="26"/>
        <v>17.100000000000001</v>
      </c>
      <c r="N76" s="133">
        <f t="shared" si="26"/>
        <v>10.6</v>
      </c>
      <c r="O76" s="934">
        <f t="shared" si="26"/>
        <v>15</v>
      </c>
      <c r="P76" s="397">
        <f t="shared" si="26"/>
        <v>4.8930481283422456</v>
      </c>
      <c r="Q76" s="397">
        <f t="shared" si="26"/>
        <v>0</v>
      </c>
      <c r="R76" s="397">
        <f t="shared" si="26"/>
        <v>0</v>
      </c>
      <c r="S76" s="397">
        <f t="shared" si="26"/>
        <v>0</v>
      </c>
      <c r="T76" s="397">
        <f t="shared" si="26"/>
        <v>0</v>
      </c>
      <c r="U76" s="397">
        <f t="shared" si="26"/>
        <v>0</v>
      </c>
      <c r="V76" s="397">
        <f t="shared" si="26"/>
        <v>0</v>
      </c>
      <c r="W76" s="397">
        <f t="shared" si="26"/>
        <v>0</v>
      </c>
      <c r="X76" s="397">
        <f t="shared" si="26"/>
        <v>0</v>
      </c>
      <c r="Y76" s="397">
        <f t="shared" si="26"/>
        <v>0</v>
      </c>
      <c r="Z76" s="397">
        <f t="shared" si="26"/>
        <v>0</v>
      </c>
      <c r="AA76" s="397">
        <f t="shared" si="26"/>
        <v>0</v>
      </c>
      <c r="AB76" s="397">
        <f t="shared" si="26"/>
        <v>0</v>
      </c>
      <c r="AC76" s="398">
        <f t="shared" si="26"/>
        <v>0</v>
      </c>
      <c r="AD76" s="133"/>
      <c r="AE76" s="133"/>
    </row>
    <row r="77" spans="1:31" s="39" customFormat="1" x14ac:dyDescent="0.3">
      <c r="B77" s="81" t="s">
        <v>475</v>
      </c>
      <c r="C77" s="97"/>
      <c r="D77" s="577"/>
      <c r="E77" s="97"/>
      <c r="F77" s="97"/>
      <c r="G77" s="97"/>
      <c r="H77" s="133"/>
      <c r="I77" s="133"/>
      <c r="J77" s="133"/>
      <c r="K77" s="133"/>
      <c r="L77" s="133"/>
      <c r="M77" s="133">
        <f>M29</f>
        <v>9.6666666666666661</v>
      </c>
      <c r="N77" s="133">
        <f t="shared" ref="N77:AC77" si="27">N29</f>
        <v>9.6666666666666661</v>
      </c>
      <c r="O77" s="934">
        <f t="shared" si="27"/>
        <v>9.6666666666666661</v>
      </c>
      <c r="P77" s="397">
        <f t="shared" si="27"/>
        <v>9.6666666666666661</v>
      </c>
      <c r="Q77" s="397">
        <f t="shared" si="27"/>
        <v>9.6666666666666661</v>
      </c>
      <c r="R77" s="397">
        <f t="shared" si="27"/>
        <v>9.6666666666666661</v>
      </c>
      <c r="S77" s="397">
        <f t="shared" si="27"/>
        <v>9.6666666666666661</v>
      </c>
      <c r="T77" s="397">
        <f t="shared" si="27"/>
        <v>9.6666666666666661</v>
      </c>
      <c r="U77" s="397">
        <f t="shared" si="27"/>
        <v>9.6666666666666661</v>
      </c>
      <c r="V77" s="397">
        <f t="shared" si="27"/>
        <v>9.6666666666666661</v>
      </c>
      <c r="W77" s="397">
        <f t="shared" si="27"/>
        <v>9.6666666666666661</v>
      </c>
      <c r="X77" s="397">
        <f t="shared" si="27"/>
        <v>9.6666666666666661</v>
      </c>
      <c r="Y77" s="397">
        <f t="shared" si="27"/>
        <v>0</v>
      </c>
      <c r="Z77" s="397">
        <f t="shared" si="27"/>
        <v>0</v>
      </c>
      <c r="AA77" s="397">
        <f t="shared" si="27"/>
        <v>0</v>
      </c>
      <c r="AB77" s="397">
        <f t="shared" si="27"/>
        <v>0</v>
      </c>
      <c r="AC77" s="398">
        <f t="shared" si="27"/>
        <v>0</v>
      </c>
      <c r="AD77" s="133"/>
      <c r="AE77" s="133"/>
    </row>
    <row r="78" spans="1:31" s="39" customFormat="1" x14ac:dyDescent="0.3">
      <c r="B78" s="81" t="s">
        <v>511</v>
      </c>
      <c r="C78" s="97"/>
      <c r="D78" s="577"/>
      <c r="E78" s="97"/>
      <c r="F78" s="97"/>
      <c r="G78" s="97"/>
      <c r="H78" s="133"/>
      <c r="I78" s="133"/>
      <c r="J78" s="133"/>
      <c r="K78" s="133"/>
      <c r="L78" s="133"/>
      <c r="M78" s="133">
        <f t="shared" ref="M78:AC78" si="28">M16</f>
        <v>12</v>
      </c>
      <c r="N78" s="133">
        <f t="shared" si="28"/>
        <v>12</v>
      </c>
      <c r="O78" s="934">
        <f t="shared" si="28"/>
        <v>12</v>
      </c>
      <c r="P78" s="397">
        <f t="shared" si="28"/>
        <v>12</v>
      </c>
      <c r="Q78" s="397">
        <f t="shared" si="28"/>
        <v>12</v>
      </c>
      <c r="R78" s="397">
        <f t="shared" si="28"/>
        <v>12</v>
      </c>
      <c r="S78" s="397">
        <f t="shared" si="28"/>
        <v>12</v>
      </c>
      <c r="T78" s="397">
        <f t="shared" si="28"/>
        <v>12</v>
      </c>
      <c r="U78" s="397">
        <f t="shared" si="28"/>
        <v>12</v>
      </c>
      <c r="V78" s="397">
        <f t="shared" si="28"/>
        <v>12</v>
      </c>
      <c r="W78" s="397">
        <f t="shared" si="28"/>
        <v>12</v>
      </c>
      <c r="X78" s="397">
        <f t="shared" si="28"/>
        <v>12</v>
      </c>
      <c r="Y78" s="397">
        <f t="shared" si="28"/>
        <v>0</v>
      </c>
      <c r="Z78" s="397">
        <f t="shared" si="28"/>
        <v>0</v>
      </c>
      <c r="AA78" s="397">
        <f t="shared" si="28"/>
        <v>0</v>
      </c>
      <c r="AB78" s="397">
        <f t="shared" si="28"/>
        <v>0</v>
      </c>
      <c r="AC78" s="398">
        <f t="shared" si="28"/>
        <v>0</v>
      </c>
      <c r="AD78" s="133"/>
      <c r="AE78" s="133"/>
    </row>
    <row r="79" spans="1:31" s="39" customFormat="1" x14ac:dyDescent="0.3">
      <c r="B79" s="81" t="s">
        <v>512</v>
      </c>
      <c r="C79" s="97"/>
      <c r="D79" s="577"/>
      <c r="E79" s="97"/>
      <c r="F79" s="97"/>
      <c r="G79" s="97"/>
      <c r="H79" s="260">
        <f t="shared" ref="H79:AC79" si="29">H20</f>
        <v>208.59399999999999</v>
      </c>
      <c r="I79" s="260">
        <f t="shared" si="29"/>
        <v>212.48200000000003</v>
      </c>
      <c r="J79" s="260">
        <f t="shared" si="29"/>
        <v>206.81000000000006</v>
      </c>
      <c r="K79" s="260">
        <f t="shared" si="29"/>
        <v>217.58300000000003</v>
      </c>
      <c r="L79" s="260">
        <f t="shared" si="29"/>
        <v>206.16300000000001</v>
      </c>
      <c r="M79" s="260">
        <f t="shared" si="29"/>
        <v>202.48833333333332</v>
      </c>
      <c r="N79" s="260">
        <f t="shared" si="29"/>
        <v>206.44833333333338</v>
      </c>
      <c r="O79" s="941">
        <f>O20</f>
        <v>201.7563333333332</v>
      </c>
      <c r="P79" s="262">
        <f t="shared" si="29"/>
        <v>209.82658666666654</v>
      </c>
      <c r="Q79" s="262">
        <f t="shared" si="29"/>
        <v>218.2196501333332</v>
      </c>
      <c r="R79" s="262">
        <f t="shared" si="29"/>
        <v>226.94843613866655</v>
      </c>
      <c r="S79" s="262">
        <f t="shared" si="29"/>
        <v>236.02637358421322</v>
      </c>
      <c r="T79" s="262">
        <f t="shared" si="29"/>
        <v>245.46742852758175</v>
      </c>
      <c r="U79" s="262">
        <f t="shared" si="29"/>
        <v>255.28612566868503</v>
      </c>
      <c r="V79" s="262">
        <f t="shared" si="29"/>
        <v>265.49757069543244</v>
      </c>
      <c r="W79" s="262">
        <f t="shared" si="29"/>
        <v>276.11747352324977</v>
      </c>
      <c r="X79" s="262">
        <f t="shared" si="29"/>
        <v>287.16217246417978</v>
      </c>
      <c r="Y79" s="262">
        <f t="shared" si="29"/>
        <v>298.64865936274697</v>
      </c>
      <c r="Z79" s="262">
        <f t="shared" si="29"/>
        <v>310.59460573725687</v>
      </c>
      <c r="AA79" s="262">
        <f t="shared" si="29"/>
        <v>323.01838996674718</v>
      </c>
      <c r="AB79" s="262">
        <f t="shared" si="29"/>
        <v>335.9391255654171</v>
      </c>
      <c r="AC79" s="263">
        <f t="shared" si="29"/>
        <v>349.3766905880338</v>
      </c>
      <c r="AD79" s="260"/>
      <c r="AE79" s="260"/>
    </row>
    <row r="80" spans="1:31" s="39" customFormat="1" ht="14.5" customHeight="1" x14ac:dyDescent="0.3">
      <c r="B80" s="277" t="s">
        <v>513</v>
      </c>
      <c r="C80" s="97"/>
      <c r="D80" s="577"/>
      <c r="E80" s="97"/>
      <c r="F80" s="97"/>
      <c r="G80" s="97"/>
      <c r="H80" s="133"/>
      <c r="I80" s="133"/>
      <c r="J80" s="133"/>
      <c r="K80" s="133"/>
      <c r="L80" s="133"/>
      <c r="M80" s="133"/>
      <c r="N80" s="133"/>
      <c r="O80" s="934"/>
      <c r="P80" s="397"/>
      <c r="Q80" s="397"/>
      <c r="R80" s="397"/>
      <c r="S80" s="397"/>
      <c r="T80" s="397"/>
      <c r="U80" s="397"/>
      <c r="V80" s="397"/>
      <c r="W80" s="397"/>
      <c r="X80" s="397"/>
      <c r="Y80" s="397"/>
      <c r="Z80" s="397"/>
      <c r="AA80" s="397"/>
      <c r="AB80" s="397"/>
      <c r="AC80" s="398"/>
      <c r="AD80" s="133"/>
      <c r="AE80" s="133"/>
    </row>
    <row r="81" spans="2:31" s="39" customFormat="1" ht="14.5" customHeight="1" x14ac:dyDescent="0.3">
      <c r="B81" s="81" t="s">
        <v>193</v>
      </c>
      <c r="C81" s="97"/>
      <c r="D81" s="577"/>
      <c r="E81" s="97"/>
      <c r="F81" s="97"/>
      <c r="G81" s="97"/>
      <c r="H81" s="133"/>
      <c r="I81" s="133"/>
      <c r="J81" s="133">
        <f>J13</f>
        <v>28.4</v>
      </c>
      <c r="K81" s="133">
        <f t="shared" ref="K81:O81" si="30">K13</f>
        <v>15.8</v>
      </c>
      <c r="L81" s="133">
        <f t="shared" si="30"/>
        <v>15.2</v>
      </c>
      <c r="M81" s="133">
        <f t="shared" si="30"/>
        <v>28.9</v>
      </c>
      <c r="N81" s="133">
        <f t="shared" si="30"/>
        <v>67.599999999999994</v>
      </c>
      <c r="O81" s="934">
        <f t="shared" si="30"/>
        <v>80.7</v>
      </c>
      <c r="P81" s="397">
        <f>P26+P30+'ARP Quarterly'!F28</f>
        <v>43.095653333333331</v>
      </c>
      <c r="Q81" s="397">
        <f>Q26+Q30+'ARP Quarterly'!G28</f>
        <v>42.104973333333305</v>
      </c>
      <c r="R81" s="397">
        <f>R26+R30+'ARP Quarterly'!H28</f>
        <v>46.145562333333302</v>
      </c>
      <c r="S81" s="397">
        <f>S26+S30+'ARP Quarterly'!I28</f>
        <v>50.186151333333306</v>
      </c>
      <c r="T81" s="397">
        <f>T26+T30+'ARP Quarterly'!J28</f>
        <v>52.851310333333302</v>
      </c>
      <c r="U81" s="397">
        <f>U26+U30+'ARP Quarterly'!K28</f>
        <v>55.516469333333305</v>
      </c>
      <c r="V81" s="397">
        <f>V26+V30+'ARP Quarterly'!L28</f>
        <v>58.594257333333303</v>
      </c>
      <c r="W81" s="397">
        <f>W26+W30+'ARP Quarterly'!M28</f>
        <v>61.672045333333294</v>
      </c>
      <c r="X81" s="397">
        <f>X26+X30+'ARP Quarterly'!N28</f>
        <v>63.261773333333295</v>
      </c>
      <c r="Y81" s="397">
        <f>Y26+Y30+'ARP Quarterly'!O28</f>
        <v>61.518167999999996</v>
      </c>
      <c r="Z81" s="397">
        <f>Z26+Z30+'ARP Quarterly'!P28</f>
        <v>44.428388999999996</v>
      </c>
      <c r="AA81" s="397">
        <f>AA26+AA30+'ARP Quarterly'!Q28</f>
        <v>46.338610000000003</v>
      </c>
      <c r="AB81" s="397">
        <f>AB26+AB30+'ARP Quarterly'!R28</f>
        <v>47.279744500000007</v>
      </c>
      <c r="AC81" s="398">
        <f>AC26+AC30+'ARP Quarterly'!S28</f>
        <v>46.283419000000009</v>
      </c>
      <c r="AD81" s="133"/>
      <c r="AE81" s="133"/>
    </row>
    <row r="82" spans="2:31" s="39" customFormat="1" x14ac:dyDescent="0.3">
      <c r="B82" s="81" t="s">
        <v>192</v>
      </c>
      <c r="C82" s="261"/>
      <c r="D82" s="578"/>
      <c r="E82" s="261"/>
      <c r="F82" s="261"/>
      <c r="G82" s="261"/>
      <c r="H82" s="133"/>
      <c r="I82" s="133"/>
      <c r="J82" s="133">
        <v>35</v>
      </c>
      <c r="K82" s="133">
        <v>45</v>
      </c>
      <c r="L82" s="133">
        <v>45</v>
      </c>
      <c r="M82" s="133">
        <v>40</v>
      </c>
      <c r="N82" s="133">
        <v>40</v>
      </c>
      <c r="O82" s="934">
        <v>65</v>
      </c>
      <c r="P82" s="397">
        <v>65</v>
      </c>
      <c r="Q82" s="397">
        <v>55</v>
      </c>
      <c r="R82" s="397">
        <v>50</v>
      </c>
      <c r="S82" s="397">
        <v>50</v>
      </c>
      <c r="T82" s="397">
        <v>50</v>
      </c>
      <c r="U82" s="397">
        <v>50</v>
      </c>
      <c r="V82" s="397">
        <v>10</v>
      </c>
      <c r="W82" s="397"/>
      <c r="X82" s="397"/>
      <c r="Y82" s="397"/>
      <c r="Z82" s="397"/>
      <c r="AA82" s="397"/>
      <c r="AB82" s="397"/>
      <c r="AC82" s="398"/>
    </row>
    <row r="83" spans="2:31" s="39" customFormat="1" ht="28.5" customHeight="1" x14ac:dyDescent="0.3">
      <c r="B83" s="110" t="s">
        <v>514</v>
      </c>
      <c r="C83" s="264"/>
      <c r="D83" s="579"/>
      <c r="E83" s="264"/>
      <c r="F83" s="264"/>
      <c r="G83" s="264"/>
      <c r="H83" s="619"/>
      <c r="I83" s="619"/>
      <c r="J83" s="619"/>
      <c r="K83" s="619"/>
      <c r="L83" s="619"/>
      <c r="M83" s="619"/>
      <c r="N83" s="619">
        <f>'ARP Quarterly'!D47</f>
        <v>0</v>
      </c>
      <c r="O83" s="618">
        <f>'ARP Quarterly'!E47</f>
        <v>0</v>
      </c>
      <c r="P83" s="683">
        <f>'ARP Quarterly'!F47</f>
        <v>34.620851999999999</v>
      </c>
      <c r="Q83" s="683">
        <f>'ARP Quarterly'!G47</f>
        <v>45.996274799999995</v>
      </c>
      <c r="R83" s="683">
        <f>'ARP Quarterly'!H47</f>
        <v>59.350031999999992</v>
      </c>
      <c r="S83" s="683">
        <f>'ARP Quarterly'!I47</f>
        <v>64.295867999999999</v>
      </c>
      <c r="T83" s="683">
        <f>'ARP Quarterly'!J47</f>
        <v>72.538927999999999</v>
      </c>
      <c r="U83" s="683">
        <f>'ARP Quarterly'!K47</f>
        <v>80.122543199999996</v>
      </c>
      <c r="V83" s="683">
        <f>'ARP Quarterly'!L47</f>
        <v>98.916719999999998</v>
      </c>
      <c r="W83" s="683">
        <f>'ARP Quarterly'!M47</f>
        <v>102.213944</v>
      </c>
      <c r="X83" s="683">
        <f>'ARP Quarterly'!N47</f>
        <v>102.213944</v>
      </c>
      <c r="Y83" s="683">
        <f>'ARP Quarterly'!O47</f>
        <v>102.213944</v>
      </c>
      <c r="Z83" s="683">
        <f>'ARP Quarterly'!P47</f>
        <v>98.916719999999998</v>
      </c>
      <c r="AA83" s="683">
        <f>'ARP Quarterly'!Q47</f>
        <v>98.916719999999998</v>
      </c>
      <c r="AB83" s="683">
        <f>'ARP Quarterly'!R47</f>
        <v>99.081581199999988</v>
      </c>
      <c r="AC83" s="684">
        <f>'ARP Quarterly'!S47</f>
        <v>93.146578000000005</v>
      </c>
    </row>
    <row r="85" spans="2:31" ht="12.65" customHeight="1" x14ac:dyDescent="0.3">
      <c r="I85" s="681"/>
      <c r="J85" s="681"/>
      <c r="K85" s="681"/>
      <c r="L85" s="681"/>
      <c r="M85" s="681"/>
      <c r="N85" s="681"/>
      <c r="O85" s="681"/>
      <c r="P85" s="681"/>
      <c r="Q85" s="681"/>
      <c r="R85" s="681"/>
      <c r="S85" s="681"/>
      <c r="T85" s="681"/>
      <c r="U85" s="681"/>
      <c r="V85" s="681"/>
      <c r="W85" s="681"/>
      <c r="X85" s="681"/>
      <c r="Y85" s="681"/>
      <c r="Z85" s="681"/>
      <c r="AA85" s="681"/>
      <c r="AB85" s="681"/>
      <c r="AC85" s="681"/>
      <c r="AD85" s="66"/>
      <c r="AE85" s="66"/>
    </row>
    <row r="87" spans="2:31" x14ac:dyDescent="0.3">
      <c r="B87" s="1055" t="s">
        <v>177</v>
      </c>
      <c r="C87" s="1055"/>
      <c r="D87" s="1055"/>
      <c r="E87" s="1055"/>
      <c r="F87" s="1055"/>
      <c r="G87" s="1055"/>
      <c r="H87" s="1055"/>
      <c r="I87" s="1055"/>
      <c r="J87" s="1055"/>
      <c r="K87" s="1055"/>
      <c r="L87" s="1055"/>
      <c r="M87" s="1055"/>
      <c r="N87" s="1055"/>
      <c r="O87" s="1055"/>
      <c r="P87" s="1055"/>
      <c r="Q87" s="1055"/>
      <c r="R87" s="1055"/>
      <c r="S87" s="1055"/>
      <c r="T87" s="1055"/>
      <c r="U87" s="1055"/>
      <c r="V87" s="1055"/>
      <c r="W87" s="1055"/>
      <c r="X87" s="1055"/>
      <c r="Y87" s="1055"/>
      <c r="Z87" s="536"/>
      <c r="AA87" s="536"/>
      <c r="AB87" s="536"/>
      <c r="AC87" s="536"/>
      <c r="AD87" s="181"/>
      <c r="AE87" s="181"/>
    </row>
    <row r="88" spans="2:31" ht="19" customHeight="1" x14ac:dyDescent="0.3">
      <c r="B88" s="1056" t="s">
        <v>515</v>
      </c>
      <c r="C88" s="1056"/>
      <c r="D88" s="1056"/>
      <c r="E88" s="1056"/>
      <c r="F88" s="1056"/>
      <c r="G88" s="1056"/>
      <c r="H88" s="1056"/>
      <c r="I88" s="1056"/>
      <c r="J88" s="1056"/>
      <c r="K88" s="1056"/>
      <c r="L88" s="1056"/>
      <c r="M88" s="1056"/>
      <c r="N88" s="1056"/>
      <c r="O88" s="1056"/>
      <c r="P88" s="1056"/>
      <c r="Q88" s="1056"/>
      <c r="R88" s="1056"/>
      <c r="S88" s="1056"/>
      <c r="T88" s="1056"/>
      <c r="U88" s="1056"/>
      <c r="V88" s="1056"/>
      <c r="W88" s="1056"/>
      <c r="X88" s="1056"/>
      <c r="Y88" s="1056"/>
      <c r="Z88" s="1056"/>
      <c r="AA88" s="1056"/>
      <c r="AB88" s="1056"/>
      <c r="AC88" s="1056"/>
      <c r="AD88" s="220"/>
      <c r="AE88" s="220"/>
    </row>
    <row r="89" spans="2:31" ht="11.5" customHeight="1" x14ac:dyDescent="0.3">
      <c r="B89" s="66"/>
      <c r="C89" s="66"/>
      <c r="D89" s="66"/>
      <c r="E89" s="66"/>
      <c r="F89" s="66"/>
      <c r="G89" s="66"/>
      <c r="H89" s="66"/>
      <c r="I89" s="66"/>
      <c r="J89" s="66"/>
      <c r="K89" s="66"/>
      <c r="L89" s="66"/>
      <c r="M89" s="66"/>
      <c r="V89" s="43"/>
      <c r="W89" s="43"/>
      <c r="X89" s="43"/>
      <c r="Y89" s="43"/>
      <c r="Z89" s="43"/>
      <c r="AA89" s="43"/>
      <c r="AB89" s="43"/>
      <c r="AC89" s="43"/>
      <c r="AD89" s="43"/>
      <c r="AE89" s="43"/>
    </row>
    <row r="90" spans="2:31" ht="14.5" customHeight="1" x14ac:dyDescent="0.3">
      <c r="B90" s="1060" t="s">
        <v>400</v>
      </c>
      <c r="C90" s="1061"/>
      <c r="D90" s="1067" t="s">
        <v>401</v>
      </c>
      <c r="E90" s="1068"/>
      <c r="F90" s="1068"/>
      <c r="G90" s="1068"/>
      <c r="H90" s="1068"/>
      <c r="I90" s="1068"/>
      <c r="J90" s="1068"/>
      <c r="K90" s="1068"/>
      <c r="L90" s="1068"/>
      <c r="M90" s="1068"/>
      <c r="N90" s="1068"/>
      <c r="O90" s="1069"/>
      <c r="P90" s="1096" t="s">
        <v>402</v>
      </c>
      <c r="Q90" s="1097"/>
      <c r="R90" s="1097"/>
      <c r="S90" s="1097"/>
      <c r="T90" s="1097"/>
      <c r="U90" s="1097"/>
      <c r="V90" s="1097"/>
      <c r="W90" s="1097"/>
      <c r="X90" s="1097"/>
      <c r="Y90" s="1097"/>
      <c r="Z90" s="1097"/>
      <c r="AA90" s="1097"/>
      <c r="AB90" s="1097"/>
      <c r="AC90" s="1098"/>
      <c r="AD90" s="181"/>
      <c r="AE90" s="181"/>
    </row>
    <row r="91" spans="2:31" x14ac:dyDescent="0.3">
      <c r="B91" s="1062"/>
      <c r="C91" s="1063"/>
      <c r="D91" s="537">
        <v>2018</v>
      </c>
      <c r="E91" s="1057">
        <v>2019</v>
      </c>
      <c r="F91" s="1058"/>
      <c r="G91" s="1058"/>
      <c r="H91" s="1059"/>
      <c r="I91" s="1057">
        <v>2020</v>
      </c>
      <c r="J91" s="1058"/>
      <c r="K91" s="1058"/>
      <c r="L91" s="1059"/>
      <c r="M91" s="1057">
        <v>2021</v>
      </c>
      <c r="N91" s="1058"/>
      <c r="O91" s="1059"/>
      <c r="P91" s="570">
        <v>2021</v>
      </c>
      <c r="Q91" s="1064">
        <v>2022</v>
      </c>
      <c r="R91" s="1065"/>
      <c r="S91" s="1065"/>
      <c r="T91" s="1066"/>
      <c r="U91" s="1064">
        <v>2023</v>
      </c>
      <c r="V91" s="1065"/>
      <c r="W91" s="1065"/>
      <c r="X91" s="1065"/>
      <c r="Y91" s="1064">
        <v>2024</v>
      </c>
      <c r="Z91" s="1065"/>
      <c r="AA91" s="1065"/>
      <c r="AB91" s="1066"/>
      <c r="AC91" s="334">
        <v>2025</v>
      </c>
      <c r="AD91" s="43"/>
      <c r="AE91" s="43"/>
    </row>
    <row r="92" spans="2:31" x14ac:dyDescent="0.3">
      <c r="B92" s="1100"/>
      <c r="C92" s="1101"/>
      <c r="D92" s="167" t="s">
        <v>403</v>
      </c>
      <c r="E92" s="167" t="s">
        <v>404</v>
      </c>
      <c r="F92" s="148" t="s">
        <v>405</v>
      </c>
      <c r="G92" s="148" t="s">
        <v>290</v>
      </c>
      <c r="H92" s="155" t="s">
        <v>403</v>
      </c>
      <c r="I92" s="149" t="s">
        <v>404</v>
      </c>
      <c r="J92" s="149" t="s">
        <v>405</v>
      </c>
      <c r="K92" s="149" t="s">
        <v>290</v>
      </c>
      <c r="L92" s="149" t="s">
        <v>403</v>
      </c>
      <c r="M92" s="162" t="s">
        <v>404</v>
      </c>
      <c r="N92" s="149" t="s">
        <v>405</v>
      </c>
      <c r="O92" s="155" t="s">
        <v>290</v>
      </c>
      <c r="P92" s="431" t="s">
        <v>403</v>
      </c>
      <c r="Q92" s="429" t="s">
        <v>404</v>
      </c>
      <c r="R92" s="430" t="s">
        <v>405</v>
      </c>
      <c r="S92" s="430" t="s">
        <v>290</v>
      </c>
      <c r="T92" s="430" t="s">
        <v>403</v>
      </c>
      <c r="U92" s="429" t="s">
        <v>404</v>
      </c>
      <c r="V92" s="430" t="s">
        <v>405</v>
      </c>
      <c r="W92" s="430" t="s">
        <v>290</v>
      </c>
      <c r="X92" s="430" t="s">
        <v>403</v>
      </c>
      <c r="Y92" s="429" t="s">
        <v>404</v>
      </c>
      <c r="Z92" s="394" t="s">
        <v>405</v>
      </c>
      <c r="AA92" s="430" t="s">
        <v>290</v>
      </c>
      <c r="AB92" s="431" t="s">
        <v>403</v>
      </c>
      <c r="AC92" s="71" t="s">
        <v>404</v>
      </c>
      <c r="AD92" s="43"/>
      <c r="AE92" s="43"/>
    </row>
    <row r="93" spans="2:31" ht="14.5" x14ac:dyDescent="0.35">
      <c r="B93" s="442" t="s">
        <v>516</v>
      </c>
      <c r="C93" s="443" t="s">
        <v>517</v>
      </c>
      <c r="D93" s="444"/>
      <c r="E93" s="443"/>
      <c r="F93" s="443"/>
      <c r="G93" s="443"/>
      <c r="H93" s="445">
        <f>'Haver Pivoted'!GS41</f>
        <v>70.894000000000005</v>
      </c>
      <c r="I93" s="445">
        <f>'Haver Pivoted'!GT41</f>
        <v>72.774000000000001</v>
      </c>
      <c r="J93" s="445">
        <f>'Haver Pivoted'!GU41</f>
        <v>75.275000000000006</v>
      </c>
      <c r="K93" s="445">
        <f>'Haver Pivoted'!GV41</f>
        <v>78.766999999999996</v>
      </c>
      <c r="L93" s="445">
        <f>'Haver Pivoted'!GW41</f>
        <v>76.995000000000005</v>
      </c>
      <c r="M93" s="445">
        <f>'Haver Pivoted'!GX41</f>
        <v>75.03</v>
      </c>
      <c r="N93" s="445">
        <f>'Haver Pivoted'!GY41</f>
        <v>77.703999999999994</v>
      </c>
      <c r="O93" s="445">
        <f>'Haver Pivoted'!GZ41</f>
        <v>72.766999999999996</v>
      </c>
      <c r="P93" s="625">
        <f t="shared" ref="P93:AC93" si="31">AVERAGE($H$93:$N$93)</f>
        <v>75.34842857142857</v>
      </c>
      <c r="Q93" s="725">
        <f t="shared" si="31"/>
        <v>75.34842857142857</v>
      </c>
      <c r="R93" s="725">
        <f t="shared" si="31"/>
        <v>75.34842857142857</v>
      </c>
      <c r="S93" s="725">
        <f t="shared" si="31"/>
        <v>75.34842857142857</v>
      </c>
      <c r="T93" s="725">
        <f t="shared" si="31"/>
        <v>75.34842857142857</v>
      </c>
      <c r="U93" s="725">
        <f t="shared" si="31"/>
        <v>75.34842857142857</v>
      </c>
      <c r="V93" s="725">
        <f t="shared" si="31"/>
        <v>75.34842857142857</v>
      </c>
      <c r="W93" s="725">
        <f t="shared" si="31"/>
        <v>75.34842857142857</v>
      </c>
      <c r="X93" s="725">
        <f t="shared" si="31"/>
        <v>75.34842857142857</v>
      </c>
      <c r="Y93" s="725">
        <f t="shared" si="31"/>
        <v>75.34842857142857</v>
      </c>
      <c r="Z93" s="725">
        <f t="shared" si="31"/>
        <v>75.34842857142857</v>
      </c>
      <c r="AA93" s="725">
        <f t="shared" si="31"/>
        <v>75.34842857142857</v>
      </c>
      <c r="AB93" s="725">
        <f t="shared" si="31"/>
        <v>75.34842857142857</v>
      </c>
      <c r="AC93" s="726">
        <f t="shared" si="31"/>
        <v>75.34842857142857</v>
      </c>
      <c r="AD93" s="62"/>
      <c r="AE93" s="62"/>
    </row>
    <row r="95" spans="2:31" ht="11.15" customHeight="1" x14ac:dyDescent="0.3"/>
    <row r="96" spans="2:31" hidden="1" x14ac:dyDescent="0.3"/>
  </sheetData>
  <mergeCells count="42">
    <mergeCell ref="B90:C92"/>
    <mergeCell ref="I91:L91"/>
    <mergeCell ref="Q91:T91"/>
    <mergeCell ref="B2:AC4"/>
    <mergeCell ref="B88:AC88"/>
    <mergeCell ref="O6:AC6"/>
    <mergeCell ref="Y72:AB72"/>
    <mergeCell ref="B71:C73"/>
    <mergeCell ref="I72:L72"/>
    <mergeCell ref="Q72:T72"/>
    <mergeCell ref="U72:X72"/>
    <mergeCell ref="B87:Y87"/>
    <mergeCell ref="U91:X91"/>
    <mergeCell ref="E91:H91"/>
    <mergeCell ref="Y91:AB91"/>
    <mergeCell ref="M91:O91"/>
    <mergeCell ref="A65:A66"/>
    <mergeCell ref="Q47:AH47"/>
    <mergeCell ref="Q48:S48"/>
    <mergeCell ref="T48:Y48"/>
    <mergeCell ref="AD48:AG48"/>
    <mergeCell ref="AE24:AF24"/>
    <mergeCell ref="AE28:AF29"/>
    <mergeCell ref="AE34:AF34"/>
    <mergeCell ref="B1:Y1"/>
    <mergeCell ref="B6:C8"/>
    <mergeCell ref="I7:L7"/>
    <mergeCell ref="Q7:T7"/>
    <mergeCell ref="AD6:AD8"/>
    <mergeCell ref="AE6:AE8"/>
    <mergeCell ref="U7:X7"/>
    <mergeCell ref="E7:H7"/>
    <mergeCell ref="D6:N6"/>
    <mergeCell ref="B23:AC23"/>
    <mergeCell ref="Y7:AB7"/>
    <mergeCell ref="M7:O7"/>
    <mergeCell ref="M72:O72"/>
    <mergeCell ref="D71:O71"/>
    <mergeCell ref="P71:AC71"/>
    <mergeCell ref="D90:O90"/>
    <mergeCell ref="P90:AC90"/>
    <mergeCell ref="E72:H72"/>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A4" zoomScale="53" zoomScaleNormal="135" workbookViewId="0">
      <selection activeCell="O13" sqref="O13"/>
    </sheetView>
  </sheetViews>
  <sheetFormatPr defaultColWidth="8.54296875" defaultRowHeight="14" x14ac:dyDescent="0.3"/>
  <cols>
    <col min="1" max="1" width="8.54296875" style="34"/>
    <col min="2" max="2" width="44.453125" style="34" customWidth="1"/>
    <col min="3" max="3" width="13.453125" style="34" customWidth="1"/>
    <col min="4" max="7" width="10" style="34" customWidth="1"/>
    <col min="8" max="8" width="14.1796875" style="34" customWidth="1"/>
    <col min="9" max="9" width="8.54296875" style="34"/>
    <col min="10" max="10" width="11.1796875" style="34" bestFit="1" customWidth="1"/>
    <col min="11" max="11" width="13.453125" style="34" customWidth="1"/>
    <col min="12" max="13" width="8.54296875" style="34"/>
    <col min="14" max="19" width="9" style="34" bestFit="1" customWidth="1"/>
    <col min="20" max="21" width="8.81640625" style="34" bestFit="1" customWidth="1"/>
    <col min="22" max="26" width="8.81640625" style="34" customWidth="1"/>
    <col min="27" max="38" width="8.54296875" style="34"/>
    <col min="39" max="39" width="31.81640625" style="34" customWidth="1"/>
    <col min="40" max="40" width="8.54296875" style="34"/>
    <col min="41" max="41" width="10.1796875" style="34" bestFit="1" customWidth="1"/>
    <col min="42" max="16384" width="8.54296875" style="34"/>
  </cols>
  <sheetData>
    <row r="1" spans="2:46" ht="20.149999999999999" customHeight="1" x14ac:dyDescent="0.3">
      <c r="B1" s="1055" t="s">
        <v>518</v>
      </c>
      <c r="C1" s="1055"/>
      <c r="D1" s="1055"/>
      <c r="E1" s="1055"/>
      <c r="F1" s="1055"/>
      <c r="G1" s="1055"/>
      <c r="H1" s="1055"/>
      <c r="I1" s="1055"/>
      <c r="J1" s="1055"/>
      <c r="K1" s="1055"/>
      <c r="L1" s="1055"/>
      <c r="M1" s="1055"/>
      <c r="N1" s="1055"/>
      <c r="O1" s="1055"/>
      <c r="P1" s="1055"/>
      <c r="Q1" s="1055"/>
      <c r="R1" s="1055"/>
      <c r="S1" s="1055"/>
      <c r="T1" s="1055"/>
      <c r="U1" s="1055"/>
      <c r="V1" s="1055"/>
      <c r="W1" s="1055"/>
      <c r="X1" s="1055"/>
      <c r="Y1" s="1055"/>
      <c r="Z1" s="1055"/>
      <c r="AA1" s="1055"/>
      <c r="AB1" s="1055"/>
      <c r="AC1" s="1055"/>
    </row>
    <row r="2" spans="2:46" ht="14.15" customHeight="1" x14ac:dyDescent="0.3">
      <c r="B2" s="1074" t="s">
        <v>519</v>
      </c>
      <c r="C2" s="1074"/>
      <c r="D2" s="1074"/>
      <c r="E2" s="1074"/>
      <c r="F2" s="1074"/>
      <c r="G2" s="1074"/>
      <c r="H2" s="1074"/>
      <c r="I2" s="1074"/>
      <c r="J2" s="1074"/>
      <c r="K2" s="1074"/>
      <c r="L2" s="1074"/>
      <c r="M2" s="1074"/>
      <c r="N2" s="1074"/>
      <c r="O2" s="1074"/>
      <c r="P2" s="1074"/>
      <c r="Q2" s="1074"/>
      <c r="R2" s="1074"/>
      <c r="S2" s="1074"/>
      <c r="T2" s="1074"/>
      <c r="U2" s="1074"/>
      <c r="V2" s="1074"/>
      <c r="W2" s="1074"/>
      <c r="X2" s="1074"/>
      <c r="Y2" s="1074"/>
      <c r="Z2" s="1074"/>
      <c r="AA2" s="1074"/>
      <c r="AB2" s="1074"/>
      <c r="AC2" s="1074"/>
    </row>
    <row r="3" spans="2:46" ht="9" customHeight="1" x14ac:dyDescent="0.3">
      <c r="B3" s="1074"/>
      <c r="C3" s="1074"/>
      <c r="D3" s="1074"/>
      <c r="E3" s="1074"/>
      <c r="F3" s="1074"/>
      <c r="G3" s="1074"/>
      <c r="H3" s="1074"/>
      <c r="I3" s="1074"/>
      <c r="J3" s="1074"/>
      <c r="K3" s="1074"/>
      <c r="L3" s="1074"/>
      <c r="M3" s="1074"/>
      <c r="N3" s="1074"/>
      <c r="O3" s="1074"/>
      <c r="P3" s="1074"/>
      <c r="Q3" s="1074"/>
      <c r="R3" s="1074"/>
      <c r="S3" s="1074"/>
      <c r="T3" s="1074"/>
      <c r="U3" s="1074"/>
      <c r="V3" s="1074"/>
      <c r="W3" s="1074"/>
      <c r="X3" s="1074"/>
      <c r="Y3" s="1074"/>
      <c r="Z3" s="1074"/>
      <c r="AA3" s="1074"/>
      <c r="AB3" s="1074"/>
      <c r="AC3" s="1074"/>
    </row>
    <row r="4" spans="2:46" ht="27" customHeight="1" x14ac:dyDescent="0.3">
      <c r="B4" s="1074"/>
      <c r="C4" s="1074"/>
      <c r="D4" s="1074"/>
      <c r="E4" s="1074"/>
      <c r="F4" s="1074"/>
      <c r="G4" s="1074"/>
      <c r="H4" s="1074"/>
      <c r="I4" s="1074"/>
      <c r="J4" s="1074"/>
      <c r="K4" s="1074"/>
      <c r="L4" s="1074"/>
      <c r="M4" s="1074"/>
      <c r="N4" s="1074"/>
      <c r="O4" s="1074"/>
      <c r="P4" s="1074"/>
      <c r="Q4" s="1074"/>
      <c r="R4" s="1074"/>
      <c r="S4" s="1074"/>
      <c r="T4" s="1074"/>
      <c r="U4" s="1074"/>
      <c r="V4" s="1074"/>
      <c r="W4" s="1074"/>
      <c r="X4" s="1074"/>
      <c r="Y4" s="1074"/>
      <c r="Z4" s="1074"/>
      <c r="AA4" s="1074"/>
      <c r="AB4" s="1074"/>
      <c r="AC4" s="1074"/>
      <c r="AE4" s="38"/>
      <c r="AF4" s="38"/>
      <c r="AG4" s="38"/>
      <c r="AH4" s="38"/>
      <c r="AI4" s="38"/>
      <c r="AJ4" s="38"/>
      <c r="AK4" s="38"/>
      <c r="AL4" s="38"/>
      <c r="AM4" s="38"/>
    </row>
    <row r="5" spans="2:46" x14ac:dyDescent="0.3">
      <c r="B5" s="39"/>
      <c r="AC5" s="51"/>
      <c r="AD5" s="51"/>
      <c r="AE5" s="51"/>
      <c r="AF5" s="51"/>
      <c r="AG5" s="51"/>
      <c r="AH5" s="51"/>
      <c r="AI5" s="51"/>
      <c r="AJ5" s="51"/>
      <c r="AK5" s="51"/>
      <c r="AL5" s="51"/>
      <c r="AM5" s="51"/>
      <c r="AN5" s="51"/>
      <c r="AO5" s="51"/>
      <c r="AP5" s="51"/>
      <c r="AQ5" s="51"/>
      <c r="AR5" s="51"/>
      <c r="AS5" s="51"/>
      <c r="AT5" s="51"/>
    </row>
    <row r="6" spans="2:46" ht="14.5" customHeight="1" x14ac:dyDescent="0.3">
      <c r="B6" s="1060" t="s">
        <v>400</v>
      </c>
      <c r="C6" s="1061"/>
      <c r="D6" s="1067" t="s">
        <v>401</v>
      </c>
      <c r="E6" s="1068"/>
      <c r="F6" s="1068"/>
      <c r="G6" s="1068"/>
      <c r="H6" s="1068"/>
      <c r="I6" s="1068"/>
      <c r="J6" s="1068"/>
      <c r="K6" s="1068"/>
      <c r="L6" s="1068"/>
      <c r="M6" s="1068"/>
      <c r="N6" s="1068"/>
      <c r="O6" s="1069"/>
      <c r="P6" s="1096" t="s">
        <v>402</v>
      </c>
      <c r="Q6" s="1097"/>
      <c r="R6" s="1097"/>
      <c r="S6" s="1097"/>
      <c r="T6" s="1097"/>
      <c r="U6" s="1097"/>
      <c r="V6" s="1097"/>
      <c r="W6" s="1097"/>
      <c r="X6" s="1097"/>
      <c r="Y6" s="1097"/>
      <c r="Z6" s="1097"/>
      <c r="AA6" s="1097"/>
      <c r="AB6" s="1097"/>
      <c r="AC6" s="1098"/>
    </row>
    <row r="7" spans="2:46" ht="14.5" customHeight="1" x14ac:dyDescent="0.3">
      <c r="B7" s="1062"/>
      <c r="C7" s="1063"/>
      <c r="D7" s="537">
        <v>2018</v>
      </c>
      <c r="E7" s="1057">
        <v>2019</v>
      </c>
      <c r="F7" s="1058"/>
      <c r="G7" s="1058"/>
      <c r="H7" s="1059"/>
      <c r="I7" s="1057">
        <v>2020</v>
      </c>
      <c r="J7" s="1058"/>
      <c r="K7" s="1058"/>
      <c r="L7" s="1059"/>
      <c r="M7" s="1057">
        <v>2021</v>
      </c>
      <c r="N7" s="1058"/>
      <c r="O7" s="1059"/>
      <c r="P7" s="570">
        <v>2021</v>
      </c>
      <c r="Q7" s="1064">
        <v>2022</v>
      </c>
      <c r="R7" s="1065"/>
      <c r="S7" s="1065"/>
      <c r="T7" s="1066"/>
      <c r="U7" s="1064">
        <v>2023</v>
      </c>
      <c r="V7" s="1065"/>
      <c r="W7" s="1065"/>
      <c r="X7" s="1065"/>
      <c r="Y7" s="1064">
        <v>2024</v>
      </c>
      <c r="Z7" s="1065"/>
      <c r="AA7" s="1065"/>
      <c r="AB7" s="1066"/>
      <c r="AC7" s="334">
        <v>2025</v>
      </c>
    </row>
    <row r="8" spans="2:46" x14ac:dyDescent="0.3">
      <c r="B8" s="1100"/>
      <c r="C8" s="1101"/>
      <c r="D8" s="167" t="s">
        <v>403</v>
      </c>
      <c r="E8" s="167" t="s">
        <v>404</v>
      </c>
      <c r="F8" s="148" t="s">
        <v>405</v>
      </c>
      <c r="G8" s="148" t="s">
        <v>290</v>
      </c>
      <c r="H8" s="155" t="s">
        <v>403</v>
      </c>
      <c r="I8" s="149" t="s">
        <v>404</v>
      </c>
      <c r="J8" s="149" t="s">
        <v>405</v>
      </c>
      <c r="K8" s="149" t="s">
        <v>290</v>
      </c>
      <c r="L8" s="149" t="s">
        <v>403</v>
      </c>
      <c r="M8" s="162" t="s">
        <v>404</v>
      </c>
      <c r="N8" s="149" t="s">
        <v>405</v>
      </c>
      <c r="O8" s="155" t="s">
        <v>290</v>
      </c>
      <c r="P8" s="431" t="s">
        <v>403</v>
      </c>
      <c r="Q8" s="429" t="s">
        <v>404</v>
      </c>
      <c r="R8" s="430" t="s">
        <v>405</v>
      </c>
      <c r="S8" s="430" t="s">
        <v>290</v>
      </c>
      <c r="T8" s="430" t="s">
        <v>403</v>
      </c>
      <c r="U8" s="429" t="s">
        <v>404</v>
      </c>
      <c r="V8" s="430" t="s">
        <v>405</v>
      </c>
      <c r="W8" s="430" t="s">
        <v>290</v>
      </c>
      <c r="X8" s="430" t="s">
        <v>403</v>
      </c>
      <c r="Y8" s="429" t="s">
        <v>404</v>
      </c>
      <c r="Z8" s="394" t="s">
        <v>405</v>
      </c>
      <c r="AA8" s="430" t="s">
        <v>290</v>
      </c>
      <c r="AB8" s="431" t="s">
        <v>403</v>
      </c>
      <c r="AC8" s="71" t="s">
        <v>404</v>
      </c>
    </row>
    <row r="9" spans="2:46" ht="29.15" customHeight="1" x14ac:dyDescent="0.3">
      <c r="B9" s="56" t="s">
        <v>520</v>
      </c>
      <c r="C9" s="55" t="s">
        <v>521</v>
      </c>
      <c r="D9" s="876"/>
      <c r="E9" s="878"/>
      <c r="F9" s="878"/>
      <c r="G9" s="878"/>
      <c r="H9" s="878">
        <f>'Haver Pivoted'!GS23</f>
        <v>1441.7</v>
      </c>
      <c r="I9" s="878">
        <f>'Haver Pivoted'!GT23</f>
        <v>1454.7</v>
      </c>
      <c r="J9" s="878">
        <f>'Haver Pivoted'!GU23</f>
        <v>1525</v>
      </c>
      <c r="K9" s="878">
        <f>'Haver Pivoted'!GV23</f>
        <v>1515.1</v>
      </c>
      <c r="L9" s="878">
        <f>'Haver Pivoted'!GW23</f>
        <v>1512.3</v>
      </c>
      <c r="M9" s="878">
        <f>'Haver Pivoted'!GX23</f>
        <v>1568.6</v>
      </c>
      <c r="N9" s="878">
        <f>'Haver Pivoted'!GY23</f>
        <v>1563.3</v>
      </c>
      <c r="O9" s="564">
        <f>'Haver Pivoted'!GZ23</f>
        <v>1562.1</v>
      </c>
      <c r="P9" s="942">
        <f t="shared" ref="P9:Y9" si="0">O9*((100 + P11)/100)^(0.25)</f>
        <v>1573.9267891323836</v>
      </c>
      <c r="Q9" s="942">
        <f t="shared" si="0"/>
        <v>1585.9354345503814</v>
      </c>
      <c r="R9" s="942">
        <f t="shared" si="0"/>
        <v>1587.9101975616902</v>
      </c>
      <c r="S9" s="942">
        <f t="shared" si="0"/>
        <v>1587.2547789253952</v>
      </c>
      <c r="T9" s="942">
        <f t="shared" si="0"/>
        <v>1587.4214144343857</v>
      </c>
      <c r="U9" s="942">
        <f t="shared" si="0"/>
        <v>1591.6665815728984</v>
      </c>
      <c r="V9" s="942">
        <f t="shared" si="0"/>
        <v>1597.5981128204228</v>
      </c>
      <c r="W9" s="942">
        <f t="shared" si="0"/>
        <v>1605.1922935912212</v>
      </c>
      <c r="X9" s="942">
        <f t="shared" si="0"/>
        <v>1614.118674329608</v>
      </c>
      <c r="Y9" s="942">
        <f t="shared" si="0"/>
        <v>1622.9240123392974</v>
      </c>
      <c r="Z9" s="942">
        <f t="shared" ref="Z9" si="1">Y9*((100 + Z11)/100)^(0.25)</f>
        <v>1631.7773852169912</v>
      </c>
      <c r="AA9" s="942">
        <f t="shared" ref="AA9" si="2">Z9*((100 + AA11)/100)^(0.25)</f>
        <v>1641.0802481012545</v>
      </c>
      <c r="AB9" s="942">
        <f t="shared" ref="AB9" si="3">AA9*((100 + AB11)/100)^(0.25)</f>
        <v>1650.0326668517271</v>
      </c>
      <c r="AC9" s="646">
        <f t="shared" ref="AC9" si="4">AB9*((100 + AC11)/100)^(0.25)</f>
        <v>1660.2500755702192</v>
      </c>
    </row>
    <row r="10" spans="2:46" ht="18" customHeight="1" x14ac:dyDescent="0.3">
      <c r="B10" s="56" t="s">
        <v>522</v>
      </c>
      <c r="C10" s="55"/>
      <c r="D10" s="877"/>
      <c r="E10" s="57"/>
      <c r="F10" s="57"/>
      <c r="G10" s="57"/>
      <c r="H10" s="57">
        <v>1447.9</v>
      </c>
      <c r="I10" s="57">
        <v>1452.6</v>
      </c>
      <c r="J10" s="57">
        <v>1504.8</v>
      </c>
      <c r="K10" s="57">
        <v>1487</v>
      </c>
      <c r="L10" s="57">
        <v>1493.4</v>
      </c>
      <c r="M10" s="57">
        <v>1557</v>
      </c>
      <c r="N10" s="57">
        <v>1546</v>
      </c>
      <c r="O10" s="48">
        <v>1557</v>
      </c>
      <c r="P10" s="396">
        <v>1568.8</v>
      </c>
      <c r="Q10" s="396">
        <v>1580.8</v>
      </c>
      <c r="R10" s="396">
        <v>1582.8</v>
      </c>
      <c r="S10" s="396">
        <v>1582.1</v>
      </c>
      <c r="T10" s="396">
        <v>1582.3</v>
      </c>
      <c r="U10" s="268">
        <v>1586.5</v>
      </c>
      <c r="V10" s="268">
        <v>1592.4</v>
      </c>
      <c r="W10" s="268">
        <v>1600</v>
      </c>
      <c r="X10" s="268">
        <v>1608.9</v>
      </c>
      <c r="Y10" s="268">
        <v>1618</v>
      </c>
      <c r="Z10" s="268">
        <v>1627</v>
      </c>
      <c r="AA10" s="430">
        <v>1636</v>
      </c>
      <c r="AB10" s="430">
        <v>1645</v>
      </c>
      <c r="AC10" s="431">
        <v>1655</v>
      </c>
    </row>
    <row r="11" spans="2:46" ht="14.5" customHeight="1" x14ac:dyDescent="0.3">
      <c r="B11" s="56" t="s">
        <v>523</v>
      </c>
      <c r="C11" s="364"/>
      <c r="D11" s="49"/>
      <c r="E11" s="364"/>
      <c r="F11" s="364"/>
      <c r="G11" s="364"/>
      <c r="H11" s="62">
        <v>5.3259999999999996</v>
      </c>
      <c r="I11" s="62">
        <v>1.278</v>
      </c>
      <c r="J11" s="62">
        <v>15.177</v>
      </c>
      <c r="K11" s="63">
        <v>-4.6340000000000003</v>
      </c>
      <c r="L11" s="63">
        <v>1.732</v>
      </c>
      <c r="M11" s="63">
        <v>18.143999999999998</v>
      </c>
      <c r="N11" s="63">
        <v>-2.7970000000000002</v>
      </c>
      <c r="O11" s="923">
        <v>2.8889999999999998</v>
      </c>
      <c r="P11" s="389">
        <v>3.0630000000000002</v>
      </c>
      <c r="Q11" s="389">
        <v>3.0870000000000002</v>
      </c>
      <c r="R11" s="389">
        <v>0.499</v>
      </c>
      <c r="S11" s="389">
        <v>-0.16500000000000001</v>
      </c>
      <c r="T11" s="389">
        <v>4.2000000000000003E-2</v>
      </c>
      <c r="U11" s="269">
        <v>1.0740000000000001</v>
      </c>
      <c r="V11" s="269">
        <v>1.4990000000000001</v>
      </c>
      <c r="W11" s="269">
        <v>1.915</v>
      </c>
      <c r="X11" s="269">
        <v>2.2429999999999999</v>
      </c>
      <c r="Y11" s="269">
        <v>2.2000000000000002</v>
      </c>
      <c r="Z11" s="269">
        <v>2.2000000000000002</v>
      </c>
      <c r="AA11" s="430">
        <v>2.2999999999999998</v>
      </c>
      <c r="AB11" s="430">
        <v>2.2000000000000002</v>
      </c>
      <c r="AC11" s="431">
        <v>2.5</v>
      </c>
    </row>
    <row r="12" spans="2:46" x14ac:dyDescent="0.3">
      <c r="B12" s="41" t="s">
        <v>524</v>
      </c>
      <c r="D12" s="41"/>
      <c r="H12" s="63"/>
      <c r="I12" s="63"/>
      <c r="J12" s="63"/>
      <c r="K12" s="63"/>
      <c r="L12" s="63"/>
      <c r="M12" s="63"/>
      <c r="N12" s="63"/>
      <c r="O12" s="923"/>
      <c r="P12" s="389"/>
      <c r="Q12" s="389"/>
      <c r="R12" s="389"/>
      <c r="S12" s="389"/>
      <c r="T12" s="389"/>
      <c r="U12" s="389"/>
      <c r="V12" s="389"/>
      <c r="W12" s="389"/>
      <c r="X12" s="389"/>
      <c r="Y12" s="389"/>
      <c r="Z12" s="389"/>
      <c r="AA12" s="389"/>
      <c r="AB12" s="389"/>
      <c r="AC12" s="390"/>
      <c r="AD12" s="34" t="s">
        <v>525</v>
      </c>
    </row>
    <row r="13" spans="2:46" ht="29" x14ac:dyDescent="0.35">
      <c r="B13" s="50" t="s">
        <v>526</v>
      </c>
      <c r="C13" s="364"/>
      <c r="D13" s="49"/>
      <c r="E13" s="364"/>
      <c r="F13" s="364"/>
      <c r="G13" s="364"/>
      <c r="H13" s="57">
        <f t="shared" ref="H13:O13" si="5">H9</f>
        <v>1441.7</v>
      </c>
      <c r="I13" s="57">
        <f t="shared" si="5"/>
        <v>1454.7</v>
      </c>
      <c r="J13" s="57">
        <f t="shared" si="5"/>
        <v>1525</v>
      </c>
      <c r="K13" s="57">
        <f t="shared" si="5"/>
        <v>1515.1</v>
      </c>
      <c r="L13" s="57">
        <f t="shared" si="5"/>
        <v>1512.3</v>
      </c>
      <c r="M13" s="57">
        <f t="shared" si="5"/>
        <v>1568.6</v>
      </c>
      <c r="N13" s="57">
        <f t="shared" si="5"/>
        <v>1563.3</v>
      </c>
      <c r="O13" s="48">
        <f t="shared" si="5"/>
        <v>1562.1</v>
      </c>
      <c r="P13" s="394">
        <f t="shared" ref="P13:AC13" si="6">P9 +P12</f>
        <v>1573.9267891323836</v>
      </c>
      <c r="Q13" s="394">
        <f t="shared" si="6"/>
        <v>1585.9354345503814</v>
      </c>
      <c r="R13" s="394">
        <f t="shared" si="6"/>
        <v>1587.9101975616902</v>
      </c>
      <c r="S13" s="394">
        <f t="shared" si="6"/>
        <v>1587.2547789253952</v>
      </c>
      <c r="T13" s="394">
        <f t="shared" si="6"/>
        <v>1587.4214144343857</v>
      </c>
      <c r="U13" s="394">
        <f t="shared" si="6"/>
        <v>1591.6665815728984</v>
      </c>
      <c r="V13" s="394">
        <f t="shared" si="6"/>
        <v>1597.5981128204228</v>
      </c>
      <c r="W13" s="394">
        <f t="shared" si="6"/>
        <v>1605.1922935912212</v>
      </c>
      <c r="X13" s="394">
        <f t="shared" si="6"/>
        <v>1614.118674329608</v>
      </c>
      <c r="Y13" s="394">
        <f t="shared" si="6"/>
        <v>1622.9240123392974</v>
      </c>
      <c r="Z13" s="394">
        <f t="shared" si="6"/>
        <v>1631.7773852169912</v>
      </c>
      <c r="AA13" s="394">
        <f t="shared" si="6"/>
        <v>1641.0802481012545</v>
      </c>
      <c r="AB13" s="394">
        <f t="shared" si="6"/>
        <v>1650.0326668517271</v>
      </c>
      <c r="AC13" s="395">
        <f t="shared" si="6"/>
        <v>1660.2500755702192</v>
      </c>
      <c r="AD13" s="34" t="s">
        <v>527</v>
      </c>
    </row>
    <row r="14" spans="2:46" x14ac:dyDescent="0.3">
      <c r="B14" s="86" t="s">
        <v>528</v>
      </c>
      <c r="C14" s="538"/>
      <c r="D14" s="86"/>
      <c r="E14" s="538"/>
      <c r="F14" s="538"/>
      <c r="G14" s="538"/>
      <c r="H14" s="270">
        <f t="shared" ref="H14:AC14" si="7">H13+H48</f>
        <v>1721.1880000000001</v>
      </c>
      <c r="I14" s="270">
        <f t="shared" si="7"/>
        <v>1739.9560000000001</v>
      </c>
      <c r="J14" s="270">
        <f t="shared" si="7"/>
        <v>1934.885</v>
      </c>
      <c r="K14" s="270">
        <f t="shared" si="7"/>
        <v>1895.6499999999999</v>
      </c>
      <c r="L14" s="270">
        <f t="shared" si="7"/>
        <v>1869.4580000000001</v>
      </c>
      <c r="M14" s="270">
        <f t="shared" si="7"/>
        <v>1953.7849999999999</v>
      </c>
      <c r="N14" s="270">
        <f t="shared" si="7"/>
        <v>1987.319</v>
      </c>
      <c r="O14" s="459">
        <f t="shared" si="7"/>
        <v>2018.9899999999998</v>
      </c>
      <c r="P14" s="266">
        <f t="shared" si="7"/>
        <v>2028.3780244988211</v>
      </c>
      <c r="Q14" s="266">
        <f t="shared" si="7"/>
        <v>2044.2714280551431</v>
      </c>
      <c r="R14" s="266">
        <f t="shared" si="7"/>
        <v>2067.3693232717851</v>
      </c>
      <c r="S14" s="266">
        <f t="shared" si="7"/>
        <v>2084.778267081037</v>
      </c>
      <c r="T14" s="266">
        <f t="shared" si="7"/>
        <v>2105.2941765333962</v>
      </c>
      <c r="U14" s="266">
        <f t="shared" si="7"/>
        <v>2129.6068150130122</v>
      </c>
      <c r="V14" s="266">
        <f t="shared" si="7"/>
        <v>2127.6217560872838</v>
      </c>
      <c r="W14" s="266">
        <f t="shared" si="7"/>
        <v>2142.2108516858998</v>
      </c>
      <c r="X14" s="266">
        <f t="shared" si="7"/>
        <v>2163.7716593652162</v>
      </c>
      <c r="Y14" s="266">
        <f t="shared" si="7"/>
        <v>2160.6532122734729</v>
      </c>
      <c r="Z14" s="266">
        <f t="shared" si="7"/>
        <v>2161.0655285256767</v>
      </c>
      <c r="AA14" s="266">
        <f t="shared" si="7"/>
        <v>2184.7023966394304</v>
      </c>
      <c r="AB14" s="266">
        <f t="shared" si="7"/>
        <v>2207.6815466885728</v>
      </c>
      <c r="AC14" s="267">
        <f t="shared" si="7"/>
        <v>2224.4051917296815</v>
      </c>
      <c r="AD14" s="34" t="s">
        <v>529</v>
      </c>
    </row>
    <row r="17" spans="2:30" ht="21.65" customHeight="1" x14ac:dyDescent="0.3">
      <c r="B17" s="1055" t="s">
        <v>208</v>
      </c>
      <c r="C17" s="1055"/>
      <c r="D17" s="1055"/>
      <c r="E17" s="1055"/>
      <c r="F17" s="1055"/>
      <c r="G17" s="1055"/>
      <c r="H17" s="1055"/>
      <c r="I17" s="1055"/>
      <c r="J17" s="1055"/>
      <c r="K17" s="1055"/>
      <c r="L17" s="1055"/>
      <c r="M17" s="1055"/>
      <c r="N17" s="1055"/>
      <c r="O17" s="1055"/>
      <c r="P17" s="1055"/>
      <c r="Q17" s="1055"/>
      <c r="R17" s="1055"/>
      <c r="S17" s="1055"/>
      <c r="T17" s="1055"/>
      <c r="U17" s="1055"/>
      <c r="V17" s="1055"/>
      <c r="W17" s="1055"/>
      <c r="X17" s="1055"/>
      <c r="Y17" s="1055"/>
      <c r="Z17" s="1055"/>
      <c r="AA17" s="1055"/>
      <c r="AB17" s="1055"/>
      <c r="AC17" s="1055"/>
    </row>
    <row r="18" spans="2:30" ht="14.15" customHeight="1" x14ac:dyDescent="0.3">
      <c r="B18" s="1056" t="s">
        <v>530</v>
      </c>
      <c r="C18" s="1056"/>
      <c r="D18" s="1056"/>
      <c r="E18" s="1056"/>
      <c r="F18" s="1056"/>
      <c r="G18" s="1056"/>
      <c r="H18" s="1056"/>
      <c r="I18" s="1056"/>
      <c r="J18" s="1056"/>
      <c r="K18" s="1056"/>
      <c r="L18" s="1056"/>
      <c r="M18" s="1056"/>
      <c r="N18" s="1056"/>
      <c r="O18" s="1056"/>
      <c r="P18" s="1056"/>
      <c r="Q18" s="1056"/>
      <c r="R18" s="1056"/>
      <c r="S18" s="1056"/>
      <c r="T18" s="1056"/>
      <c r="U18" s="1056"/>
      <c r="V18" s="1056"/>
      <c r="W18" s="1056"/>
      <c r="X18" s="1056"/>
      <c r="Y18" s="1056"/>
      <c r="Z18" s="1056"/>
      <c r="AA18" s="1056"/>
      <c r="AB18" s="1056"/>
      <c r="AC18" s="1056"/>
    </row>
    <row r="19" spans="2:30" x14ac:dyDescent="0.3">
      <c r="B19" s="1056"/>
      <c r="C19" s="1056"/>
      <c r="D19" s="1056"/>
      <c r="E19" s="1056"/>
      <c r="F19" s="1056"/>
      <c r="G19" s="1056"/>
      <c r="H19" s="1056"/>
      <c r="I19" s="1056"/>
      <c r="J19" s="1056"/>
      <c r="K19" s="1056"/>
      <c r="L19" s="1056"/>
      <c r="M19" s="1056"/>
      <c r="N19" s="1056"/>
      <c r="O19" s="1056"/>
      <c r="P19" s="1056"/>
      <c r="Q19" s="1056"/>
      <c r="R19" s="1056"/>
      <c r="S19" s="1056"/>
      <c r="T19" s="1056"/>
      <c r="U19" s="1056"/>
      <c r="V19" s="1056"/>
      <c r="W19" s="1056"/>
      <c r="X19" s="1056"/>
      <c r="Y19" s="1056"/>
      <c r="Z19" s="1056"/>
      <c r="AA19" s="1056"/>
      <c r="AB19" s="1056"/>
      <c r="AC19" s="1056"/>
    </row>
    <row r="20" spans="2:30" x14ac:dyDescent="0.3">
      <c r="B20" s="1056"/>
      <c r="C20" s="1056"/>
      <c r="D20" s="1056"/>
      <c r="E20" s="1056"/>
      <c r="F20" s="1056"/>
      <c r="G20" s="1056"/>
      <c r="H20" s="1056"/>
      <c r="I20" s="1056"/>
      <c r="J20" s="1056"/>
      <c r="K20" s="1056"/>
      <c r="L20" s="1056"/>
      <c r="M20" s="1056"/>
      <c r="N20" s="1056"/>
      <c r="O20" s="1056"/>
      <c r="P20" s="1056"/>
      <c r="Q20" s="1056"/>
      <c r="R20" s="1056"/>
      <c r="S20" s="1056"/>
      <c r="T20" s="1056"/>
      <c r="U20" s="1056"/>
      <c r="V20" s="1056"/>
      <c r="W20" s="1056"/>
      <c r="X20" s="1056"/>
      <c r="Y20" s="1056"/>
      <c r="Z20" s="1056"/>
      <c r="AA20" s="1056"/>
      <c r="AB20" s="1056"/>
      <c r="AC20" s="1056"/>
    </row>
    <row r="22" spans="2:30" x14ac:dyDescent="0.3">
      <c r="B22" s="1060" t="s">
        <v>400</v>
      </c>
      <c r="C22" s="1061"/>
      <c r="D22" s="1067" t="s">
        <v>401</v>
      </c>
      <c r="E22" s="1068"/>
      <c r="F22" s="1068"/>
      <c r="G22" s="1068"/>
      <c r="H22" s="1068"/>
      <c r="I22" s="1068"/>
      <c r="J22" s="1068"/>
      <c r="K22" s="1068"/>
      <c r="L22" s="1068"/>
      <c r="M22" s="1068"/>
      <c r="N22" s="1068"/>
      <c r="O22" s="1069"/>
      <c r="P22" s="1096" t="s">
        <v>402</v>
      </c>
      <c r="Q22" s="1097"/>
      <c r="R22" s="1097"/>
      <c r="S22" s="1097"/>
      <c r="T22" s="1097"/>
      <c r="U22" s="1097"/>
      <c r="V22" s="1097"/>
      <c r="W22" s="1097"/>
      <c r="X22" s="1097"/>
      <c r="Y22" s="1097"/>
      <c r="Z22" s="1097"/>
      <c r="AA22" s="1097"/>
      <c r="AB22" s="1097"/>
      <c r="AC22" s="1098"/>
    </row>
    <row r="23" spans="2:30" x14ac:dyDescent="0.3">
      <c r="B23" s="1062"/>
      <c r="C23" s="1063"/>
      <c r="D23" s="537">
        <v>2018</v>
      </c>
      <c r="E23" s="1057">
        <v>2019</v>
      </c>
      <c r="F23" s="1058"/>
      <c r="G23" s="1058"/>
      <c r="H23" s="1059"/>
      <c r="I23" s="1057">
        <v>2020</v>
      </c>
      <c r="J23" s="1058"/>
      <c r="K23" s="1058"/>
      <c r="L23" s="1059"/>
      <c r="M23" s="1057">
        <v>2021</v>
      </c>
      <c r="N23" s="1058"/>
      <c r="O23" s="1059"/>
      <c r="P23" s="570">
        <v>2021</v>
      </c>
      <c r="Q23" s="1064">
        <v>2022</v>
      </c>
      <c r="R23" s="1065"/>
      <c r="S23" s="1065"/>
      <c r="T23" s="1066"/>
      <c r="U23" s="1064">
        <v>2023</v>
      </c>
      <c r="V23" s="1065"/>
      <c r="W23" s="1065"/>
      <c r="X23" s="1065"/>
      <c r="Y23" s="1064">
        <v>2024</v>
      </c>
      <c r="Z23" s="1065"/>
      <c r="AA23" s="1065"/>
      <c r="AB23" s="1066"/>
      <c r="AC23" s="334">
        <v>2025</v>
      </c>
    </row>
    <row r="24" spans="2:30" x14ac:dyDescent="0.3">
      <c r="B24" s="1100"/>
      <c r="C24" s="1101"/>
      <c r="D24" s="167" t="s">
        <v>403</v>
      </c>
      <c r="E24" s="167" t="s">
        <v>404</v>
      </c>
      <c r="F24" s="148" t="s">
        <v>405</v>
      </c>
      <c r="G24" s="148" t="s">
        <v>290</v>
      </c>
      <c r="H24" s="155" t="s">
        <v>403</v>
      </c>
      <c r="I24" s="149" t="s">
        <v>404</v>
      </c>
      <c r="J24" s="149" t="s">
        <v>405</v>
      </c>
      <c r="K24" s="149" t="s">
        <v>290</v>
      </c>
      <c r="L24" s="149" t="s">
        <v>403</v>
      </c>
      <c r="M24" s="162" t="s">
        <v>404</v>
      </c>
      <c r="N24" s="149" t="s">
        <v>405</v>
      </c>
      <c r="O24" s="155" t="s">
        <v>290</v>
      </c>
      <c r="P24" s="431" t="s">
        <v>403</v>
      </c>
      <c r="Q24" s="429" t="s">
        <v>404</v>
      </c>
      <c r="R24" s="430" t="s">
        <v>405</v>
      </c>
      <c r="S24" s="430" t="s">
        <v>290</v>
      </c>
      <c r="T24" s="430" t="s">
        <v>403</v>
      </c>
      <c r="U24" s="429" t="s">
        <v>404</v>
      </c>
      <c r="V24" s="430" t="s">
        <v>405</v>
      </c>
      <c r="W24" s="430" t="s">
        <v>290</v>
      </c>
      <c r="X24" s="430" t="s">
        <v>403</v>
      </c>
      <c r="Y24" s="429" t="s">
        <v>404</v>
      </c>
      <c r="Z24" s="394" t="s">
        <v>405</v>
      </c>
      <c r="AA24" s="430" t="s">
        <v>290</v>
      </c>
      <c r="AB24" s="431" t="s">
        <v>403</v>
      </c>
      <c r="AC24" s="71" t="s">
        <v>404</v>
      </c>
    </row>
    <row r="25" spans="2:30" x14ac:dyDescent="0.3">
      <c r="B25" s="65" t="s">
        <v>154</v>
      </c>
      <c r="C25" s="879" t="s">
        <v>531</v>
      </c>
      <c r="D25" s="361"/>
      <c r="E25" s="879"/>
      <c r="F25" s="879"/>
      <c r="G25" s="879"/>
      <c r="H25" s="878">
        <f>'Haver Pivoted'!GS24</f>
        <v>2329.1999999999998</v>
      </c>
      <c r="I25" s="878">
        <f>'Haver Pivoted'!GT24</f>
        <v>2376.9</v>
      </c>
      <c r="J25" s="878">
        <f>'Haver Pivoted'!GU24</f>
        <v>2334.6</v>
      </c>
      <c r="K25" s="878">
        <f>'Haver Pivoted'!GV24</f>
        <v>2346.5</v>
      </c>
      <c r="L25" s="878">
        <f>'Haver Pivoted'!GW24</f>
        <v>2373</v>
      </c>
      <c r="M25" s="878">
        <f>'Haver Pivoted'!GX24</f>
        <v>2408.6999999999998</v>
      </c>
      <c r="N25" s="878">
        <f>'Haver Pivoted'!GY24</f>
        <v>2452.6</v>
      </c>
      <c r="O25" s="564">
        <f>'Haver Pivoted'!GZ24</f>
        <v>2514.9</v>
      </c>
      <c r="P25" s="441"/>
      <c r="Q25" s="441"/>
      <c r="R25" s="441"/>
      <c r="S25" s="441"/>
      <c r="T25" s="441"/>
      <c r="U25" s="441"/>
      <c r="V25" s="441"/>
      <c r="W25" s="441"/>
      <c r="X25" s="441"/>
      <c r="Y25" s="441"/>
      <c r="Z25" s="441"/>
      <c r="AA25" s="441"/>
      <c r="AB25" s="441"/>
      <c r="AC25" s="83"/>
    </row>
    <row r="26" spans="2:30" ht="21" customHeight="1" x14ac:dyDescent="0.3">
      <c r="B26" s="56" t="s">
        <v>532</v>
      </c>
      <c r="C26" s="364"/>
      <c r="D26" s="49"/>
      <c r="E26" s="364"/>
      <c r="F26" s="364"/>
      <c r="G26" s="364"/>
      <c r="H26" s="62"/>
      <c r="I26" s="62"/>
      <c r="J26" s="62"/>
      <c r="K26" s="63"/>
      <c r="L26" s="63"/>
      <c r="M26" s="63">
        <v>9.5846503665249383</v>
      </c>
      <c r="N26" s="63">
        <v>9</v>
      </c>
      <c r="O26" s="923">
        <v>10</v>
      </c>
      <c r="P26" s="389">
        <v>10</v>
      </c>
      <c r="Q26" s="389">
        <v>9</v>
      </c>
      <c r="R26" s="389">
        <v>8</v>
      </c>
      <c r="S26" s="389">
        <v>7</v>
      </c>
      <c r="T26" s="389">
        <v>5.5</v>
      </c>
      <c r="U26" s="389">
        <v>5</v>
      </c>
      <c r="V26" s="389">
        <v>5</v>
      </c>
      <c r="W26" s="389">
        <v>5</v>
      </c>
      <c r="X26" s="389">
        <v>5</v>
      </c>
      <c r="Y26" s="389">
        <v>5</v>
      </c>
      <c r="Z26" s="389"/>
      <c r="AA26" s="389"/>
      <c r="AB26" s="389"/>
      <c r="AC26" s="390"/>
      <c r="AD26" s="38" t="s">
        <v>533</v>
      </c>
    </row>
    <row r="27" spans="2:30" ht="17.5" customHeight="1" x14ac:dyDescent="0.3">
      <c r="B27" s="87" t="s">
        <v>534</v>
      </c>
      <c r="C27" s="364"/>
      <c r="D27" s="49"/>
      <c r="E27" s="364"/>
      <c r="F27" s="364"/>
      <c r="G27" s="364"/>
      <c r="H27" s="57">
        <f>H25</f>
        <v>2329.1999999999998</v>
      </c>
      <c r="I27" s="57">
        <f t="shared" ref="I27:O27" si="8">I25</f>
        <v>2376.9</v>
      </c>
      <c r="J27" s="57">
        <f t="shared" si="8"/>
        <v>2334.6</v>
      </c>
      <c r="K27" s="57">
        <f t="shared" si="8"/>
        <v>2346.5</v>
      </c>
      <c r="L27" s="57">
        <f t="shared" si="8"/>
        <v>2373</v>
      </c>
      <c r="M27" s="57">
        <f t="shared" si="8"/>
        <v>2408.6999999999998</v>
      </c>
      <c r="N27" s="57">
        <f t="shared" si="8"/>
        <v>2452.6</v>
      </c>
      <c r="O27" s="48">
        <f t="shared" si="8"/>
        <v>2514.9</v>
      </c>
      <c r="P27" s="394">
        <f t="shared" ref="P27:U27" si="9">O27*((100+P26)/100)^0.25</f>
        <v>2575.543516678471</v>
      </c>
      <c r="Q27" s="394">
        <f t="shared" si="9"/>
        <v>2631.6341692094484</v>
      </c>
      <c r="R27" s="394">
        <f t="shared" si="9"/>
        <v>2682.757733843011</v>
      </c>
      <c r="S27" s="394">
        <f t="shared" si="9"/>
        <v>2728.521623719575</v>
      </c>
      <c r="T27" s="394">
        <f t="shared" si="9"/>
        <v>2765.2889285658985</v>
      </c>
      <c r="U27" s="394">
        <f t="shared" si="9"/>
        <v>2799.2252025612861</v>
      </c>
      <c r="V27" s="394">
        <f t="shared" ref="V27" si="10">U27*((100+V26)/100)^0.25</f>
        <v>2833.5779504667935</v>
      </c>
      <c r="W27" s="394">
        <f t="shared" ref="W27" si="11">V27*((100+W26)/100)^0.25</f>
        <v>2868.3522833478787</v>
      </c>
      <c r="X27" s="394">
        <f t="shared" ref="X27" si="12">W27*((100+X26)/100)^0.25</f>
        <v>2903.5533749941942</v>
      </c>
      <c r="Y27" s="394">
        <f t="shared" ref="Y27" si="13">X27*((100+Y26)/100)^0.25</f>
        <v>2939.1864626893512</v>
      </c>
      <c r="Z27" s="394">
        <f t="shared" ref="Z27" si="14">Y27*((100+Z26)/100)^0.25</f>
        <v>2939.1864626893512</v>
      </c>
      <c r="AA27" s="394">
        <f t="shared" ref="AA27" si="15">Z27*((100+AA26)/100)^0.25</f>
        <v>2939.1864626893512</v>
      </c>
      <c r="AB27" s="394">
        <f t="shared" ref="AB27" si="16">AA27*((100+AB26)/100)^0.25</f>
        <v>2939.1864626893512</v>
      </c>
      <c r="AC27" s="395">
        <f t="shared" ref="AC27" si="17">AB27*((100+AC26)/100)^0.25</f>
        <v>2939.1864626893512</v>
      </c>
    </row>
    <row r="28" spans="2:30" x14ac:dyDescent="0.3">
      <c r="B28" s="86" t="s">
        <v>535</v>
      </c>
      <c r="C28" s="538"/>
      <c r="D28" s="86"/>
      <c r="E28" s="538"/>
      <c r="F28" s="538"/>
      <c r="G28" s="538"/>
      <c r="H28" s="270">
        <f t="shared" ref="H28:O28" si="18">H25-H48</f>
        <v>2049.712</v>
      </c>
      <c r="I28" s="270">
        <f t="shared" si="18"/>
        <v>2091.6440000000002</v>
      </c>
      <c r="J28" s="270">
        <f t="shared" si="18"/>
        <v>1924.7149999999999</v>
      </c>
      <c r="K28" s="270">
        <f t="shared" si="18"/>
        <v>1965.95</v>
      </c>
      <c r="L28" s="270">
        <f t="shared" si="18"/>
        <v>2015.8420000000001</v>
      </c>
      <c r="M28" s="270">
        <f t="shared" si="18"/>
        <v>2023.5149999999999</v>
      </c>
      <c r="N28" s="270">
        <f t="shared" si="18"/>
        <v>2028.5809999999999</v>
      </c>
      <c r="O28" s="459">
        <f t="shared" si="18"/>
        <v>2058.0100000000002</v>
      </c>
      <c r="P28" s="266">
        <f t="shared" ref="P28:AC28" si="19">P27-P48</f>
        <v>2121.0922813120337</v>
      </c>
      <c r="Q28" s="266">
        <f t="shared" si="19"/>
        <v>2173.2981757046864</v>
      </c>
      <c r="R28" s="266">
        <f t="shared" si="19"/>
        <v>2203.2986081329159</v>
      </c>
      <c r="S28" s="266">
        <f t="shared" si="19"/>
        <v>2230.9981355639334</v>
      </c>
      <c r="T28" s="266">
        <f t="shared" si="19"/>
        <v>2247.4161664668882</v>
      </c>
      <c r="U28" s="266">
        <f t="shared" si="19"/>
        <v>2261.2849691211723</v>
      </c>
      <c r="V28" s="266">
        <f t="shared" si="19"/>
        <v>2303.5543071999327</v>
      </c>
      <c r="W28" s="266">
        <f t="shared" si="19"/>
        <v>2331.3337252532001</v>
      </c>
      <c r="X28" s="266">
        <f t="shared" si="19"/>
        <v>2353.9003899585859</v>
      </c>
      <c r="Y28" s="266">
        <f t="shared" si="19"/>
        <v>2401.4572627551756</v>
      </c>
      <c r="Z28" s="266">
        <f t="shared" si="19"/>
        <v>2409.8983193806657</v>
      </c>
      <c r="AA28" s="266">
        <f t="shared" si="19"/>
        <v>2395.5643141511755</v>
      </c>
      <c r="AB28" s="266">
        <f t="shared" si="19"/>
        <v>2381.5375828525057</v>
      </c>
      <c r="AC28" s="267">
        <f t="shared" si="19"/>
        <v>2375.0313465298887</v>
      </c>
      <c r="AD28" s="34" t="s">
        <v>536</v>
      </c>
    </row>
    <row r="29" spans="2:30" x14ac:dyDescent="0.3">
      <c r="B29" s="364"/>
      <c r="C29" s="364"/>
      <c r="D29" s="364"/>
      <c r="E29" s="364"/>
      <c r="F29" s="364"/>
      <c r="G29" s="364"/>
      <c r="H29" s="680" t="e">
        <f t="shared" ref="H29:L29" si="20">(H28/G28)^4-1</f>
        <v>#DIV/0!</v>
      </c>
      <c r="I29" s="680">
        <f t="shared" si="20"/>
        <v>8.4375512359762039E-2</v>
      </c>
      <c r="J29" s="680">
        <f t="shared" si="20"/>
        <v>-0.28300744302674896</v>
      </c>
      <c r="K29" s="680">
        <f t="shared" si="20"/>
        <v>8.848926220761677E-2</v>
      </c>
      <c r="L29" s="680">
        <f t="shared" si="20"/>
        <v>0.10544231537179294</v>
      </c>
      <c r="M29" s="680">
        <f>(M28/L28)^4-1</f>
        <v>1.5312550207230657E-2</v>
      </c>
      <c r="N29" s="680">
        <f>(N28/M28)^4-1</f>
        <v>1.0051927182471054E-2</v>
      </c>
      <c r="O29" s="680">
        <f>(O28/N28)^4-1</f>
        <v>5.9303747728829848E-2</v>
      </c>
      <c r="P29" s="680">
        <f t="shared" ref="P29:R29" si="21">(P28/O28)^4-1</f>
        <v>0.12836168700673389</v>
      </c>
      <c r="Q29" s="680">
        <f t="shared" si="21"/>
        <v>0.10214569226630665</v>
      </c>
      <c r="R29" s="680">
        <f t="shared" si="21"/>
        <v>5.6370290611701179E-2</v>
      </c>
      <c r="S29" s="680">
        <f t="shared" ref="S29" si="22">(S28/R28)^4-1</f>
        <v>5.1243658500796263E-2</v>
      </c>
      <c r="T29" s="680">
        <f t="shared" ref="T29" si="23">(T28/S28)^4-1</f>
        <v>2.9762738235580288E-2</v>
      </c>
      <c r="U29" s="680">
        <f t="shared" ref="U29" si="24">(U28/T28)^4-1</f>
        <v>2.4913424344809032E-2</v>
      </c>
      <c r="V29" s="680">
        <f t="shared" ref="V29" si="25">(V28/U28)^4-1</f>
        <v>7.6893207412144005E-2</v>
      </c>
      <c r="W29" s="680">
        <f t="shared" ref="W29" si="26">(W28/V28)^4-1</f>
        <v>4.9117094503865699E-2</v>
      </c>
      <c r="X29" s="680">
        <f t="shared" ref="X29" si="27">(X28/W28)^4-1</f>
        <v>3.9284710891796193E-2</v>
      </c>
      <c r="Y29" s="680">
        <f t="shared" ref="Y29" si="28">(Y28/X28)^4-1</f>
        <v>8.3295964464637828E-2</v>
      </c>
      <c r="Z29" s="680">
        <f t="shared" ref="Z29" si="29">(Z28/Y28)^4-1</f>
        <v>1.4134194704484182E-2</v>
      </c>
    </row>
    <row r="30" spans="2:30" x14ac:dyDescent="0.3">
      <c r="B30" s="364"/>
      <c r="C30" s="364"/>
      <c r="D30" s="364"/>
      <c r="E30" s="364"/>
      <c r="F30" s="364"/>
      <c r="G30" s="364"/>
      <c r="H30" s="57"/>
      <c r="I30" s="57"/>
      <c r="J30" s="57"/>
      <c r="K30" s="57"/>
      <c r="L30" s="57"/>
      <c r="M30" s="57"/>
      <c r="N30" s="57"/>
      <c r="O30" s="57"/>
      <c r="P30" s="57"/>
      <c r="Q30" s="57"/>
      <c r="R30" s="57"/>
      <c r="S30" s="57"/>
      <c r="T30" s="57"/>
      <c r="U30" s="57"/>
      <c r="V30" s="57"/>
      <c r="W30" s="57"/>
      <c r="X30" s="57"/>
      <c r="Y30" s="57"/>
      <c r="Z30" s="57"/>
    </row>
    <row r="31" spans="2:30" ht="39" customHeight="1" x14ac:dyDescent="0.3">
      <c r="B31" s="505" t="s">
        <v>537</v>
      </c>
      <c r="C31" s="943" t="s">
        <v>538</v>
      </c>
      <c r="D31" s="882">
        <v>44197</v>
      </c>
      <c r="E31" s="883">
        <v>44228</v>
      </c>
      <c r="F31" s="883">
        <v>44256</v>
      </c>
      <c r="G31" s="883">
        <v>44287</v>
      </c>
      <c r="H31" s="883">
        <v>44317</v>
      </c>
      <c r="I31" s="883">
        <v>44348</v>
      </c>
      <c r="J31" s="883">
        <v>44378</v>
      </c>
      <c r="K31" s="883">
        <v>44409</v>
      </c>
      <c r="L31" s="883">
        <v>44440</v>
      </c>
      <c r="M31" s="883">
        <v>44470</v>
      </c>
      <c r="N31" s="883">
        <v>44501</v>
      </c>
      <c r="O31" s="884">
        <v>44531</v>
      </c>
      <c r="P31" s="57"/>
      <c r="Q31" s="57"/>
      <c r="R31" s="57"/>
      <c r="S31" s="57"/>
      <c r="T31" s="57"/>
      <c r="U31" s="57"/>
      <c r="V31" s="57"/>
      <c r="W31" s="57"/>
      <c r="X31" s="57"/>
      <c r="Y31" s="57"/>
      <c r="Z31" s="57"/>
    </row>
    <row r="32" spans="2:30" ht="19.5" customHeight="1" x14ac:dyDescent="0.35">
      <c r="B32" s="255" t="s">
        <v>539</v>
      </c>
      <c r="C32" s="234" t="s">
        <v>540</v>
      </c>
      <c r="D32" s="885">
        <v>5008</v>
      </c>
      <c r="E32" s="848">
        <v>4955</v>
      </c>
      <c r="F32" s="848">
        <v>4967</v>
      </c>
      <c r="G32" s="848">
        <v>4977</v>
      </c>
      <c r="H32" s="848">
        <v>5018</v>
      </c>
      <c r="I32" s="234">
        <v>5074</v>
      </c>
      <c r="J32" s="848">
        <v>5085</v>
      </c>
      <c r="K32" s="848">
        <v>5060</v>
      </c>
      <c r="L32" s="886"/>
      <c r="M32" s="886"/>
      <c r="N32" s="886"/>
      <c r="O32" s="887"/>
      <c r="P32" s="506"/>
      <c r="Q32" s="506"/>
      <c r="R32" s="57"/>
      <c r="S32" s="57"/>
      <c r="T32" s="57"/>
      <c r="U32" s="57"/>
      <c r="V32" s="57"/>
      <c r="W32" s="57"/>
      <c r="X32" s="57"/>
      <c r="Y32" s="57"/>
      <c r="Z32" s="57"/>
    </row>
    <row r="33" spans="2:29" ht="18" customHeight="1" x14ac:dyDescent="0.35">
      <c r="B33" s="49" t="s">
        <v>541</v>
      </c>
      <c r="C33" s="34" t="s">
        <v>542</v>
      </c>
      <c r="D33" s="436">
        <v>13683</v>
      </c>
      <c r="E33" s="221">
        <v>13644</v>
      </c>
      <c r="F33" s="221">
        <v>13687</v>
      </c>
      <c r="G33" s="221">
        <v>13717</v>
      </c>
      <c r="H33" s="221">
        <v>13743</v>
      </c>
      <c r="I33" s="221">
        <v>13848</v>
      </c>
      <c r="J33" s="847">
        <v>14083</v>
      </c>
      <c r="K33" s="221">
        <v>14097</v>
      </c>
      <c r="L33"/>
      <c r="M33"/>
      <c r="N33"/>
      <c r="O33" s="944"/>
      <c r="P33"/>
      <c r="Q33"/>
      <c r="R33" s="57"/>
      <c r="S33" s="57"/>
      <c r="T33" s="57"/>
      <c r="U33" s="57"/>
      <c r="V33" s="57"/>
      <c r="W33" s="57"/>
      <c r="X33" s="57"/>
      <c r="Y33" s="57"/>
      <c r="Z33" s="57"/>
    </row>
    <row r="34" spans="2:29" ht="19.5" customHeight="1" x14ac:dyDescent="0.35">
      <c r="B34" s="86" t="s">
        <v>543</v>
      </c>
      <c r="C34" s="42" t="s">
        <v>544</v>
      </c>
      <c r="D34" s="507">
        <v>328517</v>
      </c>
      <c r="E34" s="284">
        <v>320118</v>
      </c>
      <c r="F34" s="284">
        <v>319991</v>
      </c>
      <c r="G34" s="284">
        <v>321220</v>
      </c>
      <c r="H34" s="284">
        <v>319056</v>
      </c>
      <c r="I34" s="270">
        <v>315198</v>
      </c>
      <c r="J34" s="849">
        <v>317242</v>
      </c>
      <c r="K34" s="284">
        <v>319870</v>
      </c>
      <c r="L34" s="888"/>
      <c r="M34" s="888"/>
      <c r="N34" s="888"/>
      <c r="O34" s="465"/>
      <c r="P34"/>
      <c r="Q34"/>
      <c r="R34" s="57"/>
      <c r="S34" s="57"/>
      <c r="T34" s="57"/>
      <c r="U34" s="57"/>
      <c r="V34" s="57"/>
      <c r="W34" s="57"/>
      <c r="X34" s="57"/>
      <c r="Y34" s="57"/>
      <c r="Z34" s="57"/>
    </row>
    <row r="35" spans="2:29" ht="14.5" x14ac:dyDescent="0.35">
      <c r="B35" s="68"/>
      <c r="C35" s="364"/>
      <c r="D35" s="364"/>
      <c r="E35" s="364"/>
      <c r="F35" s="364"/>
      <c r="G35" s="364"/>
      <c r="H35" s="57"/>
      <c r="I35" s="57"/>
      <c r="J35" s="57"/>
      <c r="K35"/>
      <c r="L35"/>
      <c r="M35"/>
      <c r="N35"/>
      <c r="O35"/>
      <c r="P35"/>
      <c r="Q35"/>
      <c r="R35" s="57"/>
      <c r="S35" s="57"/>
      <c r="T35" s="57"/>
      <c r="U35" s="57"/>
      <c r="V35" s="57"/>
      <c r="W35" s="57"/>
      <c r="X35" s="57"/>
      <c r="Y35" s="57"/>
      <c r="Z35" s="57"/>
    </row>
    <row r="36" spans="2:29" ht="12.65" customHeight="1" x14ac:dyDescent="0.3"/>
    <row r="37" spans="2:29" x14ac:dyDescent="0.3">
      <c r="B37" s="1055" t="s">
        <v>545</v>
      </c>
      <c r="C37" s="1055"/>
      <c r="D37" s="1055"/>
      <c r="E37" s="1055"/>
      <c r="F37" s="1055"/>
      <c r="G37" s="1055"/>
      <c r="H37" s="1055"/>
      <c r="I37" s="1055"/>
      <c r="J37" s="1055"/>
      <c r="K37" s="1055"/>
      <c r="L37" s="1055"/>
      <c r="M37" s="1055"/>
      <c r="N37" s="1055"/>
      <c r="O37" s="1055"/>
      <c r="P37" s="1055"/>
      <c r="Q37" s="1055"/>
      <c r="R37" s="1055"/>
      <c r="S37" s="1055"/>
      <c r="T37" s="1055"/>
      <c r="U37" s="1055"/>
      <c r="V37" s="1055"/>
      <c r="W37" s="1055"/>
      <c r="X37" s="1055"/>
      <c r="Y37" s="1055"/>
      <c r="Z37" s="1055"/>
      <c r="AA37" s="1055"/>
      <c r="AB37" s="1055"/>
      <c r="AC37" s="1055"/>
    </row>
    <row r="38" spans="2:29" ht="9" customHeight="1" x14ac:dyDescent="0.3">
      <c r="B38" s="1055"/>
      <c r="C38" s="1055"/>
      <c r="D38" s="1055"/>
      <c r="E38" s="1055"/>
      <c r="F38" s="1055"/>
      <c r="G38" s="1055"/>
      <c r="H38" s="1055"/>
      <c r="I38" s="1055"/>
      <c r="J38" s="1055"/>
      <c r="K38" s="1055"/>
      <c r="L38" s="1055"/>
      <c r="M38" s="1055"/>
      <c r="N38" s="1055"/>
      <c r="O38" s="1055"/>
      <c r="P38" s="1055"/>
      <c r="Q38" s="1055"/>
      <c r="R38" s="1055"/>
      <c r="S38" s="1055"/>
      <c r="T38" s="1055"/>
      <c r="U38" s="1055"/>
      <c r="V38" s="1055"/>
      <c r="W38" s="1055"/>
      <c r="X38" s="1055"/>
      <c r="Y38" s="1055"/>
      <c r="Z38" s="1055"/>
      <c r="AA38" s="1055"/>
      <c r="AB38" s="1055"/>
      <c r="AC38" s="1055"/>
    </row>
    <row r="39" spans="2:29" ht="14.15" customHeight="1" x14ac:dyDescent="0.3">
      <c r="B39" s="1119" t="s">
        <v>546</v>
      </c>
      <c r="C39" s="1119"/>
      <c r="D39" s="1119"/>
      <c r="E39" s="1119"/>
      <c r="F39" s="1119"/>
      <c r="G39" s="1119"/>
      <c r="H39" s="1119"/>
      <c r="I39" s="1119"/>
      <c r="J39" s="1119"/>
      <c r="K39" s="1119"/>
      <c r="L39" s="1119"/>
      <c r="M39" s="1119"/>
      <c r="N39" s="1119"/>
      <c r="O39" s="1119"/>
      <c r="P39" s="1119"/>
      <c r="Q39" s="1119"/>
      <c r="R39" s="1119"/>
      <c r="S39" s="1119"/>
      <c r="T39" s="1119"/>
      <c r="U39" s="1119"/>
      <c r="V39" s="1119"/>
      <c r="W39" s="1119"/>
      <c r="X39" s="1119"/>
      <c r="Y39" s="1119"/>
      <c r="Z39" s="1119"/>
      <c r="AA39" s="1119"/>
      <c r="AB39" s="1119"/>
      <c r="AC39" s="1119"/>
    </row>
    <row r="40" spans="2:29" x14ac:dyDescent="0.3">
      <c r="B40" s="1119"/>
      <c r="C40" s="1119"/>
      <c r="D40" s="1119"/>
      <c r="E40" s="1119"/>
      <c r="F40" s="1119"/>
      <c r="G40" s="1119"/>
      <c r="H40" s="1119"/>
      <c r="I40" s="1119"/>
      <c r="J40" s="1119"/>
      <c r="K40" s="1119"/>
      <c r="L40" s="1119"/>
      <c r="M40" s="1119"/>
      <c r="N40" s="1119"/>
      <c r="O40" s="1119"/>
      <c r="P40" s="1119"/>
      <c r="Q40" s="1119"/>
      <c r="R40" s="1119"/>
      <c r="S40" s="1119"/>
      <c r="T40" s="1119"/>
      <c r="U40" s="1119"/>
      <c r="V40" s="1119"/>
      <c r="W40" s="1119"/>
      <c r="X40" s="1119"/>
      <c r="Y40" s="1119"/>
      <c r="Z40" s="1119"/>
      <c r="AA40" s="1119"/>
      <c r="AB40" s="1119"/>
      <c r="AC40" s="1119"/>
    </row>
    <row r="41" spans="2:29" ht="8.5" customHeight="1" x14ac:dyDescent="0.3">
      <c r="B41" s="1119"/>
      <c r="C41" s="1119"/>
      <c r="D41" s="1119"/>
      <c r="E41" s="1119"/>
      <c r="F41" s="1119"/>
      <c r="G41" s="1119"/>
      <c r="H41" s="1119"/>
      <c r="I41" s="1119"/>
      <c r="J41" s="1119"/>
      <c r="K41" s="1119"/>
      <c r="L41" s="1119"/>
      <c r="M41" s="1119"/>
      <c r="N41" s="1119"/>
      <c r="O41" s="1119"/>
      <c r="P41" s="1119"/>
      <c r="Q41" s="1119"/>
      <c r="R41" s="1119"/>
      <c r="S41" s="1119"/>
      <c r="T41" s="1119"/>
      <c r="U41" s="1119"/>
      <c r="V41" s="1119"/>
      <c r="W41" s="1119"/>
      <c r="X41" s="1119"/>
      <c r="Y41" s="1119"/>
      <c r="Z41" s="1119"/>
      <c r="AA41" s="1119"/>
      <c r="AB41" s="1119"/>
      <c r="AC41" s="1119"/>
    </row>
    <row r="42" spans="2:29" ht="12.65" customHeight="1" x14ac:dyDescent="0.3"/>
    <row r="43" spans="2:29" ht="30.65" customHeight="1" x14ac:dyDescent="0.3">
      <c r="B43" s="1060" t="s">
        <v>400</v>
      </c>
      <c r="C43" s="1120"/>
      <c r="D43" s="1067" t="s">
        <v>401</v>
      </c>
      <c r="E43" s="1068"/>
      <c r="F43" s="1068"/>
      <c r="G43" s="1068"/>
      <c r="H43" s="1068"/>
      <c r="I43" s="1068"/>
      <c r="J43" s="1068"/>
      <c r="K43" s="1068"/>
      <c r="L43" s="1068"/>
      <c r="M43" s="1068"/>
      <c r="N43" s="1068"/>
      <c r="O43" s="1069"/>
      <c r="P43" s="1096" t="s">
        <v>402</v>
      </c>
      <c r="Q43" s="1097"/>
      <c r="R43" s="1097"/>
      <c r="S43" s="1097"/>
      <c r="T43" s="1097"/>
      <c r="U43" s="1097"/>
      <c r="V43" s="1097"/>
      <c r="W43" s="1097"/>
      <c r="X43" s="1097"/>
      <c r="Y43" s="1097"/>
      <c r="Z43" s="1097"/>
      <c r="AA43" s="1097"/>
      <c r="AB43" s="1097"/>
      <c r="AC43" s="1098"/>
    </row>
    <row r="44" spans="2:29" x14ac:dyDescent="0.3">
      <c r="B44" s="1062"/>
      <c r="C44" s="1121"/>
      <c r="D44" s="537">
        <v>2018</v>
      </c>
      <c r="E44" s="1057">
        <v>2019</v>
      </c>
      <c r="F44" s="1058"/>
      <c r="G44" s="1058"/>
      <c r="H44" s="1059"/>
      <c r="I44" s="1057">
        <v>2020</v>
      </c>
      <c r="J44" s="1058"/>
      <c r="K44" s="1058"/>
      <c r="L44" s="1059"/>
      <c r="M44" s="1057">
        <v>2021</v>
      </c>
      <c r="N44" s="1058"/>
      <c r="O44" s="1059"/>
      <c r="P44" s="570">
        <v>2021</v>
      </c>
      <c r="Q44" s="1064">
        <v>2022</v>
      </c>
      <c r="R44" s="1065"/>
      <c r="S44" s="1065"/>
      <c r="T44" s="1066"/>
      <c r="U44" s="1064">
        <v>2023</v>
      </c>
      <c r="V44" s="1065"/>
      <c r="W44" s="1065"/>
      <c r="X44" s="1065"/>
      <c r="Y44" s="1064">
        <v>2024</v>
      </c>
      <c r="Z44" s="1065"/>
      <c r="AA44" s="1065"/>
      <c r="AB44" s="1066"/>
      <c r="AC44" s="334">
        <v>2025</v>
      </c>
    </row>
    <row r="45" spans="2:29" x14ac:dyDescent="0.3">
      <c r="B45" s="1100"/>
      <c r="C45" s="1122"/>
      <c r="D45" s="167" t="s">
        <v>403</v>
      </c>
      <c r="E45" s="167" t="s">
        <v>404</v>
      </c>
      <c r="F45" s="148" t="s">
        <v>405</v>
      </c>
      <c r="G45" s="148" t="s">
        <v>290</v>
      </c>
      <c r="H45" s="155" t="s">
        <v>403</v>
      </c>
      <c r="I45" s="149" t="s">
        <v>404</v>
      </c>
      <c r="J45" s="149" t="s">
        <v>405</v>
      </c>
      <c r="K45" s="149" t="s">
        <v>290</v>
      </c>
      <c r="L45" s="149" t="s">
        <v>403</v>
      </c>
      <c r="M45" s="162" t="s">
        <v>404</v>
      </c>
      <c r="N45" s="149" t="s">
        <v>405</v>
      </c>
      <c r="O45" s="155" t="s">
        <v>290</v>
      </c>
      <c r="P45" s="431" t="s">
        <v>403</v>
      </c>
      <c r="Q45" s="429" t="s">
        <v>404</v>
      </c>
      <c r="R45" s="430" t="s">
        <v>405</v>
      </c>
      <c r="S45" s="430" t="s">
        <v>290</v>
      </c>
      <c r="T45" s="430" t="s">
        <v>403</v>
      </c>
      <c r="U45" s="429" t="s">
        <v>404</v>
      </c>
      <c r="V45" s="430" t="s">
        <v>405</v>
      </c>
      <c r="W45" s="430" t="s">
        <v>290</v>
      </c>
      <c r="X45" s="430" t="s">
        <v>403</v>
      </c>
      <c r="Y45" s="429" t="s">
        <v>404</v>
      </c>
      <c r="Z45" s="394" t="s">
        <v>405</v>
      </c>
      <c r="AA45" s="430" t="s">
        <v>290</v>
      </c>
      <c r="AB45" s="431" t="s">
        <v>403</v>
      </c>
      <c r="AC45" s="71" t="s">
        <v>404</v>
      </c>
    </row>
    <row r="46" spans="2:29" x14ac:dyDescent="0.3">
      <c r="B46" s="65" t="s">
        <v>177</v>
      </c>
      <c r="C46" s="879"/>
      <c r="D46" s="361"/>
      <c r="E46" s="879"/>
      <c r="F46" s="879"/>
      <c r="G46" s="879"/>
      <c r="H46" s="453">
        <f>Grants!H93</f>
        <v>70.894000000000005</v>
      </c>
      <c r="I46" s="453">
        <f>Grants!I93</f>
        <v>72.774000000000001</v>
      </c>
      <c r="J46" s="453">
        <f>Grants!J93</f>
        <v>75.275000000000006</v>
      </c>
      <c r="K46" s="453">
        <f>Grants!K93</f>
        <v>78.766999999999996</v>
      </c>
      <c r="L46" s="453">
        <f>Grants!L93</f>
        <v>76.995000000000005</v>
      </c>
      <c r="M46" s="453">
        <f>Grants!M93</f>
        <v>75.03</v>
      </c>
      <c r="N46" s="453">
        <f>Grants!N93</f>
        <v>77.703999999999994</v>
      </c>
      <c r="O46" s="880">
        <f>Grants!O93</f>
        <v>72.766999999999996</v>
      </c>
      <c r="P46" s="441">
        <f>Grants!P93</f>
        <v>75.34842857142857</v>
      </c>
      <c r="Q46" s="441">
        <f>Grants!Q93</f>
        <v>75.34842857142857</v>
      </c>
      <c r="R46" s="441">
        <f>Grants!R93</f>
        <v>75.34842857142857</v>
      </c>
      <c r="S46" s="441">
        <f>Grants!S93</f>
        <v>75.34842857142857</v>
      </c>
      <c r="T46" s="441">
        <f>Grants!T93</f>
        <v>75.34842857142857</v>
      </c>
      <c r="U46" s="441">
        <f>Grants!U93</f>
        <v>75.34842857142857</v>
      </c>
      <c r="V46" s="441">
        <f>Grants!V93</f>
        <v>75.34842857142857</v>
      </c>
      <c r="W46" s="441">
        <f>Grants!W93</f>
        <v>75.34842857142857</v>
      </c>
      <c r="X46" s="441">
        <f>Grants!X93</f>
        <v>75.34842857142857</v>
      </c>
      <c r="Y46" s="441">
        <f>Grants!Y93</f>
        <v>75.34842857142857</v>
      </c>
      <c r="Z46" s="441">
        <f>Grants!Z93</f>
        <v>75.34842857142857</v>
      </c>
      <c r="AA46" s="441">
        <f>Grants!AA93</f>
        <v>75.34842857142857</v>
      </c>
      <c r="AB46" s="441">
        <f>Grants!AB93</f>
        <v>75.34842857142857</v>
      </c>
      <c r="AC46" s="83">
        <f>Grants!AC93</f>
        <v>75.34842857142857</v>
      </c>
    </row>
    <row r="47" spans="2:29" x14ac:dyDescent="0.3">
      <c r="B47" s="56" t="s">
        <v>236</v>
      </c>
      <c r="C47" s="55"/>
      <c r="D47" s="158"/>
      <c r="E47" s="55"/>
      <c r="F47" s="55"/>
      <c r="G47" s="55"/>
      <c r="H47" s="62">
        <f>Grants!H74</f>
        <v>208.59399999999999</v>
      </c>
      <c r="I47" s="62">
        <f>Grants!I74</f>
        <v>212.48200000000003</v>
      </c>
      <c r="J47" s="62">
        <f>Grants!J74</f>
        <v>334.61</v>
      </c>
      <c r="K47" s="62">
        <f>Grants!K74</f>
        <v>301.78300000000002</v>
      </c>
      <c r="L47" s="62">
        <f>Grants!L74</f>
        <v>280.16300000000001</v>
      </c>
      <c r="M47" s="62">
        <f>Grants!M74</f>
        <v>310.15499999999997</v>
      </c>
      <c r="N47" s="62">
        <f>Grants!N74</f>
        <v>346.31500000000005</v>
      </c>
      <c r="O47" s="945">
        <f>Grants!O74</f>
        <v>384.12299999999988</v>
      </c>
      <c r="P47" s="69">
        <f>Grants!P74</f>
        <v>379.1028067950088</v>
      </c>
      <c r="Q47" s="69">
        <f>Grants!Q74</f>
        <v>382.98756493333315</v>
      </c>
      <c r="R47" s="69">
        <f>Grants!R74</f>
        <v>404.11069713866652</v>
      </c>
      <c r="S47" s="69">
        <f>Grants!S74</f>
        <v>422.17505958421322</v>
      </c>
      <c r="T47" s="69">
        <f>Grants!T74</f>
        <v>442.52433352758169</v>
      </c>
      <c r="U47" s="69">
        <f>Grants!U74</f>
        <v>462.59180486868502</v>
      </c>
      <c r="V47" s="69">
        <f>Grants!V74</f>
        <v>454.67521469543243</v>
      </c>
      <c r="W47" s="69">
        <f>Grants!W74</f>
        <v>461.67012952324978</v>
      </c>
      <c r="X47" s="69">
        <f>Grants!X74</f>
        <v>474.30455646417977</v>
      </c>
      <c r="Y47" s="69">
        <f>Grants!Y74</f>
        <v>462.38077136274694</v>
      </c>
      <c r="Z47" s="69">
        <f>Grants!Z74</f>
        <v>453.93971473725685</v>
      </c>
      <c r="AA47" s="69">
        <f>Grants!AA74</f>
        <v>468.27371996674719</v>
      </c>
      <c r="AB47" s="69">
        <f>Grants!AB74</f>
        <v>482.30045126541711</v>
      </c>
      <c r="AC47" s="67">
        <f>Grants!AC74</f>
        <v>488.80668758803381</v>
      </c>
    </row>
    <row r="48" spans="2:29" x14ac:dyDescent="0.3">
      <c r="B48" s="72" t="s">
        <v>547</v>
      </c>
      <c r="C48" s="538"/>
      <c r="D48" s="86"/>
      <c r="E48" s="538"/>
      <c r="F48" s="538"/>
      <c r="G48" s="538"/>
      <c r="H48" s="565">
        <f>H46+H47</f>
        <v>279.488</v>
      </c>
      <c r="I48" s="565">
        <f t="shared" ref="I48:AC48" si="30">I46+I47</f>
        <v>285.25600000000003</v>
      </c>
      <c r="J48" s="565">
        <f t="shared" si="30"/>
        <v>409.88499999999999</v>
      </c>
      <c r="K48" s="565">
        <f t="shared" si="30"/>
        <v>380.55</v>
      </c>
      <c r="L48" s="565">
        <f t="shared" si="30"/>
        <v>357.15800000000002</v>
      </c>
      <c r="M48" s="565">
        <f t="shared" si="30"/>
        <v>385.18499999999995</v>
      </c>
      <c r="N48" s="565">
        <f t="shared" si="30"/>
        <v>424.01900000000006</v>
      </c>
      <c r="O48" s="881">
        <f t="shared" si="30"/>
        <v>456.88999999999987</v>
      </c>
      <c r="P48" s="84">
        <f t="shared" si="30"/>
        <v>454.45123536643734</v>
      </c>
      <c r="Q48" s="84">
        <f t="shared" si="30"/>
        <v>458.33599350476175</v>
      </c>
      <c r="R48" s="84">
        <f t="shared" si="30"/>
        <v>479.45912571009512</v>
      </c>
      <c r="S48" s="84">
        <f t="shared" si="30"/>
        <v>497.52348815564176</v>
      </c>
      <c r="T48" s="84">
        <f t="shared" si="30"/>
        <v>517.87276209901029</v>
      </c>
      <c r="U48" s="84">
        <f t="shared" si="30"/>
        <v>537.94023344011362</v>
      </c>
      <c r="V48" s="84">
        <f t="shared" si="30"/>
        <v>530.02364326686097</v>
      </c>
      <c r="W48" s="84">
        <f t="shared" si="30"/>
        <v>537.01855809467838</v>
      </c>
      <c r="X48" s="84">
        <f t="shared" si="30"/>
        <v>549.65298503560837</v>
      </c>
      <c r="Y48" s="84">
        <f t="shared" si="30"/>
        <v>537.72919993417554</v>
      </c>
      <c r="Z48" s="84">
        <f t="shared" si="30"/>
        <v>529.28814330868545</v>
      </c>
      <c r="AA48" s="84">
        <f t="shared" si="30"/>
        <v>543.62214853817579</v>
      </c>
      <c r="AB48" s="84">
        <f t="shared" si="30"/>
        <v>557.64887983684571</v>
      </c>
      <c r="AC48" s="85">
        <f t="shared" si="30"/>
        <v>564.15511615946241</v>
      </c>
    </row>
    <row r="49" spans="39:58" x14ac:dyDescent="0.3">
      <c r="AM49" s="1125" t="s">
        <v>548</v>
      </c>
      <c r="AN49" s="1126"/>
      <c r="AO49" s="1067" t="s">
        <v>401</v>
      </c>
      <c r="AP49" s="1068"/>
      <c r="AQ49" s="1068"/>
      <c r="AR49" s="1068"/>
      <c r="AS49" s="1068"/>
      <c r="AT49" s="1069"/>
      <c r="AU49" s="1116" t="s">
        <v>402</v>
      </c>
      <c r="AV49" s="1116"/>
      <c r="AW49" s="1116"/>
      <c r="AX49" s="1116"/>
      <c r="AY49" s="1116"/>
      <c r="AZ49" s="1116"/>
      <c r="BA49" s="1116"/>
      <c r="BB49" s="1116"/>
    </row>
    <row r="50" spans="39:58" x14ac:dyDescent="0.3">
      <c r="AM50" s="1127"/>
      <c r="AN50" s="1128"/>
      <c r="AO50" s="946">
        <v>2019</v>
      </c>
      <c r="AP50" s="1057">
        <v>2020</v>
      </c>
      <c r="AQ50" s="1058"/>
      <c r="AR50" s="1058"/>
      <c r="AS50" s="1059"/>
      <c r="AT50" s="946">
        <v>2021</v>
      </c>
      <c r="AU50" s="1064">
        <v>2021</v>
      </c>
      <c r="AV50" s="1065"/>
      <c r="AW50" s="1066"/>
      <c r="AX50" s="1064">
        <v>2022</v>
      </c>
      <c r="AY50" s="1065"/>
      <c r="AZ50" s="1065"/>
      <c r="BA50" s="1066"/>
      <c r="BB50" s="334">
        <v>2023</v>
      </c>
    </row>
    <row r="51" spans="39:58" x14ac:dyDescent="0.3">
      <c r="AM51" s="1127"/>
      <c r="AN51" s="1128"/>
      <c r="AO51" s="168" t="s">
        <v>403</v>
      </c>
      <c r="AP51" s="162" t="s">
        <v>404</v>
      </c>
      <c r="AQ51" s="149" t="s">
        <v>405</v>
      </c>
      <c r="AR51" s="149" t="s">
        <v>290</v>
      </c>
      <c r="AS51" s="155" t="s">
        <v>403</v>
      </c>
      <c r="AT51" s="168" t="s">
        <v>404</v>
      </c>
      <c r="AU51" s="429" t="s">
        <v>405</v>
      </c>
      <c r="AV51" s="430" t="s">
        <v>290</v>
      </c>
      <c r="AW51" s="431" t="s">
        <v>403</v>
      </c>
      <c r="AX51" s="429" t="s">
        <v>404</v>
      </c>
      <c r="AY51" s="430" t="s">
        <v>405</v>
      </c>
      <c r="AZ51" s="430" t="s">
        <v>290</v>
      </c>
      <c r="BA51" s="431" t="s">
        <v>403</v>
      </c>
      <c r="BB51" s="71" t="s">
        <v>404</v>
      </c>
    </row>
    <row r="52" spans="39:58" ht="28" x14ac:dyDescent="0.3">
      <c r="AM52" s="65" t="s">
        <v>549</v>
      </c>
      <c r="AN52" s="504"/>
      <c r="AO52" s="70">
        <v>4.8</v>
      </c>
      <c r="AP52" s="453">
        <v>3.9</v>
      </c>
      <c r="AQ52" s="453">
        <v>3.2</v>
      </c>
      <c r="AR52" s="453">
        <v>3.8</v>
      </c>
      <c r="AS52" s="453">
        <v>3.7</v>
      </c>
      <c r="AT52" s="453">
        <v>3.7</v>
      </c>
      <c r="AU52" s="82">
        <v>3.7</v>
      </c>
      <c r="AV52" s="441">
        <v>3.7</v>
      </c>
      <c r="AW52" s="441">
        <v>3.8</v>
      </c>
      <c r="AX52" s="441">
        <v>3.8</v>
      </c>
      <c r="AY52" s="441">
        <v>3.9</v>
      </c>
      <c r="AZ52" s="441">
        <v>3.9</v>
      </c>
      <c r="BA52" s="441">
        <v>4</v>
      </c>
      <c r="BB52" s="83">
        <v>4</v>
      </c>
    </row>
    <row r="53" spans="39:58" ht="28" x14ac:dyDescent="0.3">
      <c r="AM53" s="89" t="s">
        <v>550</v>
      </c>
      <c r="AN53" s="364"/>
      <c r="AO53" s="64">
        <v>3.3969999999999998</v>
      </c>
      <c r="AP53" s="62">
        <v>4.1660000000000004</v>
      </c>
      <c r="AQ53" s="62">
        <v>-7.6660000000000004</v>
      </c>
      <c r="AR53" s="63">
        <v>-0.84299999999999997</v>
      </c>
      <c r="AS53" s="63">
        <v>2.097</v>
      </c>
      <c r="AT53" s="63">
        <v>9.5879999999999992</v>
      </c>
      <c r="AU53" s="388">
        <v>14.488</v>
      </c>
      <c r="AV53" s="389">
        <v>9.7850000000000001</v>
      </c>
      <c r="AW53" s="389">
        <v>5.202</v>
      </c>
      <c r="AX53" s="389">
        <v>5.4939999999999998</v>
      </c>
      <c r="AY53" s="389">
        <v>5.7560000000000002</v>
      </c>
      <c r="AZ53" s="389">
        <v>4.133</v>
      </c>
      <c r="BA53" s="389">
        <v>3.5270000000000001</v>
      </c>
      <c r="BB53" s="390">
        <v>3.488</v>
      </c>
    </row>
    <row r="54" spans="39:58" x14ac:dyDescent="0.3">
      <c r="AM54" s="34" t="s">
        <v>551</v>
      </c>
      <c r="AO54" s="63">
        <f>AO53</f>
        <v>3.3969999999999998</v>
      </c>
      <c r="AP54" s="63">
        <f t="shared" ref="AP54:AT54" si="31">AP53</f>
        <v>4.1660000000000004</v>
      </c>
      <c r="AQ54" s="63">
        <f t="shared" si="31"/>
        <v>-7.6660000000000004</v>
      </c>
      <c r="AR54" s="63">
        <f t="shared" si="31"/>
        <v>-0.84299999999999997</v>
      </c>
      <c r="AS54" s="63">
        <f t="shared" si="31"/>
        <v>2.097</v>
      </c>
      <c r="AT54" s="63">
        <f t="shared" si="31"/>
        <v>9.5879999999999992</v>
      </c>
      <c r="AU54" s="679">
        <f>N26</f>
        <v>9</v>
      </c>
      <c r="AV54" s="679">
        <f t="shared" ref="AV54:BB54" si="32">O26</f>
        <v>10</v>
      </c>
      <c r="AW54" s="679">
        <f t="shared" si="32"/>
        <v>10</v>
      </c>
      <c r="AX54" s="679">
        <f t="shared" si="32"/>
        <v>9</v>
      </c>
      <c r="AY54" s="679">
        <f t="shared" si="32"/>
        <v>8</v>
      </c>
      <c r="AZ54" s="679">
        <f t="shared" si="32"/>
        <v>7</v>
      </c>
      <c r="BA54" s="679">
        <f t="shared" si="32"/>
        <v>5.5</v>
      </c>
      <c r="BB54" s="679">
        <f t="shared" si="32"/>
        <v>5</v>
      </c>
    </row>
    <row r="55" spans="39:58" x14ac:dyDescent="0.3">
      <c r="AM55" s="1117" t="s">
        <v>552</v>
      </c>
      <c r="AN55" s="1118"/>
      <c r="AO55" s="64"/>
      <c r="AP55" s="62"/>
      <c r="AQ55" s="62"/>
      <c r="AR55" s="63"/>
      <c r="AS55" s="63"/>
      <c r="AT55" s="63"/>
      <c r="AU55" s="388"/>
      <c r="AV55" s="389"/>
      <c r="AW55" s="389"/>
      <c r="AX55" s="389"/>
      <c r="AY55" s="389"/>
      <c r="AZ55" s="389"/>
      <c r="BA55" s="389"/>
      <c r="BB55" s="390"/>
    </row>
    <row r="56" spans="39:58" ht="28" x14ac:dyDescent="0.3">
      <c r="AM56" s="56" t="s">
        <v>553</v>
      </c>
      <c r="AN56" s="39"/>
      <c r="AO56" s="287">
        <v>2368</v>
      </c>
      <c r="AP56" s="286">
        <v>2391</v>
      </c>
      <c r="AQ56" s="286">
        <v>2410</v>
      </c>
      <c r="AR56" s="286">
        <v>2432</v>
      </c>
      <c r="AS56" s="286">
        <v>2455</v>
      </c>
      <c r="AT56" s="286">
        <v>2477</v>
      </c>
      <c r="AU56" s="393">
        <v>2500</v>
      </c>
      <c r="AV56" s="394">
        <v>2523</v>
      </c>
      <c r="AW56" s="394">
        <v>2546</v>
      </c>
      <c r="AX56" s="394">
        <v>2571</v>
      </c>
      <c r="AY56" s="394">
        <v>2595</v>
      </c>
      <c r="AZ56" s="394">
        <v>2621</v>
      </c>
      <c r="BA56" s="394">
        <v>2646</v>
      </c>
      <c r="BB56" s="395">
        <v>2672</v>
      </c>
    </row>
    <row r="57" spans="39:58" ht="28" x14ac:dyDescent="0.3">
      <c r="AM57" s="56" t="s">
        <v>554</v>
      </c>
      <c r="AN57" s="39"/>
      <c r="AO57" s="146">
        <v>2357</v>
      </c>
      <c r="AP57" s="43">
        <v>2382</v>
      </c>
      <c r="AQ57" s="43">
        <v>2335</v>
      </c>
      <c r="AR57" s="43">
        <v>2330</v>
      </c>
      <c r="AS57" s="43">
        <v>2318</v>
      </c>
      <c r="AT57" s="43">
        <v>2339</v>
      </c>
      <c r="AU57" s="429">
        <v>2361</v>
      </c>
      <c r="AV57" s="430">
        <v>2379</v>
      </c>
      <c r="AW57" s="430">
        <v>2397</v>
      </c>
      <c r="AX57" s="430">
        <v>2417</v>
      </c>
      <c r="AY57" s="430">
        <v>2439</v>
      </c>
      <c r="AZ57" s="430">
        <v>2462</v>
      </c>
      <c r="BA57" s="430">
        <v>2486</v>
      </c>
      <c r="BB57" s="431">
        <v>2513</v>
      </c>
    </row>
    <row r="58" spans="39:58" ht="28" x14ac:dyDescent="0.3">
      <c r="AM58" s="56" t="s">
        <v>555</v>
      </c>
      <c r="AN58" s="39"/>
      <c r="AO58" s="508">
        <v>2357.4</v>
      </c>
      <c r="AP58" s="299">
        <v>2381.6</v>
      </c>
      <c r="AQ58" s="299">
        <v>2334.5</v>
      </c>
      <c r="AR58" s="299">
        <v>2329.6</v>
      </c>
      <c r="AS58" s="299">
        <v>2341.6999999999998</v>
      </c>
      <c r="AT58" s="299">
        <v>2395.9</v>
      </c>
      <c r="AU58" s="358">
        <v>2478.4</v>
      </c>
      <c r="AV58" s="359">
        <v>2536.9</v>
      </c>
      <c r="AW58" s="359">
        <v>2569.3000000000002</v>
      </c>
      <c r="AX58" s="359">
        <v>2603.9</v>
      </c>
      <c r="AY58" s="359">
        <v>2640.6</v>
      </c>
      <c r="AZ58" s="359">
        <v>2667.4</v>
      </c>
      <c r="BA58" s="359">
        <v>2690.6</v>
      </c>
      <c r="BB58" s="360">
        <v>2713.8</v>
      </c>
      <c r="BC58" s="509"/>
      <c r="BD58" s="509"/>
      <c r="BE58" s="509"/>
      <c r="BF58" s="509"/>
    </row>
    <row r="59" spans="39:58" x14ac:dyDescent="0.3">
      <c r="AM59" s="1123" t="s">
        <v>556</v>
      </c>
      <c r="AN59" s="1124"/>
      <c r="AO59" s="146"/>
      <c r="AP59" s="43"/>
      <c r="AQ59" s="43"/>
      <c r="AR59" s="43"/>
      <c r="AS59" s="43"/>
      <c r="AT59" s="43"/>
      <c r="AU59" s="429"/>
      <c r="AV59" s="430"/>
      <c r="AW59" s="430"/>
      <c r="AX59" s="430"/>
      <c r="AY59" s="430"/>
      <c r="AZ59" s="430"/>
      <c r="BA59" s="430"/>
      <c r="BB59" s="431"/>
    </row>
    <row r="60" spans="39:58" ht="28" x14ac:dyDescent="0.3">
      <c r="AM60" s="56" t="s">
        <v>553</v>
      </c>
      <c r="AN60" s="39"/>
      <c r="AO60" s="287">
        <f t="shared" ref="AO60:BB60" si="33">AO56-H48</f>
        <v>2088.5120000000002</v>
      </c>
      <c r="AP60" s="286">
        <f t="shared" si="33"/>
        <v>2105.7440000000001</v>
      </c>
      <c r="AQ60" s="286">
        <f t="shared" si="33"/>
        <v>2000.115</v>
      </c>
      <c r="AR60" s="286">
        <f t="shared" si="33"/>
        <v>2051.4499999999998</v>
      </c>
      <c r="AS60" s="286">
        <f t="shared" si="33"/>
        <v>2097.8420000000001</v>
      </c>
      <c r="AT60" s="286">
        <f t="shared" si="33"/>
        <v>2091.8150000000001</v>
      </c>
      <c r="AU60" s="393">
        <f t="shared" si="33"/>
        <v>2075.9809999999998</v>
      </c>
      <c r="AV60" s="394">
        <f t="shared" si="33"/>
        <v>2066.11</v>
      </c>
      <c r="AW60" s="394">
        <f t="shared" si="33"/>
        <v>2091.5487646335628</v>
      </c>
      <c r="AX60" s="394">
        <f t="shared" si="33"/>
        <v>2112.664006495238</v>
      </c>
      <c r="AY60" s="394">
        <f t="shared" si="33"/>
        <v>2115.5408742899049</v>
      </c>
      <c r="AZ60" s="394">
        <f t="shared" si="33"/>
        <v>2123.4765118443584</v>
      </c>
      <c r="BA60" s="394">
        <f t="shared" si="33"/>
        <v>2128.1272379009897</v>
      </c>
      <c r="BB60" s="395">
        <f t="shared" si="33"/>
        <v>2134.0597665598862</v>
      </c>
    </row>
    <row r="61" spans="39:58" ht="28" x14ac:dyDescent="0.3">
      <c r="AM61" s="56" t="s">
        <v>554</v>
      </c>
      <c r="AN61" s="39"/>
      <c r="AO61" s="287">
        <f t="shared" ref="AO61:BB61" si="34">AO57-H48</f>
        <v>2077.5120000000002</v>
      </c>
      <c r="AP61" s="286">
        <f t="shared" si="34"/>
        <v>2096.7440000000001</v>
      </c>
      <c r="AQ61" s="286">
        <f t="shared" si="34"/>
        <v>1925.115</v>
      </c>
      <c r="AR61" s="286">
        <f t="shared" si="34"/>
        <v>1949.45</v>
      </c>
      <c r="AS61" s="286">
        <f t="shared" si="34"/>
        <v>1960.8420000000001</v>
      </c>
      <c r="AT61" s="286">
        <f t="shared" si="34"/>
        <v>1953.8150000000001</v>
      </c>
      <c r="AU61" s="393">
        <f t="shared" si="34"/>
        <v>1936.981</v>
      </c>
      <c r="AV61" s="394">
        <f t="shared" si="34"/>
        <v>1922.1100000000001</v>
      </c>
      <c r="AW61" s="394">
        <f t="shared" si="34"/>
        <v>1942.5487646335628</v>
      </c>
      <c r="AX61" s="394">
        <f t="shared" si="34"/>
        <v>1958.6640064952383</v>
      </c>
      <c r="AY61" s="394">
        <f t="shared" si="34"/>
        <v>1959.5408742899049</v>
      </c>
      <c r="AZ61" s="394">
        <f t="shared" si="34"/>
        <v>1964.4765118443584</v>
      </c>
      <c r="BA61" s="394">
        <f t="shared" si="34"/>
        <v>1968.1272379009897</v>
      </c>
      <c r="BB61" s="395">
        <f t="shared" si="34"/>
        <v>1975.0597665598864</v>
      </c>
    </row>
    <row r="62" spans="39:58" ht="28" x14ac:dyDescent="0.3">
      <c r="AM62" s="150" t="s">
        <v>555</v>
      </c>
      <c r="AN62" s="510"/>
      <c r="AO62" s="454">
        <f t="shared" ref="AO62:AU62" si="35">AO58-H48</f>
        <v>2077.9120000000003</v>
      </c>
      <c r="AP62" s="455">
        <f t="shared" si="35"/>
        <v>2096.3440000000001</v>
      </c>
      <c r="AQ62" s="455">
        <f t="shared" si="35"/>
        <v>1924.615</v>
      </c>
      <c r="AR62" s="455">
        <f t="shared" si="35"/>
        <v>1949.05</v>
      </c>
      <c r="AS62" s="455">
        <f t="shared" si="35"/>
        <v>1984.5419999999999</v>
      </c>
      <c r="AT62" s="455">
        <f t="shared" si="35"/>
        <v>2010.7150000000001</v>
      </c>
      <c r="AU62" s="456">
        <f t="shared" si="35"/>
        <v>2054.3809999999999</v>
      </c>
      <c r="AV62" s="457">
        <f t="shared" ref="AV62" si="36">AV58-O48</f>
        <v>2080.0100000000002</v>
      </c>
      <c r="AW62" s="457">
        <f t="shared" ref="AW62" si="37">AW58-P48</f>
        <v>2114.848764633563</v>
      </c>
      <c r="AX62" s="457">
        <f t="shared" ref="AX62" si="38">AX58-Q48</f>
        <v>2145.5640064952386</v>
      </c>
      <c r="AY62" s="457">
        <f t="shared" ref="AY62" si="39">AY58-R48</f>
        <v>2161.1408742899048</v>
      </c>
      <c r="AZ62" s="457">
        <f>AZ58-S48</f>
        <v>2169.8765118443584</v>
      </c>
      <c r="BA62" s="457">
        <f>BA58-T48</f>
        <v>2172.7272379009896</v>
      </c>
      <c r="BB62" s="458">
        <f t="shared" ref="BB62" si="40">BB58-U48</f>
        <v>2175.8597665598863</v>
      </c>
    </row>
  </sheetData>
  <mergeCells count="41">
    <mergeCell ref="AM59:AN59"/>
    <mergeCell ref="AM49:AN51"/>
    <mergeCell ref="Q23:T23"/>
    <mergeCell ref="I23:L23"/>
    <mergeCell ref="P22:AC22"/>
    <mergeCell ref="M23:O23"/>
    <mergeCell ref="AU50:AW50"/>
    <mergeCell ref="AX50:BA50"/>
    <mergeCell ref="AM55:AN55"/>
    <mergeCell ref="U23:X23"/>
    <mergeCell ref="U44:X44"/>
    <mergeCell ref="Y23:AB23"/>
    <mergeCell ref="Y44:AB44"/>
    <mergeCell ref="B39:AC41"/>
    <mergeCell ref="B37:AC38"/>
    <mergeCell ref="B43:C45"/>
    <mergeCell ref="I44:L44"/>
    <mergeCell ref="Q44:T44"/>
    <mergeCell ref="E23:H23"/>
    <mergeCell ref="E44:H44"/>
    <mergeCell ref="AP50:AS50"/>
    <mergeCell ref="B22:C24"/>
    <mergeCell ref="AU49:BB49"/>
    <mergeCell ref="D43:O43"/>
    <mergeCell ref="P43:AC43"/>
    <mergeCell ref="M44:O44"/>
    <mergeCell ref="B2:AC4"/>
    <mergeCell ref="B17:AC17"/>
    <mergeCell ref="B18:AC20"/>
    <mergeCell ref="D22:O22"/>
    <mergeCell ref="AO49:AT49"/>
    <mergeCell ref="B1:AC1"/>
    <mergeCell ref="B6:C8"/>
    <mergeCell ref="D6:O6"/>
    <mergeCell ref="P6:AC6"/>
    <mergeCell ref="E7:H7"/>
    <mergeCell ref="I7:L7"/>
    <mergeCell ref="M7:O7"/>
    <mergeCell ref="Q7:T7"/>
    <mergeCell ref="U7:X7"/>
    <mergeCell ref="Y7:AB7"/>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54"/>
  <sheetViews>
    <sheetView topLeftCell="B1" zoomScale="59" zoomScaleNormal="80" workbookViewId="0">
      <selection activeCell="B43" sqref="B43"/>
    </sheetView>
  </sheetViews>
  <sheetFormatPr defaultColWidth="10.81640625" defaultRowHeight="14.5" x14ac:dyDescent="0.35"/>
  <cols>
    <col min="2" max="2" width="49.453125" customWidth="1"/>
    <col min="6" max="25" width="6.54296875" customWidth="1"/>
    <col min="27" max="27" width="10.1796875" customWidth="1"/>
  </cols>
  <sheetData>
    <row r="1" spans="2:29" x14ac:dyDescent="0.35">
      <c r="B1" s="1055" t="s">
        <v>73</v>
      </c>
      <c r="C1" s="1055"/>
      <c r="D1" s="1055"/>
      <c r="E1" s="1055"/>
      <c r="F1" s="1055"/>
      <c r="G1" s="1055"/>
      <c r="H1" s="1055"/>
      <c r="I1" s="1055"/>
      <c r="J1" s="1055"/>
      <c r="K1" s="1055"/>
      <c r="L1" s="1055"/>
      <c r="M1" s="1055"/>
      <c r="N1" s="1055"/>
      <c r="O1" s="1055"/>
      <c r="P1" s="1055"/>
      <c r="Q1" s="1055"/>
      <c r="R1" s="1055"/>
      <c r="S1" s="1055"/>
      <c r="T1" s="1055"/>
      <c r="U1" s="1055"/>
      <c r="V1" s="1055"/>
      <c r="W1" s="1055"/>
      <c r="X1" s="1055"/>
      <c r="Y1" s="1055"/>
      <c r="Z1" s="1055"/>
      <c r="AA1" s="1055"/>
      <c r="AB1" s="1055"/>
      <c r="AC1" s="1055"/>
    </row>
    <row r="2" spans="2:29" s="130" customFormat="1" ht="14.5" customHeight="1" x14ac:dyDescent="0.35">
      <c r="B2" s="1056" t="s">
        <v>557</v>
      </c>
      <c r="C2" s="1056"/>
      <c r="D2" s="1056"/>
      <c r="E2" s="1056"/>
      <c r="F2" s="1056"/>
      <c r="G2" s="1056"/>
      <c r="H2" s="1056"/>
      <c r="I2" s="1056"/>
      <c r="J2" s="1056"/>
      <c r="K2" s="1056"/>
      <c r="L2" s="1056"/>
      <c r="M2" s="1056"/>
      <c r="N2" s="1056"/>
      <c r="O2" s="1056"/>
      <c r="P2" s="1056"/>
      <c r="Q2" s="1056"/>
      <c r="R2" s="1056"/>
      <c r="S2" s="1056"/>
      <c r="T2" s="1056"/>
      <c r="U2" s="1056"/>
      <c r="V2" s="1056"/>
      <c r="W2" s="1056"/>
      <c r="X2" s="1056"/>
      <c r="Y2" s="1056"/>
      <c r="Z2" s="1056"/>
      <c r="AA2" s="1056"/>
      <c r="AB2" s="1056"/>
      <c r="AC2" s="1056"/>
    </row>
    <row r="3" spans="2:29" s="130" customFormat="1" ht="14.5" customHeight="1" x14ac:dyDescent="0.35">
      <c r="B3" s="1056"/>
      <c r="C3" s="1056"/>
      <c r="D3" s="1056"/>
      <c r="E3" s="1056"/>
      <c r="F3" s="1056"/>
      <c r="G3" s="1056"/>
      <c r="H3" s="1056"/>
      <c r="I3" s="1056"/>
      <c r="J3" s="1056"/>
      <c r="K3" s="1056"/>
      <c r="L3" s="1056"/>
      <c r="M3" s="1056"/>
      <c r="N3" s="1056"/>
      <c r="O3" s="1056"/>
      <c r="P3" s="1056"/>
      <c r="Q3" s="1056"/>
      <c r="R3" s="1056"/>
      <c r="S3" s="1056"/>
      <c r="T3" s="1056"/>
      <c r="U3" s="1056"/>
      <c r="V3" s="1056"/>
      <c r="W3" s="1056"/>
      <c r="X3" s="1056"/>
      <c r="Y3" s="1056"/>
      <c r="Z3" s="1056"/>
      <c r="AA3" s="1056"/>
      <c r="AB3" s="1056"/>
      <c r="AC3" s="1056"/>
    </row>
    <row r="4" spans="2:29" s="130" customFormat="1" ht="14.5" customHeight="1" x14ac:dyDescent="0.35">
      <c r="B4" s="1056"/>
      <c r="C4" s="1056"/>
      <c r="D4" s="1056"/>
      <c r="E4" s="1056"/>
      <c r="F4" s="1056"/>
      <c r="G4" s="1056"/>
      <c r="H4" s="1056"/>
      <c r="I4" s="1056"/>
      <c r="J4" s="1056"/>
      <c r="K4" s="1056"/>
      <c r="L4" s="1056"/>
      <c r="M4" s="1056"/>
      <c r="N4" s="1056"/>
      <c r="O4" s="1056"/>
      <c r="P4" s="1056"/>
      <c r="Q4" s="1056"/>
      <c r="R4" s="1056"/>
      <c r="S4" s="1056"/>
      <c r="T4" s="1056"/>
      <c r="U4" s="1056"/>
      <c r="V4" s="1056"/>
      <c r="W4" s="1056"/>
      <c r="X4" s="1056"/>
      <c r="Y4" s="1056"/>
      <c r="Z4" s="1056"/>
      <c r="AA4" s="1056"/>
      <c r="AB4" s="1056"/>
      <c r="AC4" s="1056"/>
    </row>
    <row r="5" spans="2:29" s="130" customFormat="1" ht="14.5" customHeight="1" x14ac:dyDescent="0.35">
      <c r="B5" s="1056"/>
      <c r="C5" s="1056"/>
      <c r="D5" s="1056"/>
      <c r="E5" s="1056"/>
      <c r="F5" s="1056"/>
      <c r="G5" s="1056"/>
      <c r="H5" s="1056"/>
      <c r="I5" s="1056"/>
      <c r="J5" s="1056"/>
      <c r="K5" s="1056"/>
      <c r="L5" s="1056"/>
      <c r="M5" s="1056"/>
      <c r="N5" s="1056"/>
      <c r="O5" s="1056"/>
      <c r="P5" s="1056"/>
      <c r="Q5" s="1056"/>
      <c r="R5" s="1056"/>
      <c r="S5" s="1056"/>
      <c r="T5" s="1056"/>
      <c r="U5" s="1056"/>
      <c r="V5" s="1056"/>
      <c r="W5" s="1056"/>
      <c r="X5" s="1056"/>
      <c r="Y5" s="1056"/>
      <c r="Z5" s="1056"/>
      <c r="AA5" s="1056"/>
      <c r="AB5" s="1056"/>
      <c r="AC5" s="1056"/>
    </row>
    <row r="6" spans="2:29" s="130" customFormat="1" ht="14.5" customHeight="1" x14ac:dyDescent="0.35">
      <c r="B6" s="1056"/>
      <c r="C6" s="1056"/>
      <c r="D6" s="1056"/>
      <c r="E6" s="1056"/>
      <c r="F6" s="1056"/>
      <c r="G6" s="1056"/>
      <c r="H6" s="1056"/>
      <c r="I6" s="1056"/>
      <c r="J6" s="1056"/>
      <c r="K6" s="1056"/>
      <c r="L6" s="1056"/>
      <c r="M6" s="1056"/>
      <c r="N6" s="1056"/>
      <c r="O6" s="1056"/>
      <c r="P6" s="1056"/>
      <c r="Q6" s="1056"/>
      <c r="R6" s="1056"/>
      <c r="S6" s="1056"/>
      <c r="T6" s="1056"/>
      <c r="U6" s="1056"/>
      <c r="V6" s="1056"/>
      <c r="W6" s="1056"/>
      <c r="X6" s="1056"/>
      <c r="Y6" s="1056"/>
      <c r="Z6" s="1056"/>
      <c r="AA6" s="1056"/>
      <c r="AB6" s="1056"/>
      <c r="AC6" s="1056"/>
    </row>
    <row r="7" spans="2:29" s="130" customFormat="1" ht="33.65" customHeight="1" x14ac:dyDescent="0.35">
      <c r="B7" s="96"/>
      <c r="C7" s="96"/>
      <c r="D7" s="96"/>
      <c r="E7" s="96"/>
      <c r="F7" s="96"/>
      <c r="G7" s="96"/>
      <c r="H7" s="96"/>
      <c r="I7" s="96"/>
      <c r="J7" s="96"/>
      <c r="K7" s="96"/>
      <c r="L7" s="96"/>
      <c r="M7" s="96"/>
      <c r="N7" s="96"/>
      <c r="O7" s="96"/>
      <c r="P7" s="96"/>
      <c r="Q7" s="96"/>
      <c r="R7" s="96"/>
      <c r="S7" s="96"/>
      <c r="T7" s="96"/>
      <c r="U7" s="96"/>
      <c r="V7" s="96"/>
      <c r="W7" s="96"/>
      <c r="X7" s="96"/>
      <c r="Y7" s="96"/>
    </row>
    <row r="8" spans="2:29" ht="14.5" customHeight="1" x14ac:dyDescent="0.35">
      <c r="B8" s="1060" t="s">
        <v>558</v>
      </c>
      <c r="C8" s="1061"/>
      <c r="D8" s="1067" t="s">
        <v>401</v>
      </c>
      <c r="E8" s="1068"/>
      <c r="F8" s="1068"/>
      <c r="G8" s="1068"/>
      <c r="H8" s="1068"/>
      <c r="I8" s="1068"/>
      <c r="J8" s="1068"/>
      <c r="K8" s="1068"/>
      <c r="L8" s="1068"/>
      <c r="M8" s="1068"/>
      <c r="N8" s="1068"/>
      <c r="O8" s="1069"/>
      <c r="P8" s="1096" t="s">
        <v>402</v>
      </c>
      <c r="Q8" s="1097"/>
      <c r="R8" s="1097"/>
      <c r="S8" s="1097"/>
      <c r="T8" s="1097"/>
      <c r="U8" s="1097"/>
      <c r="V8" s="1097"/>
      <c r="W8" s="1097"/>
      <c r="X8" s="1097"/>
      <c r="Y8" s="1097"/>
      <c r="Z8" s="1097"/>
      <c r="AA8" s="1097"/>
      <c r="AB8" s="1097"/>
      <c r="AC8" s="1098"/>
    </row>
    <row r="9" spans="2:29" x14ac:dyDescent="0.35">
      <c r="B9" s="1062"/>
      <c r="C9" s="1063"/>
      <c r="D9" s="537">
        <v>2018</v>
      </c>
      <c r="E9" s="1057">
        <v>2019</v>
      </c>
      <c r="F9" s="1058"/>
      <c r="G9" s="1058"/>
      <c r="H9" s="1059"/>
      <c r="I9" s="1057">
        <v>2020</v>
      </c>
      <c r="J9" s="1058"/>
      <c r="K9" s="1058"/>
      <c r="L9" s="1059"/>
      <c r="M9" s="1057">
        <v>2021</v>
      </c>
      <c r="N9" s="1058"/>
      <c r="O9" s="1059"/>
      <c r="P9" s="570">
        <v>2021</v>
      </c>
      <c r="Q9" s="1064">
        <v>2022</v>
      </c>
      <c r="R9" s="1065"/>
      <c r="S9" s="1065"/>
      <c r="T9" s="1066"/>
      <c r="U9" s="1064">
        <v>2023</v>
      </c>
      <c r="V9" s="1065"/>
      <c r="W9" s="1065"/>
      <c r="X9" s="1065"/>
      <c r="Y9" s="1064">
        <v>2024</v>
      </c>
      <c r="Z9" s="1065"/>
      <c r="AA9" s="1065"/>
      <c r="AB9" s="1066"/>
      <c r="AC9" s="334">
        <v>2025</v>
      </c>
    </row>
    <row r="10" spans="2:29" x14ac:dyDescent="0.35">
      <c r="B10" s="1100"/>
      <c r="C10" s="1101"/>
      <c r="D10" s="167" t="s">
        <v>403</v>
      </c>
      <c r="E10" s="167" t="s">
        <v>404</v>
      </c>
      <c r="F10" s="148" t="s">
        <v>405</v>
      </c>
      <c r="G10" s="148" t="s">
        <v>290</v>
      </c>
      <c r="H10" s="155" t="s">
        <v>403</v>
      </c>
      <c r="I10" s="149" t="s">
        <v>404</v>
      </c>
      <c r="J10" s="149" t="s">
        <v>405</v>
      </c>
      <c r="K10" s="149" t="s">
        <v>290</v>
      </c>
      <c r="L10" s="149" t="s">
        <v>403</v>
      </c>
      <c r="M10" s="162" t="s">
        <v>404</v>
      </c>
      <c r="N10" s="149" t="s">
        <v>405</v>
      </c>
      <c r="O10" s="155" t="s">
        <v>290</v>
      </c>
      <c r="P10" s="431" t="s">
        <v>403</v>
      </c>
      <c r="Q10" s="429" t="s">
        <v>404</v>
      </c>
      <c r="R10" s="430" t="s">
        <v>405</v>
      </c>
      <c r="S10" s="430" t="s">
        <v>290</v>
      </c>
      <c r="T10" s="430" t="s">
        <v>403</v>
      </c>
      <c r="U10" s="429" t="s">
        <v>404</v>
      </c>
      <c r="V10" s="430" t="s">
        <v>405</v>
      </c>
      <c r="W10" s="430" t="s">
        <v>290</v>
      </c>
      <c r="X10" s="430" t="s">
        <v>403</v>
      </c>
      <c r="Y10" s="429" t="s">
        <v>404</v>
      </c>
      <c r="Z10" s="394" t="s">
        <v>405</v>
      </c>
      <c r="AA10" s="430" t="s">
        <v>290</v>
      </c>
      <c r="AB10" s="431" t="s">
        <v>403</v>
      </c>
      <c r="AC10" s="71" t="s">
        <v>404</v>
      </c>
    </row>
    <row r="11" spans="2:29" x14ac:dyDescent="0.35">
      <c r="B11" s="1117" t="s">
        <v>559</v>
      </c>
      <c r="C11" s="1118"/>
      <c r="D11" s="575"/>
      <c r="E11" s="889"/>
      <c r="F11" s="890">
        <v>60.5</v>
      </c>
      <c r="G11" s="890">
        <v>81.400000000000006</v>
      </c>
      <c r="H11" s="628">
        <f>'Haver Pivoted'!GS42</f>
        <v>82.2</v>
      </c>
      <c r="I11" s="628">
        <f>'Haver Pivoted'!GT42</f>
        <v>80.3</v>
      </c>
      <c r="J11" s="628">
        <f>'Haver Pivoted'!GU42</f>
        <v>1123.5999999999999</v>
      </c>
      <c r="K11" s="628">
        <f>'Haver Pivoted'!GV42</f>
        <v>1220.5</v>
      </c>
      <c r="L11" s="628">
        <f>'Haver Pivoted'!GW42</f>
        <v>618.6</v>
      </c>
      <c r="M11" s="628">
        <f>'Haver Pivoted'!GX42</f>
        <v>403.8</v>
      </c>
      <c r="N11" s="628">
        <f>'Haver Pivoted'!GY42</f>
        <v>697</v>
      </c>
      <c r="O11" s="891">
        <f>'Haver Pivoted'!GZ42</f>
        <v>554.5</v>
      </c>
      <c r="P11" s="627">
        <f t="shared" ref="P11:AC11" si="0">P12+P13</f>
        <v>163.34373240653508</v>
      </c>
      <c r="Q11" s="627">
        <f t="shared" si="0"/>
        <v>123.88900000000001</v>
      </c>
      <c r="R11" s="627">
        <f t="shared" si="0"/>
        <v>123.88900000000001</v>
      </c>
      <c r="S11" s="627">
        <f t="shared" si="0"/>
        <v>123.88900000000001</v>
      </c>
      <c r="T11" s="627">
        <f t="shared" si="0"/>
        <v>96.298500000000018</v>
      </c>
      <c r="U11" s="627">
        <f t="shared" si="0"/>
        <v>96.298500000000018</v>
      </c>
      <c r="V11" s="627">
        <f t="shared" si="0"/>
        <v>96.298500000000018</v>
      </c>
      <c r="W11" s="627">
        <f t="shared" si="0"/>
        <v>96.298500000000018</v>
      </c>
      <c r="X11" s="627">
        <f t="shared" si="0"/>
        <v>86.300000000000011</v>
      </c>
      <c r="Y11" s="627">
        <f t="shared" si="0"/>
        <v>86.300000000000011</v>
      </c>
      <c r="Z11" s="627">
        <f t="shared" si="0"/>
        <v>86.300000000000011</v>
      </c>
      <c r="AA11" s="627">
        <f t="shared" si="0"/>
        <v>86.300000000000011</v>
      </c>
      <c r="AB11" s="627">
        <f t="shared" si="0"/>
        <v>76.100000000000009</v>
      </c>
      <c r="AC11" s="631">
        <f t="shared" si="0"/>
        <v>76.100000000000009</v>
      </c>
    </row>
    <row r="12" spans="2:29" ht="16.5" customHeight="1" x14ac:dyDescent="0.35">
      <c r="B12" s="95" t="s">
        <v>560</v>
      </c>
      <c r="C12" s="96"/>
      <c r="D12" s="845"/>
      <c r="E12" s="96"/>
      <c r="F12" s="265">
        <f>F11</f>
        <v>60.5</v>
      </c>
      <c r="G12" s="265">
        <f>G11</f>
        <v>81.400000000000006</v>
      </c>
      <c r="H12" s="563">
        <f t="shared" ref="H12:M12" si="1">H11-H13</f>
        <v>82.2</v>
      </c>
      <c r="I12" s="563">
        <f t="shared" si="1"/>
        <v>80.3</v>
      </c>
      <c r="J12" s="563">
        <f>J11-J13</f>
        <v>134.09999999999991</v>
      </c>
      <c r="K12" s="563">
        <f t="shared" si="1"/>
        <v>93.900000000000091</v>
      </c>
      <c r="L12" s="563">
        <f t="shared" si="1"/>
        <v>80.199999999999932</v>
      </c>
      <c r="M12" s="563">
        <f t="shared" si="1"/>
        <v>73.900000000000034</v>
      </c>
      <c r="N12" s="563">
        <f>N11-N13</f>
        <v>76.299999999999955</v>
      </c>
      <c r="O12" s="932">
        <f>O11-O13</f>
        <v>76.383519999999976</v>
      </c>
      <c r="P12" s="391">
        <f>AVERAGE($F$11:$I$11)</f>
        <v>76.100000000000009</v>
      </c>
      <c r="Q12" s="391">
        <f t="shared" ref="P12:AC12" si="2">AVERAGE($F$11:$I$11)</f>
        <v>76.100000000000009</v>
      </c>
      <c r="R12" s="391">
        <f t="shared" si="2"/>
        <v>76.100000000000009</v>
      </c>
      <c r="S12" s="391">
        <f t="shared" si="2"/>
        <v>76.100000000000009</v>
      </c>
      <c r="T12" s="391">
        <f t="shared" si="2"/>
        <v>76.100000000000009</v>
      </c>
      <c r="U12" s="391">
        <f t="shared" si="2"/>
        <v>76.100000000000009</v>
      </c>
      <c r="V12" s="391">
        <f t="shared" si="2"/>
        <v>76.100000000000009</v>
      </c>
      <c r="W12" s="391">
        <f t="shared" si="2"/>
        <v>76.100000000000009</v>
      </c>
      <c r="X12" s="391">
        <f t="shared" si="2"/>
        <v>76.100000000000009</v>
      </c>
      <c r="Y12" s="391">
        <f t="shared" si="2"/>
        <v>76.100000000000009</v>
      </c>
      <c r="Z12" s="391">
        <f t="shared" si="2"/>
        <v>76.100000000000009</v>
      </c>
      <c r="AA12" s="391">
        <f t="shared" si="2"/>
        <v>76.100000000000009</v>
      </c>
      <c r="AB12" s="391">
        <f t="shared" si="2"/>
        <v>76.100000000000009</v>
      </c>
      <c r="AC12" s="77">
        <f t="shared" si="2"/>
        <v>76.100000000000009</v>
      </c>
    </row>
    <row r="13" spans="2:29" x14ac:dyDescent="0.35">
      <c r="B13" s="92" t="s">
        <v>561</v>
      </c>
      <c r="C13" s="96"/>
      <c r="D13" s="845"/>
      <c r="E13" s="96"/>
      <c r="F13" s="576"/>
      <c r="G13" s="576"/>
      <c r="H13" s="563">
        <f>SUM(H16:H25)</f>
        <v>0</v>
      </c>
      <c r="I13" s="563">
        <f>SUM(I16:I25)</f>
        <v>0</v>
      </c>
      <c r="J13" s="563">
        <f t="shared" ref="J13:AC13" si="3">SUM(J16:J25)+J14</f>
        <v>989.5</v>
      </c>
      <c r="K13" s="563">
        <f t="shared" si="3"/>
        <v>1126.5999999999999</v>
      </c>
      <c r="L13" s="563">
        <f t="shared" si="3"/>
        <v>538.40000000000009</v>
      </c>
      <c r="M13" s="563">
        <f t="shared" si="3"/>
        <v>329.9</v>
      </c>
      <c r="N13" s="76">
        <f t="shared" si="3"/>
        <v>620.70000000000005</v>
      </c>
      <c r="O13" s="116">
        <f t="shared" si="3"/>
        <v>478.11648000000002</v>
      </c>
      <c r="P13" s="572">
        <f t="shared" si="3"/>
        <v>87.243732406535059</v>
      </c>
      <c r="Q13" s="572">
        <f t="shared" si="3"/>
        <v>47.789000000000001</v>
      </c>
      <c r="R13" s="572">
        <f t="shared" si="3"/>
        <v>47.789000000000001</v>
      </c>
      <c r="S13" s="572">
        <f t="shared" si="3"/>
        <v>47.789000000000001</v>
      </c>
      <c r="T13" s="572">
        <f t="shared" si="3"/>
        <v>20.198500000000003</v>
      </c>
      <c r="U13" s="572">
        <f t="shared" si="3"/>
        <v>20.198500000000003</v>
      </c>
      <c r="V13" s="572">
        <f t="shared" si="3"/>
        <v>20.198500000000003</v>
      </c>
      <c r="W13" s="572">
        <f t="shared" si="3"/>
        <v>20.198500000000003</v>
      </c>
      <c r="X13" s="572">
        <f t="shared" si="3"/>
        <v>10.199999999999999</v>
      </c>
      <c r="Y13" s="572">
        <f t="shared" si="3"/>
        <v>10.199999999999999</v>
      </c>
      <c r="Z13" s="572">
        <f t="shared" si="3"/>
        <v>10.199999999999999</v>
      </c>
      <c r="AA13" s="572">
        <f t="shared" si="3"/>
        <v>10.199999999999999</v>
      </c>
      <c r="AB13" s="572">
        <f t="shared" si="3"/>
        <v>0</v>
      </c>
      <c r="AC13" s="947">
        <f t="shared" si="3"/>
        <v>0</v>
      </c>
    </row>
    <row r="14" spans="2:29" x14ac:dyDescent="0.35">
      <c r="B14" s="81" t="s">
        <v>70</v>
      </c>
      <c r="C14" s="97" t="s">
        <v>454</v>
      </c>
      <c r="D14" s="577"/>
      <c r="E14" s="97"/>
      <c r="F14" s="563"/>
      <c r="G14" s="563"/>
      <c r="H14" s="265">
        <f>'Haver Pivoted'!GS49</f>
        <v>0</v>
      </c>
      <c r="I14" s="265">
        <f>'Haver Pivoted'!GT49</f>
        <v>0</v>
      </c>
      <c r="J14" s="265">
        <f>'Haver Pivoted'!GU49</f>
        <v>576.9</v>
      </c>
      <c r="K14" s="265">
        <f>'Haver Pivoted'!GV49</f>
        <v>819.5</v>
      </c>
      <c r="L14" s="265">
        <f>'Haver Pivoted'!GW49</f>
        <v>246.3</v>
      </c>
      <c r="M14" s="265">
        <f>'Haver Pivoted'!GX49</f>
        <v>184.6</v>
      </c>
      <c r="N14" s="265">
        <f>'Haver Pivoted'!GY49</f>
        <v>427.2</v>
      </c>
      <c r="O14" s="933">
        <f>'Haver Pivoted'!GZ49</f>
        <v>265</v>
      </c>
      <c r="P14" s="391">
        <f>PPP!P54</f>
        <v>32.147780534877306</v>
      </c>
      <c r="Q14" s="572"/>
      <c r="R14" s="572"/>
      <c r="S14" s="572"/>
      <c r="T14" s="572"/>
      <c r="U14" s="572"/>
      <c r="V14" s="572"/>
      <c r="W14" s="572"/>
      <c r="X14" s="572"/>
      <c r="Y14" s="572"/>
      <c r="Z14" s="182"/>
      <c r="AA14" s="182"/>
      <c r="AB14" s="182"/>
      <c r="AC14" s="177"/>
    </row>
    <row r="15" spans="2:29" x14ac:dyDescent="0.35">
      <c r="B15" s="92" t="s">
        <v>562</v>
      </c>
      <c r="C15" s="96"/>
      <c r="D15" s="845"/>
      <c r="E15" s="96"/>
      <c r="F15" s="576"/>
      <c r="G15" s="576"/>
      <c r="H15" s="563">
        <f t="shared" ref="H15:AC15" si="4">SUM(H16:H25)</f>
        <v>0</v>
      </c>
      <c r="I15" s="563">
        <f t="shared" si="4"/>
        <v>0</v>
      </c>
      <c r="J15" s="563">
        <f t="shared" si="4"/>
        <v>412.6</v>
      </c>
      <c r="K15" s="563">
        <f t="shared" si="4"/>
        <v>307.10000000000002</v>
      </c>
      <c r="L15" s="563">
        <f t="shared" si="4"/>
        <v>292.10000000000002</v>
      </c>
      <c r="M15" s="563">
        <f t="shared" si="4"/>
        <v>145.30000000000001</v>
      </c>
      <c r="N15" s="563">
        <f t="shared" si="4"/>
        <v>193.50000000000003</v>
      </c>
      <c r="O15" s="932">
        <f t="shared" si="4"/>
        <v>213.11648</v>
      </c>
      <c r="P15" s="573">
        <f t="shared" si="4"/>
        <v>55.095951871657746</v>
      </c>
      <c r="Q15" s="573">
        <f t="shared" si="4"/>
        <v>47.789000000000001</v>
      </c>
      <c r="R15" s="573">
        <f t="shared" si="4"/>
        <v>47.789000000000001</v>
      </c>
      <c r="S15" s="573">
        <f t="shared" si="4"/>
        <v>47.789000000000001</v>
      </c>
      <c r="T15" s="573">
        <f t="shared" si="4"/>
        <v>20.198500000000003</v>
      </c>
      <c r="U15" s="573">
        <f t="shared" si="4"/>
        <v>20.198500000000003</v>
      </c>
      <c r="V15" s="573">
        <f t="shared" si="4"/>
        <v>20.198500000000003</v>
      </c>
      <c r="W15" s="573">
        <f t="shared" si="4"/>
        <v>20.198500000000003</v>
      </c>
      <c r="X15" s="573">
        <f t="shared" si="4"/>
        <v>10.199999999999999</v>
      </c>
      <c r="Y15" s="573">
        <f t="shared" si="4"/>
        <v>10.199999999999999</v>
      </c>
      <c r="Z15" s="573">
        <f t="shared" si="4"/>
        <v>10.199999999999999</v>
      </c>
      <c r="AA15" s="573">
        <f t="shared" si="4"/>
        <v>10.199999999999999</v>
      </c>
      <c r="AB15" s="573">
        <f t="shared" si="4"/>
        <v>0</v>
      </c>
      <c r="AC15" s="948">
        <f t="shared" si="4"/>
        <v>0</v>
      </c>
    </row>
    <row r="16" spans="2:29" x14ac:dyDescent="0.35">
      <c r="B16" s="144" t="s">
        <v>188</v>
      </c>
      <c r="C16" s="261" t="s">
        <v>563</v>
      </c>
      <c r="D16" s="578"/>
      <c r="E16" s="261"/>
      <c r="F16" s="563"/>
      <c r="G16" s="563"/>
      <c r="H16" s="265">
        <f>'Haver Pivoted'!GS53</f>
        <v>0</v>
      </c>
      <c r="I16" s="265">
        <f>'Haver Pivoted'!GT53</f>
        <v>0</v>
      </c>
      <c r="J16" s="265">
        <f>'Haver Pivoted'!GU53</f>
        <v>16.899999999999999</v>
      </c>
      <c r="K16" s="265">
        <f>'Haver Pivoted'!GV53</f>
        <v>18.399999999999999</v>
      </c>
      <c r="L16" s="265">
        <f>'Haver Pivoted'!GW53</f>
        <v>46.2</v>
      </c>
      <c r="M16" s="265">
        <f>'Haver Pivoted'!GX53</f>
        <v>0.9</v>
      </c>
      <c r="N16" s="265">
        <f>'Haver Pivoted'!GY53</f>
        <v>14.3</v>
      </c>
      <c r="O16" s="933">
        <f>'Haver Pivoted'!GZ53</f>
        <v>8.6999999999999993</v>
      </c>
      <c r="P16" s="391"/>
      <c r="Q16" s="391"/>
      <c r="R16" s="391"/>
      <c r="S16" s="391"/>
      <c r="T16" s="391"/>
      <c r="U16" s="391"/>
      <c r="V16" s="251"/>
      <c r="W16" s="251"/>
      <c r="X16" s="251"/>
      <c r="Y16" s="251"/>
      <c r="Z16" s="182"/>
      <c r="AA16" s="182"/>
      <c r="AB16" s="182"/>
      <c r="AC16" s="177"/>
    </row>
    <row r="17" spans="2:29" x14ac:dyDescent="0.35">
      <c r="B17" s="144" t="s">
        <v>186</v>
      </c>
      <c r="C17" s="261" t="s">
        <v>564</v>
      </c>
      <c r="D17" s="578"/>
      <c r="E17" s="261"/>
      <c r="F17" s="563"/>
      <c r="G17" s="563"/>
      <c r="H17" s="265">
        <f>'Haver Pivoted'!GS51</f>
        <v>0</v>
      </c>
      <c r="I17" s="265">
        <f>'Haver Pivoted'!GT51</f>
        <v>0</v>
      </c>
      <c r="J17" s="265">
        <f>'Haver Pivoted'!GU51</f>
        <v>73.3</v>
      </c>
      <c r="K17" s="265">
        <f>'Haver Pivoted'!GV51</f>
        <v>73.3</v>
      </c>
      <c r="L17" s="265">
        <f>'Haver Pivoted'!GW51</f>
        <v>73.3</v>
      </c>
      <c r="M17" s="265">
        <f>'Haver Pivoted'!GX51</f>
        <v>62.9</v>
      </c>
      <c r="N17" s="265">
        <f>'Haver Pivoted'!GY51</f>
        <v>62.9</v>
      </c>
      <c r="O17" s="933">
        <f>'Haver Pivoted'!GZ51</f>
        <v>62.9</v>
      </c>
      <c r="P17" s="391">
        <f>P34</f>
        <v>7.1439999999999992</v>
      </c>
      <c r="Q17" s="391">
        <f t="shared" ref="Q17:AC17" si="5">Q34</f>
        <v>7.1439999999999992</v>
      </c>
      <c r="R17" s="391">
        <f t="shared" si="5"/>
        <v>7.1439999999999992</v>
      </c>
      <c r="S17" s="391">
        <f t="shared" si="5"/>
        <v>7.1439999999999992</v>
      </c>
      <c r="T17" s="391">
        <f t="shared" si="5"/>
        <v>0</v>
      </c>
      <c r="U17" s="391">
        <f t="shared" si="5"/>
        <v>0</v>
      </c>
      <c r="V17" s="391">
        <f t="shared" si="5"/>
        <v>0</v>
      </c>
      <c r="W17" s="391">
        <f t="shared" si="5"/>
        <v>0</v>
      </c>
      <c r="X17" s="391">
        <f t="shared" si="5"/>
        <v>0</v>
      </c>
      <c r="Y17" s="391">
        <f t="shared" si="5"/>
        <v>0</v>
      </c>
      <c r="Z17" s="391">
        <f t="shared" si="5"/>
        <v>0</v>
      </c>
      <c r="AA17" s="391">
        <f t="shared" si="5"/>
        <v>0</v>
      </c>
      <c r="AB17" s="391">
        <f t="shared" si="5"/>
        <v>0</v>
      </c>
      <c r="AC17" s="77">
        <f t="shared" si="5"/>
        <v>0</v>
      </c>
    </row>
    <row r="18" spans="2:29" x14ac:dyDescent="0.35">
      <c r="B18" s="144" t="s">
        <v>185</v>
      </c>
      <c r="C18" s="97" t="s">
        <v>565</v>
      </c>
      <c r="D18" s="577"/>
      <c r="E18" s="97"/>
      <c r="F18" s="563"/>
      <c r="G18" s="563"/>
      <c r="H18" s="265">
        <f>'Haver Pivoted'!GS50</f>
        <v>0</v>
      </c>
      <c r="I18" s="265">
        <f>'Haver Pivoted'!GT50</f>
        <v>0</v>
      </c>
      <c r="J18" s="265">
        <f>'Haver Pivoted'!GU50</f>
        <v>63.8</v>
      </c>
      <c r="K18" s="265">
        <f>'Haver Pivoted'!GV50</f>
        <v>15</v>
      </c>
      <c r="L18" s="265">
        <f>'Haver Pivoted'!GW50</f>
        <v>0.1</v>
      </c>
      <c r="M18" s="265">
        <f>'Haver Pivoted'!GX50</f>
        <v>38</v>
      </c>
      <c r="N18" s="265">
        <f>'Haver Pivoted'!GY50</f>
        <v>47.3</v>
      </c>
      <c r="O18" s="933">
        <f>'Haver Pivoted'!GZ50</f>
        <v>0.7</v>
      </c>
      <c r="P18" s="391">
        <f t="shared" ref="P18:AC18" si="6">P28</f>
        <v>0</v>
      </c>
      <c r="Q18" s="391">
        <f t="shared" si="6"/>
        <v>0</v>
      </c>
      <c r="R18" s="391">
        <f t="shared" si="6"/>
        <v>0</v>
      </c>
      <c r="S18" s="391">
        <f t="shared" si="6"/>
        <v>0</v>
      </c>
      <c r="T18" s="391">
        <f t="shared" si="6"/>
        <v>0</v>
      </c>
      <c r="U18" s="391">
        <f t="shared" si="6"/>
        <v>0</v>
      </c>
      <c r="V18" s="391">
        <f t="shared" si="6"/>
        <v>0</v>
      </c>
      <c r="W18" s="391">
        <f t="shared" si="6"/>
        <v>0</v>
      </c>
      <c r="X18" s="391">
        <f t="shared" si="6"/>
        <v>0</v>
      </c>
      <c r="Y18" s="391">
        <f t="shared" si="6"/>
        <v>0</v>
      </c>
      <c r="Z18" s="391">
        <f t="shared" si="6"/>
        <v>0</v>
      </c>
      <c r="AA18" s="391">
        <f t="shared" si="6"/>
        <v>0</v>
      </c>
      <c r="AB18" s="391">
        <f t="shared" si="6"/>
        <v>0</v>
      </c>
      <c r="AC18" s="77">
        <f t="shared" si="6"/>
        <v>0</v>
      </c>
    </row>
    <row r="19" spans="2:29" x14ac:dyDescent="0.35">
      <c r="B19" s="144" t="s">
        <v>566</v>
      </c>
      <c r="C19" s="97" t="s">
        <v>434</v>
      </c>
      <c r="D19" s="577"/>
      <c r="E19" s="97"/>
      <c r="F19" s="563"/>
      <c r="G19" s="563"/>
      <c r="H19" s="265">
        <f>'Haver Pivoted'!GS54</f>
        <v>0</v>
      </c>
      <c r="I19" s="265">
        <f>'Haver Pivoted'!GT54</f>
        <v>0</v>
      </c>
      <c r="J19" s="265">
        <f>'Haver Pivoted'!GU54</f>
        <v>96.6</v>
      </c>
      <c r="K19" s="265">
        <f>'Haver Pivoted'!GV54</f>
        <v>35.1</v>
      </c>
      <c r="L19" s="265">
        <f>'Haver Pivoted'!GW54</f>
        <v>20.7</v>
      </c>
      <c r="M19" s="265">
        <f>'Haver Pivoted'!GX54</f>
        <v>25.7</v>
      </c>
      <c r="N19" s="265">
        <f>'Haver Pivoted'!GY54</f>
        <v>16</v>
      </c>
      <c r="O19" s="933">
        <f>'Haver Pivoted'!GZ54</f>
        <v>22.4</v>
      </c>
      <c r="P19" s="391">
        <f>'Provider Relief'!P13</f>
        <v>7.3069518716577528</v>
      </c>
      <c r="Q19" s="391">
        <f>'Provider Relief'!Q13</f>
        <v>0</v>
      </c>
      <c r="R19" s="391">
        <f>'Provider Relief'!R13</f>
        <v>0</v>
      </c>
      <c r="S19" s="391">
        <f>'Provider Relief'!S13</f>
        <v>0</v>
      </c>
      <c r="T19" s="391">
        <f>'Provider Relief'!T13</f>
        <v>0</v>
      </c>
      <c r="U19" s="391"/>
      <c r="V19" s="391"/>
      <c r="W19" s="391"/>
      <c r="X19" s="391"/>
      <c r="Y19" s="391"/>
      <c r="Z19" s="182"/>
      <c r="AA19" s="182"/>
      <c r="AB19" s="182"/>
      <c r="AC19" s="177"/>
    </row>
    <row r="20" spans="2:29" x14ac:dyDescent="0.35">
      <c r="B20" s="144" t="s">
        <v>187</v>
      </c>
      <c r="C20" s="97" t="s">
        <v>567</v>
      </c>
      <c r="D20" s="577"/>
      <c r="E20" s="97"/>
      <c r="F20" s="563"/>
      <c r="G20" s="563"/>
      <c r="H20" s="265">
        <f>'Haver Pivoted'!GS52</f>
        <v>0</v>
      </c>
      <c r="I20" s="265">
        <f>'Haver Pivoted'!GT52</f>
        <v>0</v>
      </c>
      <c r="J20" s="265">
        <f>'Haver Pivoted'!GU52</f>
        <v>22</v>
      </c>
      <c r="K20" s="265">
        <f>'Haver Pivoted'!GV52</f>
        <v>25.3</v>
      </c>
      <c r="L20" s="265">
        <f>'Haver Pivoted'!GW52</f>
        <v>11.8</v>
      </c>
      <c r="M20" s="265">
        <f>'Haver Pivoted'!GX52</f>
        <v>9.8000000000000007</v>
      </c>
      <c r="N20" s="265">
        <f>'Haver Pivoted'!GY52</f>
        <v>12.3</v>
      </c>
      <c r="O20" s="933">
        <f>'Haver Pivoted'!GZ52</f>
        <v>18.5</v>
      </c>
      <c r="P20" s="391">
        <f t="shared" ref="P20:AC20" si="7">P35</f>
        <v>5.6120000000000001</v>
      </c>
      <c r="Q20" s="391">
        <f t="shared" si="7"/>
        <v>5.6120000000000001</v>
      </c>
      <c r="R20" s="391">
        <f t="shared" si="7"/>
        <v>5.6120000000000001</v>
      </c>
      <c r="S20" s="391">
        <f t="shared" si="7"/>
        <v>5.6120000000000001</v>
      </c>
      <c r="T20" s="391">
        <f t="shared" si="7"/>
        <v>0.48599999999999993</v>
      </c>
      <c r="U20" s="391">
        <f t="shared" si="7"/>
        <v>0.48599999999999993</v>
      </c>
      <c r="V20" s="391">
        <f t="shared" si="7"/>
        <v>0.48599999999999993</v>
      </c>
      <c r="W20" s="391">
        <f t="shared" si="7"/>
        <v>0.48599999999999993</v>
      </c>
      <c r="X20" s="391">
        <f t="shared" si="7"/>
        <v>0</v>
      </c>
      <c r="Y20" s="391">
        <f t="shared" si="7"/>
        <v>0</v>
      </c>
      <c r="Z20" s="391">
        <f t="shared" si="7"/>
        <v>0</v>
      </c>
      <c r="AA20" s="391">
        <f t="shared" si="7"/>
        <v>0</v>
      </c>
      <c r="AB20" s="391">
        <f t="shared" si="7"/>
        <v>0</v>
      </c>
      <c r="AC20" s="77">
        <f t="shared" si="7"/>
        <v>0</v>
      </c>
    </row>
    <row r="21" spans="2:29" x14ac:dyDescent="0.35">
      <c r="B21" s="144" t="s">
        <v>191</v>
      </c>
      <c r="C21" s="97" t="s">
        <v>568</v>
      </c>
      <c r="D21" s="577"/>
      <c r="E21" s="97"/>
      <c r="F21" s="563"/>
      <c r="G21" s="563"/>
      <c r="H21" s="265">
        <f>'Haver Pivoted'!GS55</f>
        <v>0</v>
      </c>
      <c r="I21" s="265">
        <f>'Haver Pivoted'!GT55</f>
        <v>0</v>
      </c>
      <c r="J21" s="265">
        <f>'Haver Pivoted'!GU55</f>
        <v>140</v>
      </c>
      <c r="K21" s="265">
        <f>'Haver Pivoted'!GV55</f>
        <v>140</v>
      </c>
      <c r="L21" s="265">
        <f>'Haver Pivoted'!GW55</f>
        <v>140</v>
      </c>
      <c r="M21" s="265">
        <f>'Haver Pivoted'!GX55</f>
        <v>8</v>
      </c>
      <c r="N21" s="265">
        <f>'Haver Pivoted'!GY55</f>
        <v>8</v>
      </c>
      <c r="O21" s="933">
        <f>'Haver Pivoted'!GZ55</f>
        <v>8</v>
      </c>
      <c r="P21" s="391">
        <f t="shared" ref="P21:AC21" si="8">P36</f>
        <v>1.7329999999999999</v>
      </c>
      <c r="Q21" s="391">
        <f t="shared" si="8"/>
        <v>1.7329999999999999</v>
      </c>
      <c r="R21" s="391">
        <f t="shared" si="8"/>
        <v>1.7329999999999999</v>
      </c>
      <c r="S21" s="391">
        <f t="shared" si="8"/>
        <v>1.7329999999999999</v>
      </c>
      <c r="T21" s="391">
        <f t="shared" si="8"/>
        <v>0</v>
      </c>
      <c r="U21" s="391">
        <f t="shared" si="8"/>
        <v>0</v>
      </c>
      <c r="V21" s="391">
        <f t="shared" si="8"/>
        <v>0</v>
      </c>
      <c r="W21" s="391">
        <f t="shared" si="8"/>
        <v>0</v>
      </c>
      <c r="X21" s="391">
        <f t="shared" si="8"/>
        <v>0</v>
      </c>
      <c r="Y21" s="391">
        <f t="shared" si="8"/>
        <v>0</v>
      </c>
      <c r="Z21" s="391">
        <f t="shared" si="8"/>
        <v>0</v>
      </c>
      <c r="AA21" s="391">
        <f t="shared" si="8"/>
        <v>0</v>
      </c>
      <c r="AB21" s="391">
        <f t="shared" si="8"/>
        <v>0</v>
      </c>
      <c r="AC21" s="77">
        <f t="shared" si="8"/>
        <v>0</v>
      </c>
    </row>
    <row r="22" spans="2:29" x14ac:dyDescent="0.35">
      <c r="B22" s="1017" t="s">
        <v>569</v>
      </c>
      <c r="C22" s="97" t="s">
        <v>1239</v>
      </c>
      <c r="D22" s="1018"/>
      <c r="E22" s="1018"/>
      <c r="F22" s="1018"/>
      <c r="G22" s="1018"/>
      <c r="H22" s="1018"/>
      <c r="I22" s="1018"/>
      <c r="J22" s="1018"/>
      <c r="K22" s="1018"/>
      <c r="L22" s="1018"/>
      <c r="M22" s="1018"/>
      <c r="N22" s="1018">
        <f>'Haver Pivoted'!GY87</f>
        <v>11.3</v>
      </c>
      <c r="O22" s="1018">
        <f>'Haver Pivoted'!GZ87</f>
        <v>10.4</v>
      </c>
      <c r="P22" s="391">
        <v>10</v>
      </c>
      <c r="Q22" s="391">
        <v>10</v>
      </c>
      <c r="R22" s="391">
        <v>10</v>
      </c>
      <c r="S22" s="391">
        <v>10</v>
      </c>
      <c r="T22" s="391">
        <v>10</v>
      </c>
      <c r="U22" s="391">
        <v>10</v>
      </c>
      <c r="V22" s="391">
        <v>10</v>
      </c>
      <c r="W22" s="391">
        <v>10</v>
      </c>
      <c r="X22" s="391">
        <v>10</v>
      </c>
      <c r="Y22" s="391">
        <v>10</v>
      </c>
      <c r="Z22" s="391">
        <v>10</v>
      </c>
      <c r="AA22" s="391">
        <v>10</v>
      </c>
      <c r="AB22" s="391">
        <f t="shared" ref="P22:AC22" si="9">AB37+AB30</f>
        <v>0</v>
      </c>
      <c r="AC22" s="77">
        <f t="shared" si="9"/>
        <v>0</v>
      </c>
    </row>
    <row r="23" spans="2:29" x14ac:dyDescent="0.35">
      <c r="B23" s="1017" t="s">
        <v>570</v>
      </c>
      <c r="C23" s="97" t="s">
        <v>1238</v>
      </c>
      <c r="D23" s="577"/>
      <c r="E23" s="97"/>
      <c r="F23" s="563"/>
      <c r="G23" s="563"/>
      <c r="H23" s="265"/>
      <c r="I23" s="265"/>
      <c r="J23" s="265"/>
      <c r="K23" s="265"/>
      <c r="L23" s="265"/>
      <c r="M23" s="265"/>
      <c r="N23" s="1018">
        <f>'Haver Pivoted'!GY86</f>
        <v>21.4</v>
      </c>
      <c r="O23" s="1018">
        <f>'Haver Pivoted'!GZ86</f>
        <v>57</v>
      </c>
      <c r="P23" s="391">
        <v>12</v>
      </c>
      <c r="Q23" s="391">
        <v>12</v>
      </c>
      <c r="R23" s="391">
        <v>12</v>
      </c>
      <c r="S23" s="391">
        <v>12</v>
      </c>
      <c r="T23" s="391">
        <f t="shared" ref="Q23:AC23" si="10">T38+T31</f>
        <v>1.3125000000000002</v>
      </c>
      <c r="U23" s="391">
        <f t="shared" si="10"/>
        <v>1.3125000000000002</v>
      </c>
      <c r="V23" s="391">
        <f t="shared" si="10"/>
        <v>1.3125000000000002</v>
      </c>
      <c r="W23" s="391">
        <f t="shared" si="10"/>
        <v>1.3125000000000002</v>
      </c>
      <c r="X23" s="391">
        <f t="shared" si="10"/>
        <v>0</v>
      </c>
      <c r="Y23" s="391">
        <f t="shared" si="10"/>
        <v>0</v>
      </c>
      <c r="Z23" s="391">
        <f t="shared" si="10"/>
        <v>0</v>
      </c>
      <c r="AA23" s="391">
        <f t="shared" si="10"/>
        <v>0</v>
      </c>
      <c r="AB23" s="391">
        <f t="shared" si="10"/>
        <v>0</v>
      </c>
      <c r="AC23" s="77">
        <f t="shared" si="10"/>
        <v>0</v>
      </c>
    </row>
    <row r="24" spans="2:29" x14ac:dyDescent="0.35">
      <c r="B24" s="144" t="s">
        <v>571</v>
      </c>
      <c r="C24" s="97"/>
      <c r="D24" s="577"/>
      <c r="E24" s="97"/>
      <c r="F24" s="563"/>
      <c r="G24" s="563"/>
      <c r="H24" s="265"/>
      <c r="I24" s="265"/>
      <c r="J24" s="265"/>
      <c r="K24" s="265"/>
      <c r="L24" s="265"/>
      <c r="M24" s="265"/>
      <c r="N24" s="265"/>
      <c r="O24" s="620">
        <f>O39+O40</f>
        <v>12.51648</v>
      </c>
      <c r="P24" s="391">
        <f>P39+P40</f>
        <v>11.3</v>
      </c>
      <c r="Q24" s="391">
        <f t="shared" ref="Q24:AC24" si="11">Q39+Q40</f>
        <v>11.3</v>
      </c>
      <c r="R24" s="391">
        <f t="shared" si="11"/>
        <v>11.3</v>
      </c>
      <c r="S24" s="391">
        <f t="shared" si="11"/>
        <v>11.3</v>
      </c>
      <c r="T24" s="391">
        <f t="shared" si="11"/>
        <v>8.4</v>
      </c>
      <c r="U24" s="391">
        <f t="shared" si="11"/>
        <v>8.4</v>
      </c>
      <c r="V24" s="391">
        <f t="shared" si="11"/>
        <v>8.4</v>
      </c>
      <c r="W24" s="391">
        <f t="shared" si="11"/>
        <v>8.4</v>
      </c>
      <c r="X24" s="391">
        <f t="shared" si="11"/>
        <v>0.2</v>
      </c>
      <c r="Y24" s="391">
        <f t="shared" si="11"/>
        <v>0.2</v>
      </c>
      <c r="Z24" s="391">
        <f t="shared" si="11"/>
        <v>0.2</v>
      </c>
      <c r="AA24" s="391">
        <f t="shared" si="11"/>
        <v>0.2</v>
      </c>
      <c r="AB24" s="391">
        <f t="shared" si="11"/>
        <v>0</v>
      </c>
      <c r="AC24" s="77">
        <f t="shared" si="11"/>
        <v>0</v>
      </c>
    </row>
    <row r="25" spans="2:29" x14ac:dyDescent="0.35">
      <c r="B25" s="144" t="s">
        <v>572</v>
      </c>
      <c r="C25" s="97"/>
      <c r="D25" s="577"/>
      <c r="E25" s="97"/>
      <c r="F25" s="76"/>
      <c r="G25" s="76"/>
      <c r="H25" s="88"/>
      <c r="I25" s="88"/>
      <c r="J25" s="88"/>
      <c r="K25" s="88"/>
      <c r="L25" s="88"/>
      <c r="M25" s="88"/>
      <c r="N25" s="108"/>
      <c r="O25" s="620">
        <f>O32</f>
        <v>12</v>
      </c>
      <c r="P25" s="629">
        <f t="shared" ref="P25:AC25" si="12">P32</f>
        <v>0</v>
      </c>
      <c r="Q25" s="629">
        <f t="shared" si="12"/>
        <v>0</v>
      </c>
      <c r="R25" s="629">
        <f t="shared" si="12"/>
        <v>0</v>
      </c>
      <c r="S25" s="629">
        <f t="shared" si="12"/>
        <v>0</v>
      </c>
      <c r="T25" s="629">
        <f t="shared" si="12"/>
        <v>0</v>
      </c>
      <c r="U25" s="629">
        <f t="shared" si="12"/>
        <v>0</v>
      </c>
      <c r="V25" s="629">
        <f t="shared" si="12"/>
        <v>0</v>
      </c>
      <c r="W25" s="629">
        <f t="shared" si="12"/>
        <v>0</v>
      </c>
      <c r="X25" s="629">
        <f t="shared" si="12"/>
        <v>0</v>
      </c>
      <c r="Y25" s="629">
        <f t="shared" si="12"/>
        <v>0</v>
      </c>
      <c r="Z25" s="629">
        <f t="shared" si="12"/>
        <v>0</v>
      </c>
      <c r="AA25" s="629">
        <f t="shared" si="12"/>
        <v>0</v>
      </c>
      <c r="AB25" s="629">
        <f t="shared" si="12"/>
        <v>0</v>
      </c>
      <c r="AC25" s="690">
        <f t="shared" si="12"/>
        <v>0</v>
      </c>
    </row>
    <row r="26" spans="2:29" ht="15" customHeight="1" x14ac:dyDescent="0.35">
      <c r="B26" s="1131" t="s">
        <v>573</v>
      </c>
      <c r="C26" s="1132"/>
      <c r="D26" s="892"/>
      <c r="E26" s="893"/>
      <c r="F26" s="893"/>
      <c r="G26" s="893"/>
      <c r="H26" s="76"/>
      <c r="I26" s="76"/>
      <c r="J26" s="76"/>
      <c r="K26" s="76"/>
      <c r="L26" s="76"/>
      <c r="M26" s="76"/>
      <c r="N26" s="108"/>
      <c r="O26" s="620"/>
      <c r="P26" s="391"/>
      <c r="Q26" s="391"/>
      <c r="R26" s="391"/>
      <c r="S26" s="391"/>
      <c r="T26" s="391"/>
      <c r="U26" s="391"/>
      <c r="V26" s="182"/>
      <c r="W26" s="182"/>
      <c r="X26" s="182"/>
      <c r="Y26" s="182"/>
      <c r="Z26" s="182"/>
      <c r="AA26" s="182"/>
      <c r="AB26" s="182"/>
      <c r="AC26" s="177"/>
    </row>
    <row r="27" spans="2:29" x14ac:dyDescent="0.35">
      <c r="B27" s="92" t="s">
        <v>574</v>
      </c>
      <c r="C27" s="39"/>
      <c r="D27" s="56"/>
      <c r="E27" s="39"/>
      <c r="F27" s="88"/>
      <c r="G27" s="88"/>
      <c r="H27" s="108"/>
      <c r="I27" s="108"/>
      <c r="J27" s="108"/>
      <c r="K27" s="108"/>
      <c r="L27" s="108"/>
      <c r="M27" s="108"/>
      <c r="N27" s="108">
        <f>SUM(N28:N32)</f>
        <v>23</v>
      </c>
      <c r="O27" s="620">
        <f>SUM(O28:O32)</f>
        <v>162</v>
      </c>
      <c r="P27" s="391"/>
      <c r="Q27" s="391"/>
      <c r="R27" s="391"/>
      <c r="S27" s="391"/>
      <c r="T27" s="391"/>
      <c r="U27" s="391"/>
      <c r="V27" s="182"/>
      <c r="W27" s="182"/>
      <c r="X27" s="182"/>
      <c r="Y27" s="182"/>
      <c r="Z27" s="182"/>
      <c r="AA27" s="182"/>
      <c r="AB27" s="182"/>
      <c r="AC27" s="177"/>
    </row>
    <row r="28" spans="2:29" x14ac:dyDescent="0.35">
      <c r="B28" s="81" t="s">
        <v>575</v>
      </c>
      <c r="C28" s="39"/>
      <c r="D28" s="56"/>
      <c r="E28" s="39"/>
      <c r="F28" s="88"/>
      <c r="G28" s="88"/>
      <c r="H28" s="108"/>
      <c r="I28" s="108"/>
      <c r="J28" s="108"/>
      <c r="K28" s="108"/>
      <c r="L28" s="894"/>
      <c r="M28" s="108"/>
      <c r="N28" s="108">
        <f>(4*'Response and Relief Act Score'!$F$15-$M$18)/2</f>
        <v>11</v>
      </c>
      <c r="O28" s="620">
        <f>(4*'Response and Relief Act Score'!$F$15-$M$18)/2</f>
        <v>11</v>
      </c>
      <c r="P28" s="391"/>
      <c r="Q28" s="391"/>
      <c r="R28" s="391"/>
      <c r="S28" s="391"/>
      <c r="T28" s="391"/>
      <c r="U28" s="391"/>
      <c r="V28" s="182"/>
      <c r="W28" s="182"/>
      <c r="X28" s="182"/>
      <c r="Y28" s="182"/>
      <c r="Z28" s="182"/>
      <c r="AA28" s="182"/>
      <c r="AB28" s="182"/>
      <c r="AC28" s="177"/>
    </row>
    <row r="29" spans="2:29" x14ac:dyDescent="0.35">
      <c r="B29" s="81" t="s">
        <v>572</v>
      </c>
      <c r="C29" s="39"/>
      <c r="D29" s="56"/>
      <c r="E29" s="39"/>
      <c r="F29" s="88"/>
      <c r="G29" s="88"/>
      <c r="H29" s="108"/>
      <c r="I29" s="108"/>
      <c r="J29" s="108"/>
      <c r="K29" s="108"/>
      <c r="L29" s="894"/>
      <c r="M29" s="108"/>
      <c r="N29" s="108"/>
      <c r="O29" s="620"/>
      <c r="P29" s="391"/>
      <c r="Q29" s="391"/>
      <c r="R29" s="391"/>
      <c r="S29" s="391"/>
      <c r="T29" s="391"/>
      <c r="U29" s="391"/>
      <c r="V29" s="182"/>
      <c r="W29" s="182"/>
      <c r="X29" s="182"/>
      <c r="Y29" s="182"/>
      <c r="Z29" s="182"/>
      <c r="AA29" s="182"/>
      <c r="AB29" s="182"/>
      <c r="AC29" s="177"/>
    </row>
    <row r="30" spans="2:29" x14ac:dyDescent="0.35">
      <c r="B30" s="213" t="s">
        <v>569</v>
      </c>
      <c r="C30" s="39"/>
      <c r="D30" s="56"/>
      <c r="E30" s="39"/>
      <c r="F30" s="88"/>
      <c r="G30" s="88"/>
      <c r="H30" s="108"/>
      <c r="I30" s="108"/>
      <c r="J30" s="108"/>
      <c r="K30" s="108"/>
      <c r="L30" s="108"/>
      <c r="M30" s="108"/>
      <c r="N30" s="108"/>
      <c r="O30" s="620">
        <v>79</v>
      </c>
      <c r="P30" s="391"/>
      <c r="Q30" s="78"/>
      <c r="R30" s="78"/>
      <c r="S30" s="78"/>
      <c r="T30" s="78"/>
      <c r="U30" s="78"/>
      <c r="V30" s="182"/>
      <c r="W30" s="182"/>
      <c r="X30" s="182"/>
      <c r="Y30" s="182"/>
      <c r="Z30" s="182"/>
      <c r="AA30" s="182"/>
      <c r="AB30" s="182"/>
      <c r="AC30" s="177"/>
    </row>
    <row r="31" spans="2:29" x14ac:dyDescent="0.35">
      <c r="B31" s="217" t="s">
        <v>576</v>
      </c>
      <c r="C31" s="39"/>
      <c r="D31" s="56"/>
      <c r="E31" s="39"/>
      <c r="F31" s="88"/>
      <c r="G31" s="88"/>
      <c r="H31" s="108"/>
      <c r="I31" s="108"/>
      <c r="J31" s="108"/>
      <c r="K31" s="108"/>
      <c r="L31" s="108"/>
      <c r="M31" s="108"/>
      <c r="N31" s="108"/>
      <c r="O31" s="620">
        <f>'Response and Relief Act Score'!F13*4</f>
        <v>60</v>
      </c>
      <c r="P31" s="391"/>
      <c r="Q31" s="78"/>
      <c r="R31" s="78"/>
      <c r="S31" s="78"/>
      <c r="T31" s="78"/>
      <c r="U31" s="78"/>
      <c r="V31" s="182"/>
      <c r="W31" s="182"/>
      <c r="X31" s="182"/>
      <c r="Y31" s="182"/>
      <c r="Z31" s="182"/>
      <c r="AA31" s="182"/>
      <c r="AB31" s="182"/>
      <c r="AC31" s="177"/>
    </row>
    <row r="32" spans="2:29" ht="28" x14ac:dyDescent="0.35">
      <c r="B32" s="217" t="s">
        <v>577</v>
      </c>
      <c r="C32" s="39"/>
      <c r="D32" s="56"/>
      <c r="E32" s="39"/>
      <c r="F32" s="88"/>
      <c r="G32" s="88"/>
      <c r="H32" s="108"/>
      <c r="I32" s="108"/>
      <c r="J32" s="108"/>
      <c r="K32" s="108"/>
      <c r="L32" s="894"/>
      <c r="M32" s="108"/>
      <c r="N32" s="108">
        <f>'Response and Relief Act Score'!F14*4/2</f>
        <v>12</v>
      </c>
      <c r="O32" s="620">
        <f>'Response and Relief Act Score'!F14*4/2</f>
        <v>12</v>
      </c>
      <c r="P32" s="391"/>
      <c r="Q32" s="391"/>
      <c r="R32" s="391"/>
      <c r="S32" s="391"/>
      <c r="T32" s="391"/>
      <c r="U32" s="391"/>
      <c r="V32" s="182"/>
      <c r="W32" s="182"/>
      <c r="X32" s="182"/>
      <c r="Y32" s="182"/>
      <c r="Z32" s="182"/>
      <c r="AA32" s="182"/>
      <c r="AB32" s="182"/>
      <c r="AC32" s="177"/>
    </row>
    <row r="33" spans="1:78" x14ac:dyDescent="0.35">
      <c r="B33" s="1129" t="s">
        <v>578</v>
      </c>
      <c r="C33" s="1130"/>
      <c r="D33" s="56"/>
      <c r="E33" s="39"/>
      <c r="F33" s="88"/>
      <c r="G33" s="88"/>
      <c r="H33" s="108"/>
      <c r="I33" s="108"/>
      <c r="J33" s="108"/>
      <c r="K33" s="108"/>
      <c r="L33" s="894"/>
      <c r="M33" s="108"/>
      <c r="N33" s="108"/>
      <c r="O33" s="620"/>
      <c r="P33" s="627"/>
      <c r="Q33" s="627"/>
      <c r="R33" s="627"/>
      <c r="S33" s="627"/>
      <c r="T33" s="627"/>
      <c r="U33" s="627"/>
      <c r="V33" s="630"/>
      <c r="W33" s="630"/>
      <c r="X33" s="630"/>
      <c r="Y33" s="630"/>
      <c r="Z33" s="630"/>
      <c r="AA33" s="630"/>
      <c r="AB33" s="630"/>
      <c r="AC33" s="369"/>
    </row>
    <row r="34" spans="1:78" ht="13.5" customHeight="1" x14ac:dyDescent="0.35">
      <c r="B34" s="217" t="s">
        <v>186</v>
      </c>
      <c r="C34" s="39"/>
      <c r="D34" s="56"/>
      <c r="E34" s="39"/>
      <c r="F34" s="88"/>
      <c r="G34" s="88"/>
      <c r="H34" s="108"/>
      <c r="I34" s="108"/>
      <c r="J34" s="108"/>
      <c r="K34" s="108"/>
      <c r="L34" s="894"/>
      <c r="M34" s="108">
        <f>'ARP Quarterly'!C18</f>
        <v>0</v>
      </c>
      <c r="N34" s="108">
        <f>'ARP Quarterly'!D18</f>
        <v>2.2132800000000001</v>
      </c>
      <c r="O34" s="620">
        <f>'ARP Quarterly'!E18</f>
        <v>10.082720000000002</v>
      </c>
      <c r="P34" s="391">
        <f>'ARP Quarterly'!F18</f>
        <v>7.1439999999999992</v>
      </c>
      <c r="Q34" s="391">
        <f>'ARP Quarterly'!G18</f>
        <v>7.1439999999999992</v>
      </c>
      <c r="R34" s="391">
        <f>'ARP Quarterly'!H18</f>
        <v>7.1439999999999992</v>
      </c>
      <c r="S34" s="391">
        <f>'ARP Quarterly'!I18</f>
        <v>7.1439999999999992</v>
      </c>
      <c r="T34" s="391">
        <f>'ARP Quarterly'!J18</f>
        <v>0</v>
      </c>
      <c r="U34" s="391">
        <f>'ARP Quarterly'!K18</f>
        <v>0</v>
      </c>
      <c r="V34" s="391">
        <f>'ARP Quarterly'!L18</f>
        <v>0</v>
      </c>
      <c r="W34" s="391">
        <f>'ARP Quarterly'!M18</f>
        <v>0</v>
      </c>
      <c r="X34" s="391">
        <f>'ARP Quarterly'!N18</f>
        <v>0</v>
      </c>
      <c r="Y34" s="391">
        <f>'ARP Quarterly'!O18</f>
        <v>0</v>
      </c>
      <c r="Z34" s="391">
        <f>'ARP Quarterly'!P18</f>
        <v>0</v>
      </c>
      <c r="AA34" s="391">
        <f>'ARP Quarterly'!Q18</f>
        <v>0</v>
      </c>
      <c r="AB34" s="391">
        <f>'ARP Quarterly'!R18</f>
        <v>0</v>
      </c>
      <c r="AC34" s="77">
        <f>'ARP Quarterly'!S18</f>
        <v>0</v>
      </c>
    </row>
    <row r="35" spans="1:78" x14ac:dyDescent="0.35">
      <c r="B35" s="217" t="s">
        <v>579</v>
      </c>
      <c r="C35" s="39"/>
      <c r="D35" s="56"/>
      <c r="E35" s="39"/>
      <c r="F35" s="88"/>
      <c r="G35" s="88"/>
      <c r="H35" s="108"/>
      <c r="I35" s="108"/>
      <c r="J35" s="108"/>
      <c r="K35" s="108"/>
      <c r="L35" s="894"/>
      <c r="M35" s="108">
        <f>'ARP Quarterly'!C19</f>
        <v>0</v>
      </c>
      <c r="N35" s="108">
        <f>'ARP Quarterly'!D19</f>
        <v>15.128640000000001</v>
      </c>
      <c r="O35" s="620">
        <f>'ARP Quarterly'!E19</f>
        <v>68.919360000000012</v>
      </c>
      <c r="P35" s="391">
        <f>'ARP Quarterly'!F19</f>
        <v>5.6120000000000001</v>
      </c>
      <c r="Q35" s="391">
        <f>'ARP Quarterly'!G19</f>
        <v>5.6120000000000001</v>
      </c>
      <c r="R35" s="391">
        <f>'ARP Quarterly'!H19</f>
        <v>5.6120000000000001</v>
      </c>
      <c r="S35" s="391">
        <f>'ARP Quarterly'!I19</f>
        <v>5.6120000000000001</v>
      </c>
      <c r="T35" s="391">
        <f>'ARP Quarterly'!J19</f>
        <v>0.48599999999999993</v>
      </c>
      <c r="U35" s="391">
        <f>'ARP Quarterly'!K19</f>
        <v>0.48599999999999993</v>
      </c>
      <c r="V35" s="391">
        <f>'ARP Quarterly'!L19</f>
        <v>0.48599999999999993</v>
      </c>
      <c r="W35" s="391">
        <f>'ARP Quarterly'!M19</f>
        <v>0.48599999999999993</v>
      </c>
      <c r="X35" s="391">
        <f>'ARP Quarterly'!N19</f>
        <v>0</v>
      </c>
      <c r="Y35" s="391">
        <f>'ARP Quarterly'!O19</f>
        <v>0</v>
      </c>
      <c r="Z35" s="391">
        <f>'ARP Quarterly'!P19</f>
        <v>0</v>
      </c>
      <c r="AA35" s="391">
        <f>'ARP Quarterly'!Q19</f>
        <v>0</v>
      </c>
      <c r="AB35" s="391">
        <f>'ARP Quarterly'!R19</f>
        <v>0</v>
      </c>
      <c r="AC35" s="77">
        <f>'ARP Quarterly'!S19</f>
        <v>0</v>
      </c>
    </row>
    <row r="36" spans="1:78" x14ac:dyDescent="0.35">
      <c r="B36" s="217" t="s">
        <v>191</v>
      </c>
      <c r="C36" s="39"/>
      <c r="D36" s="56"/>
      <c r="E36" s="39"/>
      <c r="F36" s="88"/>
      <c r="G36" s="88"/>
      <c r="H36" s="108"/>
      <c r="I36" s="108"/>
      <c r="J36" s="108"/>
      <c r="K36" s="108"/>
      <c r="L36" s="894"/>
      <c r="M36" s="108">
        <f>'ARP Quarterly'!C20</f>
        <v>0</v>
      </c>
      <c r="N36" s="108">
        <f>'ARP Quarterly'!D20</f>
        <v>3.2479199999999997</v>
      </c>
      <c r="O36" s="620">
        <f>'ARP Quarterly'!E20</f>
        <v>14.796080000000002</v>
      </c>
      <c r="P36" s="391">
        <f>'ARP Quarterly'!F20</f>
        <v>1.7329999999999999</v>
      </c>
      <c r="Q36" s="391">
        <f>'ARP Quarterly'!G20</f>
        <v>1.7329999999999999</v>
      </c>
      <c r="R36" s="391">
        <f>'ARP Quarterly'!H20</f>
        <v>1.7329999999999999</v>
      </c>
      <c r="S36" s="391">
        <f>'ARP Quarterly'!I20</f>
        <v>1.7329999999999999</v>
      </c>
      <c r="T36" s="391">
        <f>'ARP Quarterly'!J20</f>
        <v>0</v>
      </c>
      <c r="U36" s="391">
        <f>'ARP Quarterly'!K20</f>
        <v>0</v>
      </c>
      <c r="V36" s="391">
        <f>'ARP Quarterly'!L20</f>
        <v>0</v>
      </c>
      <c r="W36" s="391">
        <f>'ARP Quarterly'!M20</f>
        <v>0</v>
      </c>
      <c r="X36" s="391">
        <f>'ARP Quarterly'!N20</f>
        <v>0</v>
      </c>
      <c r="Y36" s="391">
        <f>'ARP Quarterly'!O20</f>
        <v>0</v>
      </c>
      <c r="Z36" s="391">
        <f>'ARP Quarterly'!P20</f>
        <v>0</v>
      </c>
      <c r="AA36" s="391">
        <f>'ARP Quarterly'!Q20</f>
        <v>0</v>
      </c>
      <c r="AB36" s="391">
        <f>'ARP Quarterly'!R20</f>
        <v>0</v>
      </c>
      <c r="AC36" s="77">
        <f>'ARP Quarterly'!S20</f>
        <v>0</v>
      </c>
    </row>
    <row r="37" spans="1:78" x14ac:dyDescent="0.35">
      <c r="B37" s="217" t="s">
        <v>569</v>
      </c>
      <c r="C37" s="39"/>
      <c r="D37" s="56"/>
      <c r="E37" s="39"/>
      <c r="F37" s="88"/>
      <c r="G37" s="88"/>
      <c r="H37" s="108"/>
      <c r="I37" s="108"/>
      <c r="J37" s="108"/>
      <c r="K37" s="108"/>
      <c r="L37" s="894"/>
      <c r="M37" s="108">
        <f>'ARP Quarterly'!C21</f>
        <v>0</v>
      </c>
      <c r="N37" s="108">
        <f>'ARP Quarterly'!D21</f>
        <v>13.2921</v>
      </c>
      <c r="O37" s="620">
        <f>'ARP Quarterly'!E21</f>
        <v>60.552900000000008</v>
      </c>
      <c r="P37" s="391">
        <f>'ARP Quarterly'!F21</f>
        <v>1.0687500000000001</v>
      </c>
      <c r="Q37" s="391">
        <f>'ARP Quarterly'!G21</f>
        <v>1.0687500000000001</v>
      </c>
      <c r="R37" s="391">
        <f>'ARP Quarterly'!H21</f>
        <v>1.0687500000000001</v>
      </c>
      <c r="S37" s="391">
        <f>'ARP Quarterly'!I21</f>
        <v>1.0687500000000001</v>
      </c>
      <c r="T37" s="391">
        <f>'ARP Quarterly'!J21</f>
        <v>0.78750000000000009</v>
      </c>
      <c r="U37" s="391">
        <f>'ARP Quarterly'!K21</f>
        <v>0.78750000000000009</v>
      </c>
      <c r="V37" s="391">
        <f>'ARP Quarterly'!L21</f>
        <v>0.78750000000000009</v>
      </c>
      <c r="W37" s="391">
        <f>'ARP Quarterly'!M21</f>
        <v>0.78750000000000009</v>
      </c>
      <c r="X37" s="391">
        <f>'ARP Quarterly'!N21</f>
        <v>0</v>
      </c>
      <c r="Y37" s="391">
        <f>'ARP Quarterly'!O21</f>
        <v>0</v>
      </c>
      <c r="Z37" s="391">
        <f>'ARP Quarterly'!P21</f>
        <v>0</v>
      </c>
      <c r="AA37" s="391">
        <f>'ARP Quarterly'!Q21</f>
        <v>0</v>
      </c>
      <c r="AB37" s="391">
        <f>'ARP Quarterly'!R21</f>
        <v>0</v>
      </c>
      <c r="AC37" s="77">
        <f>'ARP Quarterly'!S21</f>
        <v>0</v>
      </c>
      <c r="AD37" t="s">
        <v>1249</v>
      </c>
    </row>
    <row r="38" spans="1:78" ht="30" customHeight="1" x14ac:dyDescent="0.35">
      <c r="B38" s="217" t="s">
        <v>580</v>
      </c>
      <c r="C38" s="39"/>
      <c r="D38" s="56"/>
      <c r="E38" s="39"/>
      <c r="F38" s="88"/>
      <c r="G38" s="88"/>
      <c r="H38" s="108"/>
      <c r="I38" s="108"/>
      <c r="J38" s="108"/>
      <c r="K38" s="108"/>
      <c r="L38" s="894"/>
      <c r="M38" s="108">
        <f>'ARP Quarterly'!C22</f>
        <v>0</v>
      </c>
      <c r="N38" s="108">
        <f>'ARP Quarterly'!D22</f>
        <v>22.153499999999998</v>
      </c>
      <c r="O38" s="620">
        <f>'ARP Quarterly'!E22</f>
        <v>100.92150000000002</v>
      </c>
      <c r="P38" s="391">
        <f>'ARP Quarterly'!F22</f>
        <v>1.7812500000000002</v>
      </c>
      <c r="Q38" s="391">
        <f>'ARP Quarterly'!G22</f>
        <v>1.7812500000000002</v>
      </c>
      <c r="R38" s="391">
        <f>'ARP Quarterly'!H22</f>
        <v>1.7812500000000002</v>
      </c>
      <c r="S38" s="391">
        <f>'ARP Quarterly'!I22</f>
        <v>1.7812500000000002</v>
      </c>
      <c r="T38" s="391">
        <f>'ARP Quarterly'!J22</f>
        <v>1.3125000000000002</v>
      </c>
      <c r="U38" s="391">
        <f>'ARP Quarterly'!K22</f>
        <v>1.3125000000000002</v>
      </c>
      <c r="V38" s="391">
        <f>'ARP Quarterly'!L22</f>
        <v>1.3125000000000002</v>
      </c>
      <c r="W38" s="391">
        <f>'ARP Quarterly'!M22</f>
        <v>1.3125000000000002</v>
      </c>
      <c r="X38" s="391">
        <f>'ARP Quarterly'!N22</f>
        <v>0</v>
      </c>
      <c r="Y38" s="391">
        <f>'ARP Quarterly'!O22</f>
        <v>0</v>
      </c>
      <c r="Z38" s="391">
        <f>'ARP Quarterly'!P22</f>
        <v>0</v>
      </c>
      <c r="AA38" s="391">
        <f>'ARP Quarterly'!Q22</f>
        <v>0</v>
      </c>
      <c r="AB38" s="391">
        <f>'ARP Quarterly'!R22</f>
        <v>0</v>
      </c>
      <c r="AC38" s="77">
        <f>'ARP Quarterly'!S22</f>
        <v>0</v>
      </c>
    </row>
    <row r="39" spans="1:78" x14ac:dyDescent="0.35">
      <c r="B39" s="217" t="s">
        <v>581</v>
      </c>
      <c r="C39" s="39"/>
      <c r="D39" s="56"/>
      <c r="E39" s="39"/>
      <c r="F39" s="88"/>
      <c r="G39" s="88"/>
      <c r="H39" s="108"/>
      <c r="I39" s="108"/>
      <c r="J39" s="108"/>
      <c r="K39" s="108"/>
      <c r="L39" s="894"/>
      <c r="M39" s="108">
        <f>'ARP Quarterly'!C23</f>
        <v>0</v>
      </c>
      <c r="N39" s="108">
        <f>'ARP Quarterly'!D23</f>
        <v>2.9519999999999995</v>
      </c>
      <c r="O39" s="620">
        <f>'ARP Quarterly'!E23</f>
        <v>13.448</v>
      </c>
      <c r="P39" s="391">
        <f>'ARP Quarterly'!F23</f>
        <v>11.3</v>
      </c>
      <c r="Q39" s="391">
        <f>'ARP Quarterly'!G23</f>
        <v>11.3</v>
      </c>
      <c r="R39" s="391">
        <f>'ARP Quarterly'!H23</f>
        <v>11.3</v>
      </c>
      <c r="S39" s="391">
        <f>'ARP Quarterly'!I23</f>
        <v>11.3</v>
      </c>
      <c r="T39" s="391">
        <f>'ARP Quarterly'!J23</f>
        <v>8.4</v>
      </c>
      <c r="U39" s="391">
        <f>'ARP Quarterly'!K23</f>
        <v>8.4</v>
      </c>
      <c r="V39" s="391">
        <f>'ARP Quarterly'!L23</f>
        <v>8.4</v>
      </c>
      <c r="W39" s="391">
        <f>'ARP Quarterly'!M23</f>
        <v>8.4</v>
      </c>
      <c r="X39" s="391">
        <f>'ARP Quarterly'!N23</f>
        <v>0.2</v>
      </c>
      <c r="Y39" s="391">
        <f>'ARP Quarterly'!O23</f>
        <v>0.2</v>
      </c>
      <c r="Z39" s="391">
        <f>'ARP Quarterly'!P23</f>
        <v>0.2</v>
      </c>
      <c r="AA39" s="391">
        <f>'ARP Quarterly'!Q23</f>
        <v>0.2</v>
      </c>
      <c r="AB39" s="391">
        <f>'ARP Quarterly'!R23</f>
        <v>0</v>
      </c>
      <c r="AC39" s="77">
        <f>'ARP Quarterly'!S23</f>
        <v>0</v>
      </c>
    </row>
    <row r="40" spans="1:78" x14ac:dyDescent="0.35">
      <c r="B40" s="217" t="s">
        <v>582</v>
      </c>
      <c r="C40" s="39"/>
      <c r="D40" s="56"/>
      <c r="E40" s="39"/>
      <c r="F40" s="88"/>
      <c r="G40" s="88"/>
      <c r="H40" s="108"/>
      <c r="I40" s="108"/>
      <c r="J40" s="108"/>
      <c r="K40" s="108"/>
      <c r="L40" s="894"/>
      <c r="M40" s="108">
        <f>'ARP Quarterly'!C24</f>
        <v>0</v>
      </c>
      <c r="N40" s="108">
        <f>'ARP Quarterly'!D24</f>
        <v>-0.20447999999999997</v>
      </c>
      <c r="O40" s="620">
        <f>'ARP Quarterly'!E24</f>
        <v>-0.93152000000000001</v>
      </c>
      <c r="P40" s="391">
        <v>0</v>
      </c>
      <c r="Q40" s="391">
        <v>0</v>
      </c>
      <c r="R40" s="391">
        <v>0</v>
      </c>
      <c r="S40" s="391">
        <v>0</v>
      </c>
      <c r="T40" s="391">
        <v>0</v>
      </c>
      <c r="U40" s="391">
        <v>0</v>
      </c>
      <c r="V40" s="391">
        <v>0</v>
      </c>
      <c r="W40" s="391">
        <v>0</v>
      </c>
      <c r="X40" s="391">
        <v>0</v>
      </c>
      <c r="Y40" s="391">
        <v>0</v>
      </c>
      <c r="Z40" s="391">
        <v>0</v>
      </c>
      <c r="AA40" s="391">
        <v>0</v>
      </c>
      <c r="AB40" s="391">
        <v>0</v>
      </c>
      <c r="AC40" s="391">
        <v>0</v>
      </c>
    </row>
    <row r="41" spans="1:78" x14ac:dyDescent="0.35">
      <c r="B41" s="217" t="s">
        <v>437</v>
      </c>
      <c r="C41" s="39"/>
      <c r="D41" s="56"/>
      <c r="E41" s="39"/>
      <c r="F41" s="88"/>
      <c r="G41" s="88"/>
      <c r="H41" s="108"/>
      <c r="I41" s="108"/>
      <c r="J41" s="108"/>
      <c r="K41" s="108"/>
      <c r="L41" s="894"/>
      <c r="M41" s="108">
        <f>'ARP Quarterly'!C25</f>
        <v>0</v>
      </c>
      <c r="N41" s="108">
        <f>'ARP Quarterly'!D25</f>
        <v>58.782959999999996</v>
      </c>
      <c r="O41" s="620">
        <f>'ARP Quarterly'!E25</f>
        <v>267.78904000000006</v>
      </c>
      <c r="P41" s="391">
        <f>'ARP Quarterly'!F25</f>
        <v>110.24799999999999</v>
      </c>
      <c r="Q41" s="391">
        <f>'ARP Quarterly'!G25</f>
        <v>110.24799999999999</v>
      </c>
      <c r="R41" s="391">
        <f>'ARP Quarterly'!H25</f>
        <v>110.24799999999999</v>
      </c>
      <c r="S41" s="391">
        <f>'ARP Quarterly'!I25</f>
        <v>110.24799999999999</v>
      </c>
      <c r="T41" s="391">
        <f>'ARP Quarterly'!J25</f>
        <v>12.362</v>
      </c>
      <c r="U41" s="391">
        <f>'ARP Quarterly'!K25</f>
        <v>12.362</v>
      </c>
      <c r="V41" s="391">
        <f>'ARP Quarterly'!L25</f>
        <v>12.362</v>
      </c>
      <c r="W41" s="391">
        <f>'ARP Quarterly'!M25</f>
        <v>12.362</v>
      </c>
      <c r="X41" s="391">
        <f>'ARP Quarterly'!N25</f>
        <v>-0.67500000000000004</v>
      </c>
      <c r="Y41" s="391">
        <f>'ARP Quarterly'!O25</f>
        <v>-0.67500000000000004</v>
      </c>
      <c r="Z41" s="391">
        <f>'ARP Quarterly'!P25</f>
        <v>-0.67500000000000004</v>
      </c>
      <c r="AA41" s="391">
        <f>'ARP Quarterly'!Q25</f>
        <v>-0.67500000000000004</v>
      </c>
      <c r="AB41" s="391">
        <f>'ARP Quarterly'!R25</f>
        <v>0</v>
      </c>
      <c r="AC41" s="77">
        <f>'ARP Quarterly'!S25</f>
        <v>0</v>
      </c>
    </row>
    <row r="42" spans="1:78" x14ac:dyDescent="0.35">
      <c r="B42" s="1129" t="s">
        <v>583</v>
      </c>
      <c r="C42" s="1130"/>
      <c r="D42" s="845"/>
      <c r="E42" s="96"/>
      <c r="F42" s="88"/>
      <c r="G42" s="88"/>
      <c r="H42" s="108"/>
      <c r="I42" s="108"/>
      <c r="J42" s="108"/>
      <c r="K42" s="108"/>
      <c r="L42" s="894"/>
      <c r="M42" s="108"/>
      <c r="N42" s="108"/>
      <c r="O42" s="620"/>
      <c r="P42" s="627"/>
      <c r="Q42" s="627"/>
      <c r="R42" s="627"/>
      <c r="S42" s="627"/>
      <c r="T42" s="627"/>
      <c r="U42" s="627"/>
      <c r="V42" s="630"/>
      <c r="W42" s="630"/>
      <c r="X42" s="630"/>
      <c r="Y42" s="630"/>
      <c r="Z42" s="630"/>
      <c r="AA42" s="630"/>
      <c r="AB42" s="630"/>
      <c r="AC42" s="369"/>
    </row>
    <row r="43" spans="1:78" s="300" customFormat="1" ht="21" customHeight="1" x14ac:dyDescent="0.35">
      <c r="B43" s="301" t="s">
        <v>584</v>
      </c>
      <c r="C43" s="432"/>
      <c r="D43" s="301"/>
      <c r="E43" s="432"/>
      <c r="F43" s="179"/>
      <c r="G43" s="179"/>
      <c r="H43" s="729"/>
      <c r="I43" s="729"/>
      <c r="J43" s="729"/>
      <c r="K43" s="729"/>
      <c r="L43" s="730"/>
      <c r="M43" s="729">
        <f>'ARP Quarterly'!C6</f>
        <v>0</v>
      </c>
      <c r="N43" s="729">
        <f>'ARP Quarterly'!D6</f>
        <v>58.782959999999989</v>
      </c>
      <c r="O43" s="949">
        <f>'ARP Quarterly'!E6</f>
        <v>267.78904</v>
      </c>
      <c r="P43" s="574">
        <f>'ARP Quarterly'!F6</f>
        <v>110.24799999999999</v>
      </c>
      <c r="Q43" s="574">
        <f>'ARP Quarterly'!G6</f>
        <v>110.24799999999999</v>
      </c>
      <c r="R43" s="574">
        <f>'ARP Quarterly'!H6</f>
        <v>110.24799999999999</v>
      </c>
      <c r="S43" s="574">
        <f>'ARP Quarterly'!I6</f>
        <v>110.24799999999999</v>
      </c>
      <c r="T43" s="574">
        <f>'ARP Quarterly'!J6</f>
        <v>12.726000000000001</v>
      </c>
      <c r="U43" s="574">
        <f>'ARP Quarterly'!K6</f>
        <v>12.726000000000001</v>
      </c>
      <c r="V43" s="574">
        <f>'ARP Quarterly'!L6</f>
        <v>12.726000000000001</v>
      </c>
      <c r="W43" s="574">
        <f>'ARP Quarterly'!M6</f>
        <v>12.726000000000001</v>
      </c>
      <c r="X43" s="574">
        <f>'ARP Quarterly'!N6</f>
        <v>1.365</v>
      </c>
      <c r="Y43" s="574">
        <f>'ARP Quarterly'!O6</f>
        <v>1.365</v>
      </c>
      <c r="Z43" s="574">
        <f>'ARP Quarterly'!P6</f>
        <v>1.365</v>
      </c>
      <c r="AA43" s="574">
        <f>'ARP Quarterly'!Q6</f>
        <v>1.365</v>
      </c>
      <c r="AB43" s="574">
        <f>'ARP Quarterly'!R6</f>
        <v>-0.90100000000000025</v>
      </c>
      <c r="AC43" s="950">
        <f>'ARP Quarterly'!S6</f>
        <v>-0.90100000000000025</v>
      </c>
    </row>
    <row r="44" spans="1:78" s="302" customFormat="1" ht="19.5" customHeight="1" x14ac:dyDescent="0.35">
      <c r="A44" s="300"/>
      <c r="B44" s="142" t="s">
        <v>243</v>
      </c>
      <c r="C44" s="143"/>
      <c r="D44" s="142"/>
      <c r="E44" s="143"/>
      <c r="F44" s="654">
        <f t="shared" ref="F44:AC44" si="13">F11-F43</f>
        <v>60.5</v>
      </c>
      <c r="G44" s="654">
        <f t="shared" si="13"/>
        <v>81.400000000000006</v>
      </c>
      <c r="H44" s="654">
        <f t="shared" si="13"/>
        <v>82.2</v>
      </c>
      <c r="I44" s="654">
        <f t="shared" si="13"/>
        <v>80.3</v>
      </c>
      <c r="J44" s="654">
        <f t="shared" si="13"/>
        <v>1123.5999999999999</v>
      </c>
      <c r="K44" s="654">
        <f t="shared" si="13"/>
        <v>1220.5</v>
      </c>
      <c r="L44" s="654">
        <f t="shared" si="13"/>
        <v>618.6</v>
      </c>
      <c r="M44" s="654">
        <f t="shared" si="13"/>
        <v>403.8</v>
      </c>
      <c r="N44" s="654">
        <f t="shared" si="13"/>
        <v>638.21704</v>
      </c>
      <c r="O44" s="895">
        <f>O11-O43</f>
        <v>286.71096</v>
      </c>
      <c r="P44" s="731">
        <f t="shared" si="13"/>
        <v>53.095732406535092</v>
      </c>
      <c r="Q44" s="731">
        <f t="shared" si="13"/>
        <v>13.64100000000002</v>
      </c>
      <c r="R44" s="731">
        <f t="shared" si="13"/>
        <v>13.64100000000002</v>
      </c>
      <c r="S44" s="731">
        <f t="shared" si="13"/>
        <v>13.64100000000002</v>
      </c>
      <c r="T44" s="731">
        <f t="shared" si="13"/>
        <v>83.572500000000019</v>
      </c>
      <c r="U44" s="731">
        <f t="shared" si="13"/>
        <v>83.572500000000019</v>
      </c>
      <c r="V44" s="731">
        <f t="shared" si="13"/>
        <v>83.572500000000019</v>
      </c>
      <c r="W44" s="731">
        <f t="shared" si="13"/>
        <v>83.572500000000019</v>
      </c>
      <c r="X44" s="731">
        <f t="shared" si="13"/>
        <v>84.935000000000016</v>
      </c>
      <c r="Y44" s="731">
        <f t="shared" si="13"/>
        <v>84.935000000000016</v>
      </c>
      <c r="Z44" s="731">
        <f t="shared" si="13"/>
        <v>84.935000000000016</v>
      </c>
      <c r="AA44" s="731">
        <f t="shared" si="13"/>
        <v>84.935000000000016</v>
      </c>
      <c r="AB44" s="731">
        <f t="shared" si="13"/>
        <v>77.001000000000005</v>
      </c>
      <c r="AC44" s="732">
        <f t="shared" si="13"/>
        <v>77.001000000000005</v>
      </c>
      <c r="AD44" s="300"/>
      <c r="AE44" s="300"/>
      <c r="AF44" s="300"/>
      <c r="AG44" s="300"/>
      <c r="AH44" s="300"/>
      <c r="AI44" s="300"/>
      <c r="AJ44" s="300"/>
      <c r="AK44" s="300"/>
      <c r="AL44" s="300"/>
      <c r="AM44" s="300"/>
      <c r="AN44" s="300"/>
      <c r="AO44" s="300"/>
      <c r="AP44" s="300"/>
      <c r="AQ44" s="300"/>
      <c r="AR44" s="300"/>
      <c r="AS44" s="300"/>
      <c r="AT44" s="300"/>
      <c r="AU44" s="300"/>
      <c r="AV44" s="300"/>
      <c r="AW44" s="300"/>
      <c r="AX44" s="300"/>
      <c r="AY44" s="300"/>
      <c r="AZ44" s="300"/>
      <c r="BA44" s="300"/>
      <c r="BB44" s="300"/>
      <c r="BC44" s="300"/>
      <c r="BD44" s="300"/>
      <c r="BE44" s="300"/>
      <c r="BF44" s="300"/>
      <c r="BG44" s="300"/>
      <c r="BH44" s="300"/>
      <c r="BI44" s="300"/>
      <c r="BJ44" s="300"/>
      <c r="BK44" s="300"/>
      <c r="BL44" s="300"/>
      <c r="BM44" s="300"/>
      <c r="BN44" s="300"/>
      <c r="BO44" s="300"/>
      <c r="BP44" s="300"/>
      <c r="BQ44" s="300"/>
      <c r="BR44" s="300"/>
      <c r="BS44" s="300"/>
      <c r="BT44" s="300"/>
      <c r="BU44" s="300"/>
      <c r="BV44" s="300"/>
      <c r="BW44" s="300"/>
      <c r="BX44" s="300"/>
      <c r="BY44" s="300"/>
      <c r="BZ44" s="300"/>
    </row>
    <row r="45" spans="1:78" x14ac:dyDescent="0.35">
      <c r="B45" s="52"/>
      <c r="C45" s="34"/>
      <c r="D45" s="34"/>
      <c r="E45" s="34"/>
      <c r="F45" s="34"/>
      <c r="G45" s="34"/>
      <c r="H45" s="34"/>
      <c r="I45" s="34"/>
      <c r="J45" s="34"/>
      <c r="K45" s="34"/>
      <c r="L45" s="34"/>
      <c r="M45" s="34"/>
      <c r="N45" s="34"/>
      <c r="O45" s="34"/>
      <c r="P45" s="34"/>
      <c r="Q45" s="34"/>
      <c r="R45" s="34"/>
      <c r="S45" s="34"/>
      <c r="T45" s="34"/>
      <c r="U45" s="34"/>
      <c r="V45" s="34"/>
      <c r="W45" s="34"/>
      <c r="X45" s="34"/>
      <c r="Y45" s="34"/>
    </row>
    <row r="46" spans="1:78" x14ac:dyDescent="0.35">
      <c r="O46">
        <v>267.78904</v>
      </c>
    </row>
    <row r="47" spans="1:78" x14ac:dyDescent="0.35">
      <c r="B47" s="728"/>
      <c r="O47">
        <v>595.75266818970692</v>
      </c>
    </row>
    <row r="48" spans="1:78" x14ac:dyDescent="0.35">
      <c r="B48" s="728"/>
    </row>
    <row r="49" spans="2:2" x14ac:dyDescent="0.35">
      <c r="B49" s="728"/>
    </row>
    <row r="50" spans="2:2" x14ac:dyDescent="0.35">
      <c r="B50" s="728"/>
    </row>
    <row r="51" spans="2:2" x14ac:dyDescent="0.35">
      <c r="B51" s="728"/>
    </row>
    <row r="52" spans="2:2" x14ac:dyDescent="0.35">
      <c r="B52" s="728"/>
    </row>
    <row r="53" spans="2:2" x14ac:dyDescent="0.35">
      <c r="B53" s="728"/>
    </row>
    <row r="54" spans="2:2" x14ac:dyDescent="0.35">
      <c r="B54" s="728"/>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A4" zoomScale="61" zoomScaleNormal="80" workbookViewId="0">
      <selection activeCell="L16" sqref="L16"/>
    </sheetView>
  </sheetViews>
  <sheetFormatPr defaultColWidth="8.54296875" defaultRowHeight="14" x14ac:dyDescent="0.3"/>
  <cols>
    <col min="1" max="1" width="8.54296875" style="34"/>
    <col min="2" max="2" width="31.81640625" style="34" customWidth="1"/>
    <col min="3" max="7" width="7.54296875" style="34" customWidth="1"/>
    <col min="8" max="8" width="8.54296875" style="34"/>
    <col min="9" max="9" width="8.54296875" style="34" customWidth="1"/>
    <col min="10" max="24" width="9.1796875" style="34" bestFit="1" customWidth="1"/>
    <col min="25" max="16384" width="8.54296875" style="34"/>
  </cols>
  <sheetData>
    <row r="1" spans="2:29" x14ac:dyDescent="0.3">
      <c r="B1" s="1055" t="s">
        <v>75</v>
      </c>
      <c r="C1" s="1055"/>
      <c r="D1" s="1055"/>
      <c r="E1" s="1055"/>
      <c r="F1" s="1055"/>
      <c r="G1" s="1055"/>
      <c r="H1" s="1055"/>
      <c r="I1" s="1055"/>
      <c r="J1" s="1055"/>
      <c r="K1" s="1055"/>
      <c r="L1" s="1055"/>
      <c r="M1" s="1055"/>
      <c r="N1" s="1055"/>
      <c r="O1" s="1055"/>
      <c r="P1" s="1055"/>
      <c r="Q1" s="1055"/>
      <c r="R1" s="1055"/>
      <c r="S1" s="1055"/>
      <c r="T1" s="1055"/>
      <c r="U1" s="1055"/>
      <c r="V1" s="1055"/>
      <c r="W1" s="1055"/>
      <c r="X1" s="1055"/>
      <c r="Y1" s="1055"/>
      <c r="Z1" s="1055"/>
      <c r="AA1" s="1055"/>
      <c r="AB1" s="1055"/>
      <c r="AC1" s="1055"/>
    </row>
    <row r="2" spans="2:29" ht="14.15" customHeight="1" x14ac:dyDescent="0.3">
      <c r="B2" s="1056" t="s">
        <v>585</v>
      </c>
      <c r="C2" s="1056"/>
      <c r="D2" s="1056"/>
      <c r="E2" s="1056"/>
      <c r="F2" s="1056"/>
      <c r="G2" s="1056"/>
      <c r="H2" s="1056"/>
      <c r="I2" s="1056"/>
      <c r="J2" s="1056"/>
      <c r="K2" s="1056"/>
      <c r="L2" s="1056"/>
      <c r="M2" s="1056"/>
      <c r="N2" s="1056"/>
      <c r="O2" s="1056"/>
      <c r="P2" s="1056"/>
      <c r="Q2" s="1056"/>
      <c r="R2" s="1056"/>
      <c r="S2" s="1056"/>
      <c r="T2" s="1056"/>
      <c r="U2" s="1056"/>
      <c r="V2" s="1056"/>
      <c r="W2" s="1056"/>
      <c r="X2" s="1056"/>
      <c r="Y2" s="1056"/>
      <c r="Z2" s="1056"/>
      <c r="AA2" s="1056"/>
      <c r="AB2" s="1056"/>
      <c r="AC2" s="1056"/>
    </row>
    <row r="3" spans="2:29" ht="59.5" customHeight="1" x14ac:dyDescent="0.3">
      <c r="B3" s="1056"/>
      <c r="C3" s="1056"/>
      <c r="D3" s="1056"/>
      <c r="E3" s="1056"/>
      <c r="F3" s="1056"/>
      <c r="G3" s="1056"/>
      <c r="H3" s="1056"/>
      <c r="I3" s="1056"/>
      <c r="J3" s="1056"/>
      <c r="K3" s="1056"/>
      <c r="L3" s="1056"/>
      <c r="M3" s="1056"/>
      <c r="N3" s="1056"/>
      <c r="O3" s="1056"/>
      <c r="P3" s="1056"/>
      <c r="Q3" s="1056"/>
      <c r="R3" s="1056"/>
      <c r="S3" s="1056"/>
      <c r="T3" s="1056"/>
      <c r="U3" s="1056"/>
      <c r="V3" s="1056"/>
      <c r="W3" s="1056"/>
      <c r="X3" s="1056"/>
      <c r="Y3" s="1056"/>
      <c r="Z3" s="1056"/>
      <c r="AA3" s="1056"/>
      <c r="AB3" s="1056"/>
      <c r="AC3" s="1056"/>
    </row>
    <row r="4" spans="2:29" ht="60.65" customHeight="1" x14ac:dyDescent="0.3">
      <c r="B4" s="1056"/>
      <c r="C4" s="1056"/>
      <c r="D4" s="1056"/>
      <c r="E4" s="1056"/>
      <c r="F4" s="1056"/>
      <c r="G4" s="1056"/>
      <c r="H4" s="1056"/>
      <c r="I4" s="1056"/>
      <c r="J4" s="1056"/>
      <c r="K4" s="1056"/>
      <c r="L4" s="1056"/>
      <c r="M4" s="1056"/>
      <c r="N4" s="1056"/>
      <c r="O4" s="1056"/>
      <c r="P4" s="1056"/>
      <c r="Q4" s="1056"/>
      <c r="R4" s="1056"/>
      <c r="S4" s="1056"/>
      <c r="T4" s="1056"/>
      <c r="U4" s="1056"/>
      <c r="V4" s="1056"/>
      <c r="W4" s="1056"/>
      <c r="X4" s="1056"/>
      <c r="Y4" s="1056"/>
      <c r="Z4" s="1056"/>
      <c r="AA4" s="1056"/>
      <c r="AB4" s="1056"/>
      <c r="AC4" s="1056"/>
    </row>
    <row r="5" spans="2:29" x14ac:dyDescent="0.3">
      <c r="B5" s="134" t="s">
        <v>465</v>
      </c>
    </row>
    <row r="6" spans="2:29" ht="14.5" customHeight="1" x14ac:dyDescent="0.3">
      <c r="B6" s="1060" t="s">
        <v>558</v>
      </c>
      <c r="C6" s="1061"/>
      <c r="D6" s="1067" t="s">
        <v>401</v>
      </c>
      <c r="E6" s="1068"/>
      <c r="F6" s="1068"/>
      <c r="G6" s="1068"/>
      <c r="H6" s="1068"/>
      <c r="I6" s="1068"/>
      <c r="J6" s="1068"/>
      <c r="K6" s="1068"/>
      <c r="L6" s="1068"/>
      <c r="M6" s="1068"/>
      <c r="N6" s="1068"/>
      <c r="O6" s="1069"/>
      <c r="P6" s="1096" t="s">
        <v>402</v>
      </c>
      <c r="Q6" s="1097"/>
      <c r="R6" s="1097"/>
      <c r="S6" s="1097"/>
      <c r="T6" s="1097"/>
      <c r="U6" s="1097"/>
      <c r="V6" s="1097"/>
      <c r="W6" s="1097"/>
      <c r="X6" s="1097"/>
      <c r="Y6" s="1097"/>
      <c r="Z6" s="1097"/>
      <c r="AA6" s="1097"/>
      <c r="AB6" s="1097"/>
      <c r="AC6" s="1098"/>
    </row>
    <row r="7" spans="2:29" x14ac:dyDescent="0.3">
      <c r="B7" s="1062"/>
      <c r="C7" s="1121"/>
      <c r="D7" s="537">
        <v>2018</v>
      </c>
      <c r="E7" s="1057">
        <v>2019</v>
      </c>
      <c r="F7" s="1058"/>
      <c r="G7" s="1058"/>
      <c r="H7" s="1059"/>
      <c r="I7" s="1057">
        <v>2020</v>
      </c>
      <c r="J7" s="1058"/>
      <c r="K7" s="1058"/>
      <c r="L7" s="1059"/>
      <c r="M7" s="1057">
        <v>2021</v>
      </c>
      <c r="N7" s="1058"/>
      <c r="O7" s="1059"/>
      <c r="P7" s="570">
        <v>2021</v>
      </c>
      <c r="Q7" s="1064">
        <v>2022</v>
      </c>
      <c r="R7" s="1065"/>
      <c r="S7" s="1065"/>
      <c r="T7" s="1066"/>
      <c r="U7" s="1064">
        <v>2023</v>
      </c>
      <c r="V7" s="1065"/>
      <c r="W7" s="1065"/>
      <c r="X7" s="1065"/>
      <c r="Y7" s="1064">
        <v>2024</v>
      </c>
      <c r="Z7" s="1065"/>
      <c r="AA7" s="1065"/>
      <c r="AB7" s="1066"/>
      <c r="AC7" s="334">
        <v>2025</v>
      </c>
    </row>
    <row r="8" spans="2:29" x14ac:dyDescent="0.3">
      <c r="B8" s="1062"/>
      <c r="C8" s="1121"/>
      <c r="D8" s="167" t="s">
        <v>403</v>
      </c>
      <c r="E8" s="167" t="s">
        <v>404</v>
      </c>
      <c r="F8" s="148" t="s">
        <v>405</v>
      </c>
      <c r="G8" s="148" t="s">
        <v>290</v>
      </c>
      <c r="H8" s="155" t="s">
        <v>403</v>
      </c>
      <c r="I8" s="149" t="s">
        <v>404</v>
      </c>
      <c r="J8" s="149" t="s">
        <v>405</v>
      </c>
      <c r="K8" s="149" t="s">
        <v>290</v>
      </c>
      <c r="L8" s="149" t="s">
        <v>403</v>
      </c>
      <c r="M8" s="162" t="s">
        <v>404</v>
      </c>
      <c r="N8" s="149" t="s">
        <v>405</v>
      </c>
      <c r="O8" s="155" t="s">
        <v>290</v>
      </c>
      <c r="P8" s="431" t="s">
        <v>403</v>
      </c>
      <c r="Q8" s="429" t="s">
        <v>404</v>
      </c>
      <c r="R8" s="430" t="s">
        <v>405</v>
      </c>
      <c r="S8" s="430" t="s">
        <v>290</v>
      </c>
      <c r="T8" s="430" t="s">
        <v>403</v>
      </c>
      <c r="U8" s="429" t="s">
        <v>404</v>
      </c>
      <c r="V8" s="430" t="s">
        <v>405</v>
      </c>
      <c r="W8" s="430" t="s">
        <v>290</v>
      </c>
      <c r="X8" s="430" t="s">
        <v>403</v>
      </c>
      <c r="Y8" s="429" t="s">
        <v>404</v>
      </c>
      <c r="Z8" s="394" t="s">
        <v>405</v>
      </c>
      <c r="AA8" s="430" t="s">
        <v>290</v>
      </c>
      <c r="AB8" s="431" t="s">
        <v>403</v>
      </c>
      <c r="AC8" s="71" t="s">
        <v>404</v>
      </c>
    </row>
    <row r="9" spans="2:29" x14ac:dyDescent="0.3">
      <c r="B9" s="139" t="s">
        <v>144</v>
      </c>
      <c r="C9" s="234" t="s">
        <v>586</v>
      </c>
      <c r="D9" s="460">
        <f>'Haver Pivoted'!GO13</f>
        <v>589.5</v>
      </c>
      <c r="E9" s="253">
        <f>'Haver Pivoted'!GP13</f>
        <v>598.79999999999995</v>
      </c>
      <c r="F9" s="253">
        <f>'Haver Pivoted'!GQ13</f>
        <v>614.5</v>
      </c>
      <c r="G9" s="253">
        <f>'Haver Pivoted'!GR13</f>
        <v>622.4</v>
      </c>
      <c r="H9" s="253">
        <f>'Haver Pivoted'!GS13</f>
        <v>620.5</v>
      </c>
      <c r="I9" s="253">
        <f>'Haver Pivoted'!GT13</f>
        <v>606.20000000000005</v>
      </c>
      <c r="J9" s="253">
        <f>'Haver Pivoted'!GU13</f>
        <v>654.20000000000005</v>
      </c>
      <c r="K9" s="253">
        <f>'Haver Pivoted'!GV13</f>
        <v>690.4</v>
      </c>
      <c r="L9" s="253">
        <f>'Haver Pivoted'!GW13</f>
        <v>678.3</v>
      </c>
      <c r="M9" s="253">
        <f>'Haver Pivoted'!GX13</f>
        <v>695.9</v>
      </c>
      <c r="N9" s="253">
        <f>'Haver Pivoted'!GY13</f>
        <v>730.5</v>
      </c>
      <c r="O9" s="902">
        <f>'Haver Pivoted'!GZ13</f>
        <v>740</v>
      </c>
      <c r="P9" s="951"/>
      <c r="Q9" s="951"/>
      <c r="R9" s="951"/>
      <c r="S9" s="689"/>
      <c r="T9" s="689"/>
      <c r="U9" s="689"/>
      <c r="V9" s="689"/>
      <c r="W9" s="689"/>
      <c r="X9" s="689"/>
      <c r="Y9" s="689"/>
      <c r="Z9" s="689"/>
      <c r="AA9" s="689"/>
      <c r="AB9" s="689"/>
      <c r="AC9" s="562"/>
    </row>
    <row r="10" spans="2:29" x14ac:dyDescent="0.3">
      <c r="B10" s="41" t="s">
        <v>587</v>
      </c>
      <c r="C10" s="34" t="s">
        <v>471</v>
      </c>
      <c r="D10" s="156">
        <f>'Haver Pivoted'!GO40</f>
        <v>390.86599999999999</v>
      </c>
      <c r="E10" s="157">
        <f>'Haver Pivoted'!GP40</f>
        <v>408.75599999999997</v>
      </c>
      <c r="F10" s="157">
        <f>'Haver Pivoted'!GQ40</f>
        <v>413.34399999999999</v>
      </c>
      <c r="G10" s="157">
        <f>'Haver Pivoted'!GR40</f>
        <v>418.529</v>
      </c>
      <c r="H10" s="157">
        <f>'Haver Pivoted'!GS40</f>
        <v>413.80599999999998</v>
      </c>
      <c r="I10" s="157">
        <f>'Haver Pivoted'!GT40</f>
        <v>428.11799999999999</v>
      </c>
      <c r="J10" s="157">
        <f>'Haver Pivoted'!GU40</f>
        <v>502.49</v>
      </c>
      <c r="K10" s="157">
        <f>'Haver Pivoted'!GV40</f>
        <v>481.71699999999998</v>
      </c>
      <c r="L10" s="157">
        <f>'Haver Pivoted'!GW40</f>
        <v>507.83699999999999</v>
      </c>
      <c r="M10" s="157">
        <f>'Haver Pivoted'!GX40</f>
        <v>511.34500000000003</v>
      </c>
      <c r="N10" s="157">
        <f>'Haver Pivoted'!GY40</f>
        <v>520.72900000000004</v>
      </c>
      <c r="O10" s="952">
        <f>'Haver Pivoted'!GZ40</f>
        <v>530.82100000000003</v>
      </c>
      <c r="P10" s="159"/>
      <c r="Q10" s="159"/>
      <c r="R10" s="159"/>
      <c r="S10" s="430"/>
      <c r="T10" s="430"/>
      <c r="U10" s="430"/>
      <c r="V10" s="430"/>
      <c r="W10" s="430"/>
      <c r="X10" s="430"/>
      <c r="Y10" s="430"/>
      <c r="Z10" s="430"/>
      <c r="AA10" s="430"/>
      <c r="AB10" s="430"/>
      <c r="AC10" s="431"/>
    </row>
    <row r="11" spans="2:29" x14ac:dyDescent="0.3">
      <c r="B11" s="56" t="s">
        <v>588</v>
      </c>
      <c r="D11" s="176">
        <f t="shared" ref="D11:N11" si="0">D10/D9</f>
        <v>0.6630466497031382</v>
      </c>
      <c r="E11" s="335">
        <f t="shared" si="0"/>
        <v>0.68262525050100198</v>
      </c>
      <c r="F11" s="335">
        <f t="shared" si="0"/>
        <v>0.6726509357200976</v>
      </c>
      <c r="G11" s="335">
        <f t="shared" si="0"/>
        <v>0.67244376606683809</v>
      </c>
      <c r="H11" s="335">
        <f t="shared" si="0"/>
        <v>0.66689121676067686</v>
      </c>
      <c r="I11" s="335">
        <f t="shared" si="0"/>
        <v>0.70623226657868687</v>
      </c>
      <c r="J11" s="335">
        <f t="shared" si="0"/>
        <v>0.76809844084377865</v>
      </c>
      <c r="K11" s="335">
        <f t="shared" si="0"/>
        <v>0.69773609501738121</v>
      </c>
      <c r="L11" s="335">
        <f t="shared" si="0"/>
        <v>0.7486908447589562</v>
      </c>
      <c r="M11" s="335">
        <f t="shared" si="0"/>
        <v>0.7347966661876707</v>
      </c>
      <c r="N11" s="335">
        <f t="shared" si="0"/>
        <v>0.71283915126625608</v>
      </c>
      <c r="O11" s="175">
        <f>O10/O9</f>
        <v>0.71732567567567573</v>
      </c>
      <c r="P11" s="626">
        <f t="shared" ref="P11:R11" si="1">AVERAGE($L$11:$M$11)</f>
        <v>0.7417437554733135</v>
      </c>
      <c r="Q11" s="626">
        <f t="shared" si="1"/>
        <v>0.7417437554733135</v>
      </c>
      <c r="R11" s="626">
        <f t="shared" si="1"/>
        <v>0.7417437554733135</v>
      </c>
      <c r="S11" s="626">
        <f>AVERAGE(D11:G11)</f>
        <v>0.67269165049776891</v>
      </c>
      <c r="T11" s="626">
        <f>AVERAGE(D11:G11)</f>
        <v>0.67269165049776891</v>
      </c>
      <c r="U11" s="626">
        <f t="shared" ref="U11:Y12" si="2">T11</f>
        <v>0.67269165049776891</v>
      </c>
      <c r="V11" s="626">
        <f t="shared" si="2"/>
        <v>0.67269165049776891</v>
      </c>
      <c r="W11" s="626">
        <f t="shared" si="2"/>
        <v>0.67269165049776891</v>
      </c>
      <c r="X11" s="626">
        <f t="shared" si="2"/>
        <v>0.67269165049776891</v>
      </c>
      <c r="Y11" s="626">
        <f t="shared" si="2"/>
        <v>0.67269165049776891</v>
      </c>
      <c r="Z11" s="626">
        <f t="shared" ref="Z11:Z12" si="3">Y11</f>
        <v>0.67269165049776891</v>
      </c>
      <c r="AA11" s="626">
        <f t="shared" ref="AA11:AA12" si="4">Z11</f>
        <v>0.67269165049776891</v>
      </c>
      <c r="AB11" s="626">
        <f t="shared" ref="AB11:AB12" si="5">AA11</f>
        <v>0.67269165049776891</v>
      </c>
      <c r="AC11" s="635">
        <f t="shared" ref="AC11:AC12" si="6">AB11</f>
        <v>0.67269165049776891</v>
      </c>
    </row>
    <row r="12" spans="2:29" x14ac:dyDescent="0.3">
      <c r="B12" s="138" t="s">
        <v>589</v>
      </c>
      <c r="C12" s="42"/>
      <c r="D12" s="461">
        <f t="shared" ref="D12:M12" si="7">D11</f>
        <v>0.6630466497031382</v>
      </c>
      <c r="E12" s="186">
        <f t="shared" si="7"/>
        <v>0.68262525050100198</v>
      </c>
      <c r="F12" s="186">
        <f t="shared" si="7"/>
        <v>0.6726509357200976</v>
      </c>
      <c r="G12" s="186">
        <f t="shared" si="7"/>
        <v>0.67244376606683809</v>
      </c>
      <c r="H12" s="186">
        <f t="shared" si="7"/>
        <v>0.66689121676067686</v>
      </c>
      <c r="I12" s="186">
        <f t="shared" si="7"/>
        <v>0.70623226657868687</v>
      </c>
      <c r="J12" s="186">
        <f t="shared" si="7"/>
        <v>0.76809844084377865</v>
      </c>
      <c r="K12" s="186">
        <f t="shared" si="7"/>
        <v>0.69773609501738121</v>
      </c>
      <c r="L12" s="186">
        <f t="shared" si="7"/>
        <v>0.7486908447589562</v>
      </c>
      <c r="M12" s="186">
        <f t="shared" si="7"/>
        <v>0.7347966661876707</v>
      </c>
      <c r="N12" s="901">
        <f>N11+F44</f>
        <v>0.72226866700127546</v>
      </c>
      <c r="O12" s="169">
        <f>O11</f>
        <v>0.71732567567567573</v>
      </c>
      <c r="P12" s="341">
        <f>O12</f>
        <v>0.71732567567567573</v>
      </c>
      <c r="Q12" s="341">
        <f>Q11+G44</f>
        <v>0.74981603663430996</v>
      </c>
      <c r="R12" s="341">
        <f>Q12</f>
        <v>0.74981603663430996</v>
      </c>
      <c r="S12" s="341">
        <f>S11+G44</f>
        <v>0.68076393165876536</v>
      </c>
      <c r="T12" s="341">
        <f>T11+H44</f>
        <v>0.67750836856258201</v>
      </c>
      <c r="U12" s="341">
        <f t="shared" si="2"/>
        <v>0.67750836856258201</v>
      </c>
      <c r="V12" s="341">
        <f t="shared" si="2"/>
        <v>0.67750836856258201</v>
      </c>
      <c r="W12" s="341">
        <f t="shared" si="2"/>
        <v>0.67750836856258201</v>
      </c>
      <c r="X12" s="341">
        <f t="shared" si="2"/>
        <v>0.67750836856258201</v>
      </c>
      <c r="Y12" s="341">
        <f t="shared" si="2"/>
        <v>0.67750836856258201</v>
      </c>
      <c r="Z12" s="341">
        <f t="shared" si="3"/>
        <v>0.67750836856258201</v>
      </c>
      <c r="AA12" s="341">
        <f t="shared" si="4"/>
        <v>0.67750836856258201</v>
      </c>
      <c r="AB12" s="341">
        <f t="shared" si="5"/>
        <v>0.67750836856258201</v>
      </c>
      <c r="AC12" s="636">
        <f t="shared" si="6"/>
        <v>0.67750836856258201</v>
      </c>
    </row>
    <row r="14" spans="2:29" x14ac:dyDescent="0.3">
      <c r="B14" s="52" t="s">
        <v>484</v>
      </c>
    </row>
    <row r="15" spans="2:29" ht="25" customHeight="1" x14ac:dyDescent="0.3">
      <c r="B15" s="337" t="s">
        <v>590</v>
      </c>
      <c r="C15" s="533">
        <v>2020</v>
      </c>
      <c r="D15" s="534">
        <v>2021</v>
      </c>
      <c r="E15" s="534">
        <v>2022</v>
      </c>
      <c r="F15" s="534">
        <v>2023</v>
      </c>
      <c r="G15" s="535">
        <v>2024</v>
      </c>
      <c r="H15" s="336"/>
      <c r="I15" s="336"/>
      <c r="J15" s="336"/>
    </row>
    <row r="16" spans="2:29" ht="31.5" customHeight="1" x14ac:dyDescent="0.3">
      <c r="B16" s="49" t="s">
        <v>591</v>
      </c>
      <c r="C16" s="530">
        <v>458.46800000000002</v>
      </c>
      <c r="D16" s="531">
        <v>519.15800000000002</v>
      </c>
      <c r="E16" s="531">
        <v>545.428</v>
      </c>
      <c r="F16" s="531">
        <v>512.61800000000005</v>
      </c>
      <c r="G16" s="532">
        <v>601.92600000000004</v>
      </c>
    </row>
    <row r="17" spans="2:25" x14ac:dyDescent="0.3">
      <c r="B17" s="41" t="s">
        <v>592</v>
      </c>
      <c r="C17" s="176">
        <f>AVERAGE(H11:K11)</f>
        <v>0.70973950480013093</v>
      </c>
      <c r="D17" s="335">
        <f>AVERAGE(L11:O11)</f>
        <v>0.7284130844721397</v>
      </c>
      <c r="E17" s="335">
        <f>AVERAGE(P11:S11)</f>
        <v>0.7244807292294273</v>
      </c>
      <c r="F17" s="335">
        <f>AVERAGE(T11:W11)</f>
        <v>0.67269165049776891</v>
      </c>
      <c r="G17" s="175">
        <f>F17</f>
        <v>0.67269165049776891</v>
      </c>
    </row>
    <row r="18" spans="2:25" x14ac:dyDescent="0.3">
      <c r="B18" s="41" t="s">
        <v>593</v>
      </c>
      <c r="C18" s="146">
        <f>C16/C17</f>
        <v>645.96657914527214</v>
      </c>
      <c r="D18" s="43">
        <f>D16/D17</f>
        <v>712.72470397236077</v>
      </c>
      <c r="E18" s="43">
        <f>E16/E17</f>
        <v>752.8537033416037</v>
      </c>
      <c r="F18" s="43">
        <f>F16/F17</f>
        <v>762.04008124774577</v>
      </c>
      <c r="G18" s="275">
        <f>G16/G17</f>
        <v>894.80224640010817</v>
      </c>
    </row>
    <row r="19" spans="2:25" ht="32.15" customHeight="1" x14ac:dyDescent="0.3">
      <c r="B19" s="150" t="s">
        <v>594</v>
      </c>
      <c r="C19" s="147"/>
      <c r="D19" s="186">
        <f>D18/C18-1</f>
        <v>0.10334609712381937</v>
      </c>
      <c r="E19" s="186">
        <f>E18/D18-1</f>
        <v>5.6303645917679779E-2</v>
      </c>
      <c r="F19" s="186">
        <f>F18/E18-1</f>
        <v>1.2202075735787243E-2</v>
      </c>
      <c r="G19" s="169">
        <f>G18/F18-1</f>
        <v>0.17421939924076035</v>
      </c>
      <c r="I19" s="172"/>
      <c r="J19" s="172"/>
      <c r="K19" s="172"/>
      <c r="L19" s="172"/>
    </row>
    <row r="21" spans="2:25" x14ac:dyDescent="0.3">
      <c r="B21" s="52" t="s">
        <v>497</v>
      </c>
    </row>
    <row r="22" spans="2:25" x14ac:dyDescent="0.3">
      <c r="B22" s="1060" t="s">
        <v>595</v>
      </c>
      <c r="C22" s="1120"/>
      <c r="D22" s="1067" t="s">
        <v>401</v>
      </c>
      <c r="E22" s="1068"/>
      <c r="F22" s="1068"/>
      <c r="G22" s="1068"/>
      <c r="H22" s="1068"/>
      <c r="I22" s="1068"/>
      <c r="J22" s="1068"/>
      <c r="K22" s="1069"/>
      <c r="L22" s="1096" t="s">
        <v>402</v>
      </c>
      <c r="M22" s="1097"/>
      <c r="N22" s="1097"/>
      <c r="O22" s="1097"/>
      <c r="P22" s="1097"/>
      <c r="Q22" s="1097"/>
      <c r="R22" s="1097"/>
      <c r="S22" s="1097"/>
      <c r="T22" s="1097"/>
      <c r="U22" s="1097"/>
      <c r="V22" s="1097"/>
      <c r="W22" s="1097"/>
      <c r="X22" s="1097"/>
      <c r="Y22" s="1098"/>
    </row>
    <row r="23" spans="2:25" x14ac:dyDescent="0.3">
      <c r="B23" s="1062"/>
      <c r="C23" s="1121"/>
      <c r="D23" s="584"/>
      <c r="E23" s="1058">
        <v>2020</v>
      </c>
      <c r="F23" s="1058"/>
      <c r="G23" s="1058"/>
      <c r="H23" s="1058"/>
      <c r="I23" s="1057">
        <v>2021</v>
      </c>
      <c r="J23" s="1058"/>
      <c r="K23" s="1059"/>
      <c r="L23" s="570">
        <v>2021</v>
      </c>
      <c r="M23" s="1148">
        <v>2022</v>
      </c>
      <c r="N23" s="1149"/>
      <c r="O23" s="1149"/>
      <c r="P23" s="1149"/>
      <c r="Q23" s="1148">
        <v>2023</v>
      </c>
      <c r="R23" s="1149"/>
      <c r="S23" s="1149"/>
      <c r="T23" s="1149"/>
      <c r="U23" s="1064">
        <v>2024</v>
      </c>
      <c r="V23" s="1065"/>
      <c r="W23" s="1065"/>
      <c r="X23" s="1065"/>
      <c r="Y23" s="334">
        <v>2025</v>
      </c>
    </row>
    <row r="24" spans="2:25" x14ac:dyDescent="0.3">
      <c r="B24" s="1100"/>
      <c r="C24" s="1122"/>
      <c r="D24" s="168" t="s">
        <v>403</v>
      </c>
      <c r="E24" s="149" t="s">
        <v>404</v>
      </c>
      <c r="F24" s="149" t="s">
        <v>405</v>
      </c>
      <c r="G24" s="149" t="s">
        <v>290</v>
      </c>
      <c r="H24" s="149" t="s">
        <v>403</v>
      </c>
      <c r="I24" s="162" t="s">
        <v>404</v>
      </c>
      <c r="J24" s="149" t="s">
        <v>405</v>
      </c>
      <c r="K24" s="155" t="s">
        <v>290</v>
      </c>
      <c r="L24" s="431" t="s">
        <v>403</v>
      </c>
      <c r="M24" s="429" t="s">
        <v>404</v>
      </c>
      <c r="N24" s="430" t="s">
        <v>405</v>
      </c>
      <c r="O24" s="430" t="s">
        <v>290</v>
      </c>
      <c r="P24" s="430" t="s">
        <v>403</v>
      </c>
      <c r="Q24" s="429" t="s">
        <v>404</v>
      </c>
      <c r="R24" s="430" t="s">
        <v>405</v>
      </c>
      <c r="S24" s="430" t="s">
        <v>290</v>
      </c>
      <c r="T24" s="430" t="s">
        <v>403</v>
      </c>
      <c r="U24" s="429" t="s">
        <v>404</v>
      </c>
      <c r="V24" s="394" t="s">
        <v>405</v>
      </c>
      <c r="W24" s="430" t="s">
        <v>290</v>
      </c>
      <c r="X24" s="430" t="s">
        <v>403</v>
      </c>
      <c r="Y24" s="71" t="s">
        <v>404</v>
      </c>
    </row>
    <row r="25" spans="2:25" ht="19.5" customHeight="1" x14ac:dyDescent="0.35">
      <c r="B25" s="953" t="s">
        <v>596</v>
      </c>
      <c r="C25" s="954"/>
      <c r="D25" s="896">
        <f t="shared" ref="D25:J25" si="8">H9</f>
        <v>620.5</v>
      </c>
      <c r="E25" s="897">
        <f t="shared" si="8"/>
        <v>606.20000000000005</v>
      </c>
      <c r="F25" s="897">
        <f t="shared" si="8"/>
        <v>654.20000000000005</v>
      </c>
      <c r="G25" s="897">
        <f t="shared" si="8"/>
        <v>690.4</v>
      </c>
      <c r="H25" s="897">
        <f t="shared" si="8"/>
        <v>678.3</v>
      </c>
      <c r="I25" s="897">
        <f t="shared" si="8"/>
        <v>695.9</v>
      </c>
      <c r="J25" s="897">
        <f t="shared" si="8"/>
        <v>730.5</v>
      </c>
      <c r="K25" s="898">
        <f>O9</f>
        <v>740</v>
      </c>
      <c r="L25" s="664">
        <f>K25*(1+$E$19)^0.25</f>
        <v>750.20320366762178</v>
      </c>
      <c r="M25" s="664">
        <f>L25*(1+$E$19)^0.25</f>
        <v>760.54709026103137</v>
      </c>
      <c r="N25" s="664">
        <f>M25*(1+$E$19)^0.25</f>
        <v>771.03359953231575</v>
      </c>
      <c r="O25" s="664">
        <f>N25*(1+$E$19)^0.25</f>
        <v>781.66469797908303</v>
      </c>
      <c r="P25" s="664">
        <f>O25*(1+$F$19)^0.25</f>
        <v>784.03834709124271</v>
      </c>
      <c r="Q25" s="664">
        <f>P25*(1+$F$19)^0.25</f>
        <v>786.4192041662568</v>
      </c>
      <c r="R25" s="664">
        <f>Q25*(1+$F$19)^0.25</f>
        <v>788.80729109225035</v>
      </c>
      <c r="S25" s="664">
        <f>R25*(1+$F$19)^0.25</f>
        <v>791.20262982381519</v>
      </c>
      <c r="T25" s="664">
        <f t="shared" ref="T25:Y25" si="9">S25*(1+$G$19)^0.25</f>
        <v>823.6164931087975</v>
      </c>
      <c r="U25" s="664">
        <f t="shared" si="9"/>
        <v>857.35828238069348</v>
      </c>
      <c r="V25" s="664">
        <f t="shared" si="9"/>
        <v>892.48239989977117</v>
      </c>
      <c r="W25" s="664">
        <f t="shared" si="9"/>
        <v>929.04547666942995</v>
      </c>
      <c r="X25" s="664">
        <f t="shared" si="9"/>
        <v>967.10646374299392</v>
      </c>
      <c r="Y25" s="955">
        <f t="shared" si="9"/>
        <v>1006.726727271148</v>
      </c>
    </row>
    <row r="26" spans="2:25" ht="19" customHeight="1" x14ac:dyDescent="0.35">
      <c r="B26" s="140" t="s">
        <v>251</v>
      </c>
      <c r="C26" s="141"/>
      <c r="D26" s="603">
        <f>D25*H12</f>
        <v>413.80599999999998</v>
      </c>
      <c r="E26" s="192">
        <f t="shared" ref="E26:Y26" si="10">E25*I12</f>
        <v>428.11799999999999</v>
      </c>
      <c r="F26" s="192">
        <f t="shared" si="10"/>
        <v>502.49</v>
      </c>
      <c r="G26" s="192">
        <f t="shared" si="10"/>
        <v>481.71699999999998</v>
      </c>
      <c r="H26" s="192">
        <f t="shared" si="10"/>
        <v>507.83699999999993</v>
      </c>
      <c r="I26" s="192">
        <f t="shared" si="10"/>
        <v>511.34500000000003</v>
      </c>
      <c r="J26" s="192">
        <f t="shared" si="10"/>
        <v>527.61726124443169</v>
      </c>
      <c r="K26" s="956">
        <f>K25*O12</f>
        <v>530.82100000000003</v>
      </c>
      <c r="L26" s="339">
        <f t="shared" si="10"/>
        <v>538.14001996493334</v>
      </c>
      <c r="M26" s="339">
        <f t="shared" si="10"/>
        <v>570.27040489328328</v>
      </c>
      <c r="N26" s="339">
        <f t="shared" si="10"/>
        <v>578.13335771320669</v>
      </c>
      <c r="O26" s="339">
        <f t="shared" si="10"/>
        <v>532.12913303510197</v>
      </c>
      <c r="P26" s="339">
        <f t="shared" si="10"/>
        <v>531.19254142829129</v>
      </c>
      <c r="Q26" s="339">
        <f t="shared" si="10"/>
        <v>532.8055920209647</v>
      </c>
      <c r="R26" s="339">
        <f t="shared" si="10"/>
        <v>534.42354089818025</v>
      </c>
      <c r="S26" s="339">
        <f t="shared" si="10"/>
        <v>536.0464029343575</v>
      </c>
      <c r="T26" s="339">
        <f t="shared" si="10"/>
        <v>558.00706656737646</v>
      </c>
      <c r="U26" s="339">
        <f t="shared" si="10"/>
        <v>580.86741116936116</v>
      </c>
      <c r="V26" s="339">
        <f t="shared" si="10"/>
        <v>604.66429472691186</v>
      </c>
      <c r="W26" s="339">
        <f t="shared" si="10"/>
        <v>629.43608521875183</v>
      </c>
      <c r="X26" s="339">
        <f t="shared" si="10"/>
        <v>655.22272247684373</v>
      </c>
      <c r="Y26" s="340">
        <f t="shared" si="10"/>
        <v>682.06578258182287</v>
      </c>
    </row>
    <row r="27" spans="2:25" ht="19" customHeight="1" x14ac:dyDescent="0.3">
      <c r="B27" s="138" t="s">
        <v>597</v>
      </c>
      <c r="C27" s="42"/>
      <c r="D27" s="899">
        <f t="shared" ref="D27:Y27" si="11">D25-D26</f>
        <v>206.69400000000002</v>
      </c>
      <c r="E27" s="661">
        <f t="shared" si="11"/>
        <v>178.08200000000005</v>
      </c>
      <c r="F27" s="661">
        <f t="shared" si="11"/>
        <v>151.71000000000004</v>
      </c>
      <c r="G27" s="661">
        <f t="shared" si="11"/>
        <v>208.68299999999999</v>
      </c>
      <c r="H27" s="661">
        <f t="shared" si="11"/>
        <v>170.46300000000002</v>
      </c>
      <c r="I27" s="661">
        <f t="shared" si="11"/>
        <v>184.55499999999995</v>
      </c>
      <c r="J27" s="661">
        <f t="shared" si="11"/>
        <v>202.88273875556831</v>
      </c>
      <c r="K27" s="900">
        <f t="shared" si="11"/>
        <v>209.17899999999997</v>
      </c>
      <c r="L27" s="662">
        <f t="shared" si="11"/>
        <v>212.06318370268843</v>
      </c>
      <c r="M27" s="662">
        <f t="shared" si="11"/>
        <v>190.27668536774809</v>
      </c>
      <c r="N27" s="662">
        <f t="shared" si="11"/>
        <v>192.90024181910906</v>
      </c>
      <c r="O27" s="662">
        <f t="shared" si="11"/>
        <v>249.53556494398106</v>
      </c>
      <c r="P27" s="662">
        <f t="shared" si="11"/>
        <v>252.84580566295142</v>
      </c>
      <c r="Q27" s="662">
        <f t="shared" si="11"/>
        <v>253.61361214529211</v>
      </c>
      <c r="R27" s="662">
        <f t="shared" si="11"/>
        <v>254.3837501940701</v>
      </c>
      <c r="S27" s="662">
        <f t="shared" si="11"/>
        <v>255.15622688945768</v>
      </c>
      <c r="T27" s="662">
        <f t="shared" si="11"/>
        <v>265.60942654142104</v>
      </c>
      <c r="U27" s="662">
        <f t="shared" si="11"/>
        <v>276.49087121133232</v>
      </c>
      <c r="V27" s="662">
        <f t="shared" si="11"/>
        <v>287.8181051728593</v>
      </c>
      <c r="W27" s="662">
        <f t="shared" si="11"/>
        <v>299.60939145067812</v>
      </c>
      <c r="X27" s="662">
        <f t="shared" si="11"/>
        <v>311.8837412661502</v>
      </c>
      <c r="Y27" s="663">
        <f t="shared" si="11"/>
        <v>324.66094468932511</v>
      </c>
    </row>
    <row r="28" spans="2:25" x14ac:dyDescent="0.3">
      <c r="D28" s="173"/>
      <c r="E28" s="173"/>
      <c r="F28" s="173"/>
      <c r="G28" s="173"/>
      <c r="H28" s="173"/>
      <c r="I28" s="235"/>
      <c r="J28" s="173"/>
      <c r="K28" s="173"/>
      <c r="L28" s="173"/>
      <c r="M28" s="173"/>
      <c r="N28" s="173"/>
      <c r="O28" s="173"/>
      <c r="P28" s="173"/>
      <c r="Q28" s="173"/>
      <c r="R28" s="173"/>
      <c r="S28" s="173"/>
    </row>
    <row r="29" spans="2:25" x14ac:dyDescent="0.3">
      <c r="D29" s="173"/>
      <c r="E29" s="173"/>
      <c r="F29" s="173"/>
      <c r="G29" s="173"/>
      <c r="H29" s="173"/>
      <c r="I29" s="235"/>
      <c r="J29" s="173"/>
      <c r="K29" s="173"/>
      <c r="L29" s="173"/>
      <c r="M29" s="173"/>
      <c r="N29" s="173"/>
      <c r="O29" s="173"/>
      <c r="P29" s="173"/>
      <c r="Q29" s="173"/>
      <c r="R29" s="173"/>
      <c r="S29" s="173"/>
    </row>
    <row r="32" spans="2:25" x14ac:dyDescent="0.3">
      <c r="B32" s="350" t="s">
        <v>598</v>
      </c>
      <c r="C32" s="351"/>
      <c r="D32" s="351"/>
      <c r="E32" s="352"/>
      <c r="F32" s="353">
        <v>2021</v>
      </c>
      <c r="G32" s="353">
        <v>2022</v>
      </c>
      <c r="H32" s="353">
        <v>2023</v>
      </c>
      <c r="I32" s="353">
        <v>2024</v>
      </c>
      <c r="J32" s="353">
        <v>2025</v>
      </c>
      <c r="K32" s="353">
        <v>2025</v>
      </c>
      <c r="L32" s="353">
        <v>2027</v>
      </c>
      <c r="M32" s="353">
        <v>2028</v>
      </c>
      <c r="N32" s="353">
        <v>2029</v>
      </c>
      <c r="O32" s="353">
        <v>2030</v>
      </c>
      <c r="P32" s="354">
        <v>2031</v>
      </c>
    </row>
    <row r="33" spans="2:17" x14ac:dyDescent="0.3">
      <c r="B33" s="1139" t="s">
        <v>599</v>
      </c>
      <c r="C33" s="1140"/>
      <c r="D33" s="1140"/>
      <c r="E33" s="1141"/>
      <c r="F33" s="43">
        <v>287</v>
      </c>
      <c r="G33" s="43">
        <v>534</v>
      </c>
      <c r="H33" s="43">
        <v>247</v>
      </c>
      <c r="I33" s="43">
        <v>63</v>
      </c>
      <c r="J33" s="43"/>
      <c r="K33" s="43"/>
      <c r="L33" s="43"/>
      <c r="M33" s="43"/>
      <c r="N33" s="43"/>
      <c r="O33" s="43"/>
      <c r="P33" s="275"/>
    </row>
    <row r="34" spans="2:17" x14ac:dyDescent="0.3">
      <c r="B34" s="1139" t="s">
        <v>600</v>
      </c>
      <c r="C34" s="1140"/>
      <c r="D34" s="1140"/>
      <c r="E34" s="1141"/>
      <c r="F34" s="43">
        <v>0</v>
      </c>
      <c r="G34" s="43">
        <v>0</v>
      </c>
      <c r="H34" s="43">
        <v>756</v>
      </c>
      <c r="I34" s="43">
        <v>1249</v>
      </c>
      <c r="J34" s="43">
        <v>1417</v>
      </c>
      <c r="K34" s="43">
        <v>1522</v>
      </c>
      <c r="L34" s="43">
        <v>1107</v>
      </c>
      <c r="M34" s="43"/>
      <c r="N34" s="43"/>
      <c r="O34" s="43"/>
      <c r="P34" s="275"/>
    </row>
    <row r="35" spans="2:17" x14ac:dyDescent="0.3">
      <c r="B35" s="1139" t="s">
        <v>601</v>
      </c>
      <c r="C35" s="1140"/>
      <c r="D35" s="1140"/>
      <c r="E35" s="1141"/>
      <c r="F35" s="43">
        <v>0</v>
      </c>
      <c r="G35" s="43">
        <v>5</v>
      </c>
      <c r="H35" s="43">
        <v>77</v>
      </c>
      <c r="I35" s="43">
        <v>307</v>
      </c>
      <c r="J35" s="43">
        <v>332</v>
      </c>
      <c r="K35" s="43">
        <v>270</v>
      </c>
      <c r="L35" s="43">
        <v>25</v>
      </c>
      <c r="M35" s="43">
        <v>32</v>
      </c>
      <c r="N35" s="43">
        <v>40</v>
      </c>
      <c r="O35" s="43">
        <v>49</v>
      </c>
      <c r="P35" s="275">
        <v>58</v>
      </c>
    </row>
    <row r="36" spans="2:17" ht="32.5" customHeight="1" x14ac:dyDescent="0.3">
      <c r="B36" s="1145" t="s">
        <v>602</v>
      </c>
      <c r="C36" s="1146"/>
      <c r="D36" s="1146"/>
      <c r="E36" s="1147"/>
      <c r="F36" s="43">
        <v>0</v>
      </c>
      <c r="G36" s="43">
        <v>0</v>
      </c>
      <c r="H36" s="43">
        <v>3768</v>
      </c>
      <c r="I36" s="43">
        <v>3428</v>
      </c>
      <c r="J36" s="43">
        <v>2176</v>
      </c>
      <c r="K36" s="43">
        <v>2304</v>
      </c>
      <c r="L36" s="43">
        <v>2129</v>
      </c>
      <c r="M36" s="43">
        <v>1335</v>
      </c>
      <c r="N36" s="43">
        <v>478</v>
      </c>
      <c r="O36" s="43">
        <v>531</v>
      </c>
      <c r="P36" s="275">
        <v>212</v>
      </c>
    </row>
    <row r="37" spans="2:17" ht="32.5" customHeight="1" x14ac:dyDescent="0.3">
      <c r="B37" s="1145" t="s">
        <v>603</v>
      </c>
      <c r="C37" s="1146"/>
      <c r="D37" s="1146"/>
      <c r="E37" s="1147"/>
      <c r="F37" s="43">
        <v>38</v>
      </c>
      <c r="G37" s="43">
        <v>81</v>
      </c>
      <c r="H37" s="43">
        <v>43</v>
      </c>
      <c r="I37" s="43"/>
      <c r="J37" s="43"/>
      <c r="K37" s="43"/>
      <c r="L37" s="43"/>
      <c r="M37" s="43"/>
      <c r="N37" s="43"/>
      <c r="O37" s="43"/>
      <c r="P37" s="275"/>
    </row>
    <row r="38" spans="2:17" x14ac:dyDescent="0.3">
      <c r="B38" s="1139" t="s">
        <v>604</v>
      </c>
      <c r="C38" s="1140"/>
      <c r="D38" s="1140"/>
      <c r="E38" s="1141"/>
      <c r="F38" s="43"/>
      <c r="G38" s="43"/>
      <c r="H38" s="43"/>
      <c r="I38" s="43">
        <v>-184</v>
      </c>
      <c r="J38" s="43">
        <v>-1830</v>
      </c>
      <c r="K38" s="43">
        <v>-2406</v>
      </c>
      <c r="L38" s="43">
        <v>-2419</v>
      </c>
      <c r="M38" s="43">
        <v>-2467</v>
      </c>
      <c r="N38" s="43">
        <v>-2531</v>
      </c>
      <c r="O38" s="43">
        <v>-2667</v>
      </c>
      <c r="P38" s="275">
        <v>-2809</v>
      </c>
    </row>
    <row r="39" spans="2:17" ht="15.65" customHeight="1" x14ac:dyDescent="0.3">
      <c r="B39" s="1136" t="s">
        <v>605</v>
      </c>
      <c r="C39" s="1137"/>
      <c r="D39" s="1137"/>
      <c r="E39" s="1138"/>
      <c r="F39" s="43">
        <v>6524</v>
      </c>
      <c r="G39" s="43">
        <v>6143</v>
      </c>
      <c r="H39" s="43"/>
      <c r="I39" s="43"/>
      <c r="J39" s="43"/>
      <c r="K39" s="43"/>
      <c r="L39" s="43"/>
      <c r="M39" s="43"/>
      <c r="N39" s="43"/>
      <c r="O39" s="43"/>
      <c r="P39" s="275"/>
    </row>
    <row r="40" spans="2:17" x14ac:dyDescent="0.3">
      <c r="B40" s="1139" t="s">
        <v>606</v>
      </c>
      <c r="C40" s="1140"/>
      <c r="D40" s="1140"/>
      <c r="E40" s="1141"/>
      <c r="F40" s="43">
        <v>50</v>
      </c>
      <c r="G40" s="43">
        <v>175</v>
      </c>
      <c r="H40" s="43">
        <v>25</v>
      </c>
      <c r="I40" s="43"/>
      <c r="J40" s="43"/>
      <c r="K40" s="43"/>
      <c r="L40" s="43"/>
      <c r="M40" s="43"/>
      <c r="N40" s="43"/>
      <c r="O40" s="43"/>
      <c r="P40" s="275"/>
    </row>
    <row r="41" spans="2:17" x14ac:dyDescent="0.3">
      <c r="B41" s="1139" t="s">
        <v>607</v>
      </c>
      <c r="C41" s="1140"/>
      <c r="D41" s="1140"/>
      <c r="E41" s="1141"/>
      <c r="F41" s="43">
        <v>829</v>
      </c>
      <c r="G41" s="43">
        <v>844</v>
      </c>
      <c r="H41" s="43"/>
      <c r="I41" s="43"/>
      <c r="J41" s="43"/>
      <c r="K41" s="43"/>
      <c r="L41" s="43"/>
      <c r="M41" s="43"/>
      <c r="N41" s="43"/>
      <c r="O41" s="43"/>
      <c r="P41" s="275"/>
    </row>
    <row r="42" spans="2:17" x14ac:dyDescent="0.3">
      <c r="B42" s="1142" t="s">
        <v>608</v>
      </c>
      <c r="C42" s="1143"/>
      <c r="D42" s="1143"/>
      <c r="E42" s="1144"/>
      <c r="F42" s="43">
        <f t="shared" ref="F42:P42" si="12">SUM(F33:F41)</f>
        <v>7728</v>
      </c>
      <c r="G42" s="43">
        <f t="shared" si="12"/>
        <v>7782</v>
      </c>
      <c r="H42" s="43">
        <f t="shared" si="12"/>
        <v>4916</v>
      </c>
      <c r="I42" s="43">
        <f t="shared" si="12"/>
        <v>4863</v>
      </c>
      <c r="J42" s="43">
        <f t="shared" si="12"/>
        <v>2095</v>
      </c>
      <c r="K42" s="43">
        <f t="shared" si="12"/>
        <v>1690</v>
      </c>
      <c r="L42" s="43">
        <f t="shared" si="12"/>
        <v>842</v>
      </c>
      <c r="M42" s="43">
        <f t="shared" si="12"/>
        <v>-1100</v>
      </c>
      <c r="N42" s="43">
        <f t="shared" si="12"/>
        <v>-2013</v>
      </c>
      <c r="O42" s="43">
        <f t="shared" si="12"/>
        <v>-2087</v>
      </c>
      <c r="P42" s="275">
        <f t="shared" si="12"/>
        <v>-2539</v>
      </c>
    </row>
    <row r="43" spans="2:17" x14ac:dyDescent="0.3">
      <c r="B43" s="1136" t="s">
        <v>609</v>
      </c>
      <c r="C43" s="1137"/>
      <c r="D43" s="1137"/>
      <c r="E43" s="1138"/>
      <c r="F43" s="43">
        <f t="shared" ref="F43:P43" si="13">F39+F37+F36</f>
        <v>6562</v>
      </c>
      <c r="G43" s="43">
        <f t="shared" si="13"/>
        <v>6224</v>
      </c>
      <c r="H43" s="43">
        <f t="shared" si="13"/>
        <v>3811</v>
      </c>
      <c r="I43" s="43">
        <f t="shared" si="13"/>
        <v>3428</v>
      </c>
      <c r="J43" s="43">
        <f t="shared" si="13"/>
        <v>2176</v>
      </c>
      <c r="K43" s="43">
        <f t="shared" si="13"/>
        <v>2304</v>
      </c>
      <c r="L43" s="43">
        <f t="shared" si="13"/>
        <v>2129</v>
      </c>
      <c r="M43" s="43">
        <f t="shared" si="13"/>
        <v>1335</v>
      </c>
      <c r="N43" s="43">
        <f t="shared" si="13"/>
        <v>478</v>
      </c>
      <c r="O43" s="43">
        <f t="shared" si="13"/>
        <v>531</v>
      </c>
      <c r="P43" s="275">
        <f t="shared" si="13"/>
        <v>212</v>
      </c>
      <c r="Q43" s="34" t="s">
        <v>610</v>
      </c>
    </row>
    <row r="44" spans="2:17" x14ac:dyDescent="0.3">
      <c r="B44" s="1139" t="s">
        <v>611</v>
      </c>
      <c r="C44" s="1140"/>
      <c r="D44" s="1140"/>
      <c r="E44" s="1141"/>
      <c r="F44" s="43">
        <f>(F43/1000)/I25</f>
        <v>9.4295157350194007E-3</v>
      </c>
      <c r="G44" s="43">
        <f>(G43/1000)/N25</f>
        <v>8.0722811609964581E-3</v>
      </c>
      <c r="H44" s="43">
        <f>(H43/1000)/S25</f>
        <v>4.8167180648130969E-3</v>
      </c>
      <c r="I44" s="43">
        <f>(I43/1000)/T25</f>
        <v>4.1621313180128005E-3</v>
      </c>
      <c r="J44" s="43"/>
      <c r="K44" s="43"/>
      <c r="L44" s="43"/>
      <c r="M44" s="43"/>
      <c r="N44" s="43"/>
      <c r="O44" s="43"/>
      <c r="P44" s="275"/>
      <c r="Q44" s="34" t="s">
        <v>612</v>
      </c>
    </row>
    <row r="45" spans="2:17" x14ac:dyDescent="0.3">
      <c r="B45" s="1133" t="s">
        <v>613</v>
      </c>
      <c r="C45" s="1134"/>
      <c r="D45" s="1134"/>
      <c r="E45" s="1135"/>
      <c r="F45" s="145">
        <f t="shared" ref="F45:P45" si="14">F42-F43</f>
        <v>1166</v>
      </c>
      <c r="G45" s="145">
        <f t="shared" si="14"/>
        <v>1558</v>
      </c>
      <c r="H45" s="145">
        <f t="shared" si="14"/>
        <v>1105</v>
      </c>
      <c r="I45" s="145">
        <f t="shared" si="14"/>
        <v>1435</v>
      </c>
      <c r="J45" s="145">
        <f t="shared" si="14"/>
        <v>-81</v>
      </c>
      <c r="K45" s="145">
        <f t="shared" si="14"/>
        <v>-614</v>
      </c>
      <c r="L45" s="145">
        <f t="shared" si="14"/>
        <v>-1287</v>
      </c>
      <c r="M45" s="145">
        <f t="shared" si="14"/>
        <v>-2435</v>
      </c>
      <c r="N45" s="145">
        <f t="shared" si="14"/>
        <v>-2491</v>
      </c>
      <c r="O45" s="145">
        <f t="shared" si="14"/>
        <v>-2618</v>
      </c>
      <c r="P45" s="174">
        <f t="shared" si="14"/>
        <v>-2751</v>
      </c>
    </row>
  </sheetData>
  <mergeCells count="32">
    <mergeCell ref="B2:AC4"/>
    <mergeCell ref="Y7:AB7"/>
    <mergeCell ref="U7:X7"/>
    <mergeCell ref="D6:O6"/>
    <mergeCell ref="P6:AC6"/>
    <mergeCell ref="M7:O7"/>
    <mergeCell ref="B34:E34"/>
    <mergeCell ref="B35:E35"/>
    <mergeCell ref="B33:E33"/>
    <mergeCell ref="L22:Y22"/>
    <mergeCell ref="D22:K22"/>
    <mergeCell ref="U23:X23"/>
    <mergeCell ref="E23:H23"/>
    <mergeCell ref="M23:P23"/>
    <mergeCell ref="I23:K23"/>
    <mergeCell ref="B22:C24"/>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Q23:T23"/>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zoomScale="67" workbookViewId="0">
      <selection activeCell="Q21" sqref="Q21"/>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055" t="s">
        <v>76</v>
      </c>
      <c r="C1" s="1055"/>
      <c r="D1" s="1055"/>
      <c r="E1" s="1055"/>
      <c r="F1" s="1055"/>
      <c r="G1" s="1055"/>
      <c r="H1" s="1055"/>
      <c r="I1" s="1055"/>
      <c r="J1" s="1055"/>
      <c r="K1" s="1055"/>
      <c r="L1" s="1055"/>
      <c r="M1" s="1055"/>
      <c r="N1" s="1055"/>
      <c r="O1" s="1055"/>
      <c r="P1" s="1055"/>
      <c r="Q1" s="1055"/>
      <c r="R1" s="1055"/>
      <c r="S1" s="1055"/>
      <c r="T1" s="1055"/>
      <c r="U1" s="1055"/>
      <c r="V1" s="1055"/>
      <c r="W1" s="1055"/>
      <c r="X1" s="1055"/>
      <c r="Y1" s="1055"/>
      <c r="Z1" s="1055"/>
      <c r="AA1" s="1055"/>
      <c r="AB1" s="1055"/>
      <c r="AC1" s="1055"/>
    </row>
    <row r="2" spans="2:29" ht="14.15" customHeight="1" x14ac:dyDescent="0.3">
      <c r="B2" s="1056" t="s">
        <v>614</v>
      </c>
      <c r="C2" s="1056"/>
      <c r="D2" s="1056"/>
      <c r="E2" s="1056"/>
      <c r="F2" s="1056"/>
      <c r="G2" s="1056"/>
      <c r="H2" s="1056"/>
      <c r="I2" s="1056"/>
      <c r="J2" s="1056"/>
      <c r="K2" s="1056"/>
      <c r="L2" s="1056"/>
      <c r="M2" s="1056"/>
      <c r="N2" s="1056"/>
      <c r="O2" s="1056"/>
      <c r="P2" s="1056"/>
      <c r="Q2" s="1056"/>
      <c r="R2" s="1056"/>
      <c r="S2" s="1056"/>
      <c r="T2" s="1056"/>
      <c r="U2" s="1056"/>
      <c r="V2" s="1056"/>
      <c r="W2" s="1056"/>
      <c r="X2" s="1056"/>
      <c r="Y2" s="1056"/>
      <c r="Z2" s="1056"/>
      <c r="AA2" s="1056"/>
      <c r="AB2" s="1056"/>
      <c r="AC2" s="1056"/>
    </row>
    <row r="3" spans="2:29" x14ac:dyDescent="0.3">
      <c r="B3" s="1056"/>
      <c r="C3" s="1056"/>
      <c r="D3" s="1056"/>
      <c r="E3" s="1056"/>
      <c r="F3" s="1056"/>
      <c r="G3" s="1056"/>
      <c r="H3" s="1056"/>
      <c r="I3" s="1056"/>
      <c r="J3" s="1056"/>
      <c r="K3" s="1056"/>
      <c r="L3" s="1056"/>
      <c r="M3" s="1056"/>
      <c r="N3" s="1056"/>
      <c r="O3" s="1056"/>
      <c r="P3" s="1056"/>
      <c r="Q3" s="1056"/>
      <c r="R3" s="1056"/>
      <c r="S3" s="1056"/>
      <c r="T3" s="1056"/>
      <c r="U3" s="1056"/>
      <c r="V3" s="1056"/>
      <c r="W3" s="1056"/>
      <c r="X3" s="1056"/>
      <c r="Y3" s="1056"/>
      <c r="Z3" s="1056"/>
      <c r="AA3" s="1056"/>
      <c r="AB3" s="1056"/>
      <c r="AC3" s="1056"/>
    </row>
    <row r="4" spans="2:29" x14ac:dyDescent="0.3">
      <c r="B4" s="1056"/>
      <c r="C4" s="1056"/>
      <c r="D4" s="1056"/>
      <c r="E4" s="1056"/>
      <c r="F4" s="1056"/>
      <c r="G4" s="1056"/>
      <c r="H4" s="1056"/>
      <c r="I4" s="1056"/>
      <c r="J4" s="1056"/>
      <c r="K4" s="1056"/>
      <c r="L4" s="1056"/>
      <c r="M4" s="1056"/>
      <c r="N4" s="1056"/>
      <c r="O4" s="1056"/>
      <c r="P4" s="1056"/>
      <c r="Q4" s="1056"/>
      <c r="R4" s="1056"/>
      <c r="S4" s="1056"/>
      <c r="T4" s="1056"/>
      <c r="U4" s="1056"/>
      <c r="V4" s="1056"/>
      <c r="W4" s="1056"/>
      <c r="X4" s="1056"/>
      <c r="Y4" s="1056"/>
      <c r="Z4" s="1056"/>
      <c r="AA4" s="1056"/>
      <c r="AB4" s="1056"/>
      <c r="AC4" s="1056"/>
    </row>
    <row r="6" spans="2:29" x14ac:dyDescent="0.3">
      <c r="B6" s="52" t="s">
        <v>465</v>
      </c>
    </row>
    <row r="7" spans="2:29" ht="14.5" customHeight="1" x14ac:dyDescent="0.3">
      <c r="B7" s="1060" t="s">
        <v>558</v>
      </c>
      <c r="C7" s="1120"/>
      <c r="D7" s="1067" t="s">
        <v>401</v>
      </c>
      <c r="E7" s="1068"/>
      <c r="F7" s="1068"/>
      <c r="G7" s="1068"/>
      <c r="H7" s="1068"/>
      <c r="I7" s="1068"/>
      <c r="J7" s="1068"/>
      <c r="K7" s="1068"/>
      <c r="L7" s="1068"/>
      <c r="M7" s="1068"/>
      <c r="N7" s="1068"/>
      <c r="O7" s="1069"/>
      <c r="P7" s="1096" t="s">
        <v>402</v>
      </c>
      <c r="Q7" s="1097"/>
      <c r="R7" s="1097"/>
      <c r="S7" s="1097"/>
      <c r="T7" s="1097"/>
      <c r="U7" s="1097"/>
      <c r="V7" s="1097"/>
      <c r="W7" s="1097"/>
      <c r="X7" s="1097"/>
      <c r="Y7" s="1097"/>
      <c r="Z7" s="1097"/>
      <c r="AA7" s="1097"/>
      <c r="AB7" s="1097"/>
      <c r="AC7" s="1098"/>
    </row>
    <row r="8" spans="2:29" x14ac:dyDescent="0.3">
      <c r="B8" s="1062"/>
      <c r="C8" s="1121"/>
      <c r="D8" s="537">
        <v>2018</v>
      </c>
      <c r="E8" s="1057">
        <v>2019</v>
      </c>
      <c r="F8" s="1058"/>
      <c r="G8" s="1058"/>
      <c r="H8" s="1059"/>
      <c r="I8" s="1057">
        <v>2020</v>
      </c>
      <c r="J8" s="1058"/>
      <c r="K8" s="1058"/>
      <c r="L8" s="1059"/>
      <c r="M8" s="1057">
        <v>2021</v>
      </c>
      <c r="N8" s="1058"/>
      <c r="O8" s="1059"/>
      <c r="P8" s="570">
        <v>2021</v>
      </c>
      <c r="Q8" s="1064">
        <v>2022</v>
      </c>
      <c r="R8" s="1065"/>
      <c r="S8" s="1065"/>
      <c r="T8" s="1066"/>
      <c r="U8" s="1064">
        <v>2023</v>
      </c>
      <c r="V8" s="1065"/>
      <c r="W8" s="1065"/>
      <c r="X8" s="1065"/>
      <c r="Y8" s="1064">
        <v>2024</v>
      </c>
      <c r="Z8" s="1065"/>
      <c r="AA8" s="1065"/>
      <c r="AB8" s="1066"/>
      <c r="AC8" s="334">
        <v>2025</v>
      </c>
    </row>
    <row r="9" spans="2:29" x14ac:dyDescent="0.3">
      <c r="B9" s="1062"/>
      <c r="C9" s="1121"/>
      <c r="D9" s="167" t="s">
        <v>403</v>
      </c>
      <c r="E9" s="167" t="s">
        <v>404</v>
      </c>
      <c r="F9" s="148" t="s">
        <v>405</v>
      </c>
      <c r="G9" s="148" t="s">
        <v>290</v>
      </c>
      <c r="H9" s="155" t="s">
        <v>403</v>
      </c>
      <c r="I9" s="149" t="s">
        <v>404</v>
      </c>
      <c r="J9" s="149" t="s">
        <v>405</v>
      </c>
      <c r="K9" s="149" t="s">
        <v>290</v>
      </c>
      <c r="L9" s="149" t="s">
        <v>403</v>
      </c>
      <c r="M9" s="162" t="s">
        <v>404</v>
      </c>
      <c r="N9" s="149" t="s">
        <v>405</v>
      </c>
      <c r="O9" s="155" t="s">
        <v>290</v>
      </c>
      <c r="P9" s="431" t="s">
        <v>403</v>
      </c>
      <c r="Q9" s="429" t="s">
        <v>404</v>
      </c>
      <c r="R9" s="430" t="s">
        <v>405</v>
      </c>
      <c r="S9" s="430" t="s">
        <v>290</v>
      </c>
      <c r="T9" s="430" t="s">
        <v>403</v>
      </c>
      <c r="U9" s="429" t="s">
        <v>404</v>
      </c>
      <c r="V9" s="430" t="s">
        <v>405</v>
      </c>
      <c r="W9" s="430" t="s">
        <v>290</v>
      </c>
      <c r="X9" s="430" t="s">
        <v>403</v>
      </c>
      <c r="Y9" s="429" t="s">
        <v>404</v>
      </c>
      <c r="Z9" s="394" t="s">
        <v>405</v>
      </c>
      <c r="AA9" s="430" t="s">
        <v>290</v>
      </c>
      <c r="AB9" s="431" t="s">
        <v>403</v>
      </c>
      <c r="AC9" s="71" t="s">
        <v>404</v>
      </c>
    </row>
    <row r="10" spans="2:29" ht="14.5" x14ac:dyDescent="0.35">
      <c r="B10" s="154" t="s">
        <v>615</v>
      </c>
      <c r="C10" s="957"/>
      <c r="D10" s="587">
        <f>D11 +D13</f>
        <v>754.2</v>
      </c>
      <c r="E10" s="903">
        <f t="shared" ref="E10:AC10" si="0">E11 +E13</f>
        <v>768.3</v>
      </c>
      <c r="F10" s="903">
        <f t="shared" si="0"/>
        <v>781.1</v>
      </c>
      <c r="G10" s="903">
        <f t="shared" si="0"/>
        <v>792.1</v>
      </c>
      <c r="H10" s="903">
        <f t="shared" si="0"/>
        <v>801.3</v>
      </c>
      <c r="I10" s="903">
        <f t="shared" si="0"/>
        <v>808.5</v>
      </c>
      <c r="J10" s="903">
        <f t="shared" si="0"/>
        <v>821.6</v>
      </c>
      <c r="K10" s="903">
        <f t="shared" si="0"/>
        <v>825.8</v>
      </c>
      <c r="L10" s="903">
        <f t="shared" si="0"/>
        <v>821</v>
      </c>
      <c r="M10" s="903">
        <f t="shared" si="0"/>
        <v>814.1</v>
      </c>
      <c r="N10" s="903">
        <f t="shared" si="0"/>
        <v>815.3</v>
      </c>
      <c r="O10" s="904">
        <f t="shared" si="0"/>
        <v>826.5</v>
      </c>
      <c r="P10" s="660">
        <f t="shared" si="0"/>
        <v>840.90322653846329</v>
      </c>
      <c r="Q10" s="660">
        <f t="shared" si="0"/>
        <v>840.36452608091781</v>
      </c>
      <c r="R10" s="660">
        <f t="shared" si="0"/>
        <v>856.11491844085015</v>
      </c>
      <c r="S10" s="660">
        <f t="shared" si="0"/>
        <v>858.15980902786953</v>
      </c>
      <c r="T10" s="660">
        <f t="shared" si="0"/>
        <v>874.5047043210385</v>
      </c>
      <c r="U10" s="660">
        <f t="shared" si="0"/>
        <v>891.12996993440447</v>
      </c>
      <c r="V10" s="660">
        <f t="shared" si="0"/>
        <v>908.06562072077816</v>
      </c>
      <c r="W10" s="660">
        <f t="shared" si="0"/>
        <v>925.31745141197712</v>
      </c>
      <c r="X10" s="660">
        <f t="shared" si="0"/>
        <v>942.89136492448665</v>
      </c>
      <c r="Y10" s="660">
        <f t="shared" si="0"/>
        <v>960.53728015007744</v>
      </c>
      <c r="Z10" s="660">
        <f t="shared" si="0"/>
        <v>978.50792280104577</v>
      </c>
      <c r="AA10" s="660">
        <f t="shared" si="0"/>
        <v>996.8092686456896</v>
      </c>
      <c r="AB10" s="660">
        <f t="shared" si="0"/>
        <v>1015.4474034208649</v>
      </c>
      <c r="AC10" s="958">
        <f t="shared" si="0"/>
        <v>1034.4285248556728</v>
      </c>
    </row>
    <row r="11" spans="2:29" x14ac:dyDescent="0.3">
      <c r="B11" s="81" t="s">
        <v>76</v>
      </c>
      <c r="C11" s="166" t="s">
        <v>616</v>
      </c>
      <c r="D11" s="156">
        <f>'Haver Pivoted'!GO12</f>
        <v>754.2</v>
      </c>
      <c r="E11" s="157">
        <f>'Haver Pivoted'!GP12</f>
        <v>768.3</v>
      </c>
      <c r="F11" s="157">
        <f>'Haver Pivoted'!GQ12</f>
        <v>781.1</v>
      </c>
      <c r="G11" s="157">
        <f>'Haver Pivoted'!GR12</f>
        <v>792.1</v>
      </c>
      <c r="H11" s="157">
        <f>'Haver Pivoted'!GS12</f>
        <v>801.3</v>
      </c>
      <c r="I11" s="157">
        <f>'Haver Pivoted'!GT12</f>
        <v>808.5</v>
      </c>
      <c r="J11" s="157">
        <f>'Haver Pivoted'!GU12</f>
        <v>821.6</v>
      </c>
      <c r="K11" s="157">
        <f>'Haver Pivoted'!GV12</f>
        <v>825.8</v>
      </c>
      <c r="L11" s="157">
        <f>'Haver Pivoted'!GW12</f>
        <v>821</v>
      </c>
      <c r="M11" s="157">
        <f>'Haver Pivoted'!GX12</f>
        <v>814.1</v>
      </c>
      <c r="N11" s="157">
        <f>'Haver Pivoted'!GY12</f>
        <v>815.3</v>
      </c>
      <c r="O11" s="952">
        <f>'Haver Pivoted'!GZ12</f>
        <v>826.5</v>
      </c>
      <c r="P11" s="164">
        <f t="shared" ref="P11:AC11" si="1">P12+P14</f>
        <v>840.90322653846329</v>
      </c>
      <c r="Q11" s="164">
        <f t="shared" si="1"/>
        <v>856.36452608091781</v>
      </c>
      <c r="R11" s="164">
        <f t="shared" si="1"/>
        <v>872.11491844085015</v>
      </c>
      <c r="S11" s="164">
        <f t="shared" si="1"/>
        <v>874.15980902786953</v>
      </c>
      <c r="T11" s="164">
        <f t="shared" si="1"/>
        <v>890.5047043210385</v>
      </c>
      <c r="U11" s="164">
        <f t="shared" si="1"/>
        <v>907.12996993440447</v>
      </c>
      <c r="V11" s="164">
        <f t="shared" si="1"/>
        <v>924.06562072077816</v>
      </c>
      <c r="W11" s="164">
        <f t="shared" si="1"/>
        <v>941.31745141197712</v>
      </c>
      <c r="X11" s="164">
        <f t="shared" si="1"/>
        <v>958.89136492448665</v>
      </c>
      <c r="Y11" s="164">
        <f t="shared" si="1"/>
        <v>976.53728015007744</v>
      </c>
      <c r="Z11" s="164">
        <f t="shared" si="1"/>
        <v>994.50792280104577</v>
      </c>
      <c r="AA11" s="164">
        <f t="shared" si="1"/>
        <v>1012.8092686456896</v>
      </c>
      <c r="AB11" s="164">
        <f t="shared" si="1"/>
        <v>1031.4474034208649</v>
      </c>
      <c r="AC11" s="639">
        <f t="shared" si="1"/>
        <v>1050.4285248556728</v>
      </c>
    </row>
    <row r="12" spans="2:29" x14ac:dyDescent="0.3">
      <c r="B12" s="81" t="s">
        <v>617</v>
      </c>
      <c r="C12" s="166"/>
      <c r="D12" s="156"/>
      <c r="E12" s="157"/>
      <c r="F12" s="157"/>
      <c r="G12" s="157"/>
      <c r="H12" s="157"/>
      <c r="I12" s="157"/>
      <c r="J12" s="157">
        <f>J11-J14</f>
        <v>812</v>
      </c>
      <c r="K12" s="157">
        <f t="shared" ref="K12:O12" si="2">K11-K14</f>
        <v>811.4</v>
      </c>
      <c r="L12" s="157">
        <f t="shared" si="2"/>
        <v>806.7</v>
      </c>
      <c r="M12" s="157">
        <f t="shared" si="2"/>
        <v>799.9</v>
      </c>
      <c r="N12" s="157">
        <f t="shared" si="2"/>
        <v>801.19999999999993</v>
      </c>
      <c r="O12" s="952">
        <f t="shared" si="2"/>
        <v>812.5</v>
      </c>
      <c r="P12" s="164">
        <f t="shared" ref="P12:AC12" si="3">O12*(1+O15)</f>
        <v>826.90322653846329</v>
      </c>
      <c r="Q12" s="164">
        <f t="shared" si="3"/>
        <v>842.36452608091781</v>
      </c>
      <c r="R12" s="164">
        <f t="shared" si="3"/>
        <v>858.11491844085015</v>
      </c>
      <c r="S12" s="164">
        <f t="shared" si="3"/>
        <v>874.15980902786953</v>
      </c>
      <c r="T12" s="164">
        <f t="shared" si="3"/>
        <v>890.5047043210385</v>
      </c>
      <c r="U12" s="164">
        <f t="shared" si="3"/>
        <v>907.12996993440447</v>
      </c>
      <c r="V12" s="164">
        <f t="shared" si="3"/>
        <v>924.06562072077816</v>
      </c>
      <c r="W12" s="164">
        <f t="shared" si="3"/>
        <v>941.31745141197712</v>
      </c>
      <c r="X12" s="164">
        <f t="shared" si="3"/>
        <v>958.89136492448665</v>
      </c>
      <c r="Y12" s="164">
        <f t="shared" si="3"/>
        <v>976.53728015007744</v>
      </c>
      <c r="Z12" s="164">
        <f t="shared" si="3"/>
        <v>994.50792280104577</v>
      </c>
      <c r="AA12" s="164">
        <f t="shared" si="3"/>
        <v>1012.8092686456896</v>
      </c>
      <c r="AB12" s="164">
        <f t="shared" si="3"/>
        <v>1031.4474034208649</v>
      </c>
      <c r="AC12" s="639">
        <f t="shared" si="3"/>
        <v>1050.4285248556728</v>
      </c>
    </row>
    <row r="13" spans="2:29" x14ac:dyDescent="0.3">
      <c r="B13" s="183" t="s">
        <v>618</v>
      </c>
      <c r="C13" s="185"/>
      <c r="D13" s="156"/>
      <c r="E13" s="157"/>
      <c r="F13" s="157"/>
      <c r="G13" s="157"/>
      <c r="H13" s="157"/>
      <c r="I13" s="157"/>
      <c r="J13" s="157"/>
      <c r="K13" s="157"/>
      <c r="L13" s="157"/>
      <c r="M13" s="157"/>
      <c r="N13" s="659"/>
      <c r="O13" s="959"/>
      <c r="P13" s="171"/>
      <c r="Q13" s="171">
        <v>-16</v>
      </c>
      <c r="R13" s="171">
        <f>Q13</f>
        <v>-16</v>
      </c>
      <c r="S13" s="171">
        <f t="shared" ref="S13:Y13" si="4">R13</f>
        <v>-16</v>
      </c>
      <c r="T13" s="171">
        <f t="shared" si="4"/>
        <v>-16</v>
      </c>
      <c r="U13" s="171">
        <f t="shared" si="4"/>
        <v>-16</v>
      </c>
      <c r="V13" s="171">
        <f t="shared" si="4"/>
        <v>-16</v>
      </c>
      <c r="W13" s="171">
        <f t="shared" si="4"/>
        <v>-16</v>
      </c>
      <c r="X13" s="171">
        <f t="shared" si="4"/>
        <v>-16</v>
      </c>
      <c r="Y13" s="171">
        <f t="shared" si="4"/>
        <v>-16</v>
      </c>
      <c r="Z13" s="171">
        <f t="shared" ref="Z13" si="5">Y13</f>
        <v>-16</v>
      </c>
      <c r="AA13" s="171">
        <f t="shared" ref="AA13" si="6">Z13</f>
        <v>-16</v>
      </c>
      <c r="AB13" s="171">
        <f t="shared" ref="AB13" si="7">AA13</f>
        <v>-16</v>
      </c>
      <c r="AC13" s="640">
        <f t="shared" ref="AC13" si="8">AB13</f>
        <v>-16</v>
      </c>
    </row>
    <row r="14" spans="2:29" x14ac:dyDescent="0.3">
      <c r="B14" s="183" t="s">
        <v>619</v>
      </c>
      <c r="C14" s="658" t="s">
        <v>620</v>
      </c>
      <c r="D14" s="156"/>
      <c r="E14" s="157"/>
      <c r="F14" s="157"/>
      <c r="G14" s="157"/>
      <c r="H14" s="157"/>
      <c r="I14" s="157"/>
      <c r="J14" s="157">
        <v>9.6</v>
      </c>
      <c r="K14" s="157">
        <v>14.4</v>
      </c>
      <c r="L14" s="157">
        <v>14.3</v>
      </c>
      <c r="M14" s="157">
        <v>14.2</v>
      </c>
      <c r="N14" s="659">
        <v>14.1</v>
      </c>
      <c r="O14" s="959">
        <v>14</v>
      </c>
      <c r="P14" s="171">
        <v>14</v>
      </c>
      <c r="Q14" s="171">
        <v>14</v>
      </c>
      <c r="R14" s="171">
        <v>14</v>
      </c>
      <c r="S14" s="171"/>
      <c r="T14" s="171"/>
      <c r="U14" s="171"/>
      <c r="V14" s="171"/>
      <c r="W14" s="171"/>
      <c r="X14" s="171"/>
      <c r="Y14" s="171"/>
      <c r="Z14" s="171"/>
      <c r="AA14" s="171"/>
      <c r="AB14" s="171"/>
      <c r="AC14" s="640"/>
    </row>
    <row r="15" spans="2:29" x14ac:dyDescent="0.3">
      <c r="B15" s="161" t="s">
        <v>621</v>
      </c>
      <c r="C15" s="151"/>
      <c r="D15" s="588"/>
      <c r="E15" s="589"/>
      <c r="F15" s="589"/>
      <c r="G15" s="589"/>
      <c r="H15" s="589"/>
      <c r="I15" s="589"/>
      <c r="J15" s="590"/>
      <c r="K15" s="590"/>
      <c r="L15" s="590"/>
      <c r="M15" s="590"/>
      <c r="N15" s="590">
        <f>(1 + $E$24)^0.25-1</f>
        <v>1.7727048047339489E-2</v>
      </c>
      <c r="O15" s="905">
        <f>(1 + $E$24)^0.25-1</f>
        <v>1.7727048047339489E-2</v>
      </c>
      <c r="P15" s="178">
        <f>(1 + $F$24)^0.25-1</f>
        <v>1.8697834336888208E-2</v>
      </c>
      <c r="Q15" s="178">
        <f>(1 +$F$24)^0.25-1</f>
        <v>1.8697834336888208E-2</v>
      </c>
      <c r="R15" s="178">
        <f>(1 +$F$24)^0.25-1</f>
        <v>1.8697834336888208E-2</v>
      </c>
      <c r="S15" s="178">
        <f>(1 +$F$24)^0.25-1</f>
        <v>1.8697834336888208E-2</v>
      </c>
      <c r="T15" s="178">
        <f>(1 +$G$24)^0.25-1</f>
        <v>1.8669486564971915E-2</v>
      </c>
      <c r="U15" s="178">
        <f>(1 +$G$24)^0.25-1</f>
        <v>1.8669486564971915E-2</v>
      </c>
      <c r="V15" s="178">
        <f>(1 +$G$24)^0.25-1</f>
        <v>1.8669486564971915E-2</v>
      </c>
      <c r="W15" s="178">
        <f>(1 +$G$24)^0.25-1</f>
        <v>1.8669486564971915E-2</v>
      </c>
      <c r="X15" s="178">
        <f>(1 +$H$24)^0.25-1</f>
        <v>1.8402413319240196E-2</v>
      </c>
      <c r="Y15" s="178">
        <f>(1 +$H$24)^0.25-1</f>
        <v>1.8402413319240196E-2</v>
      </c>
      <c r="Z15" s="178">
        <f t="shared" ref="Z15:AC15" si="9">(1 +$H$24)^0.25-1</f>
        <v>1.8402413319240196E-2</v>
      </c>
      <c r="AA15" s="178">
        <f t="shared" si="9"/>
        <v>1.8402413319240196E-2</v>
      </c>
      <c r="AB15" s="178">
        <f t="shared" si="9"/>
        <v>1.8402413319240196E-2</v>
      </c>
      <c r="AC15" s="641">
        <f t="shared" si="9"/>
        <v>1.8402413319240196E-2</v>
      </c>
    </row>
    <row r="16" spans="2:29" x14ac:dyDescent="0.3">
      <c r="B16" s="655"/>
      <c r="C16" s="559"/>
      <c r="D16" s="656"/>
      <c r="E16" s="656"/>
      <c r="F16" s="656"/>
      <c r="G16" s="656"/>
      <c r="H16" s="656"/>
      <c r="I16" s="656"/>
      <c r="J16" s="657"/>
      <c r="K16" s="657"/>
      <c r="L16" s="657"/>
      <c r="M16" s="657"/>
      <c r="N16" s="657"/>
      <c r="O16" s="657"/>
      <c r="P16" s="657"/>
      <c r="Q16" s="657"/>
      <c r="R16" s="657"/>
      <c r="S16" s="657"/>
      <c r="T16" s="657"/>
      <c r="U16" s="657"/>
      <c r="V16" s="657"/>
      <c r="W16" s="657"/>
      <c r="X16" s="657"/>
      <c r="Y16" s="657"/>
      <c r="Z16" s="657"/>
      <c r="AA16" s="657"/>
      <c r="AB16" s="657"/>
      <c r="AC16" s="657"/>
    </row>
    <row r="17" spans="2:17" x14ac:dyDescent="0.3">
      <c r="B17" s="52" t="s">
        <v>484</v>
      </c>
    </row>
    <row r="18" spans="2:17" x14ac:dyDescent="0.3">
      <c r="B18" s="493" t="s">
        <v>590</v>
      </c>
      <c r="C18" s="493">
        <v>2019</v>
      </c>
      <c r="D18" s="494">
        <v>2020</v>
      </c>
      <c r="E18" s="494">
        <v>2021</v>
      </c>
      <c r="F18" s="494">
        <v>2022</v>
      </c>
      <c r="G18" s="494">
        <v>2023</v>
      </c>
      <c r="H18" s="495">
        <v>2024</v>
      </c>
      <c r="I18" s="495">
        <v>2025</v>
      </c>
      <c r="J18" s="495">
        <v>2026</v>
      </c>
    </row>
    <row r="19" spans="2:17" ht="21" customHeight="1" x14ac:dyDescent="0.3">
      <c r="B19" s="139" t="s">
        <v>622</v>
      </c>
      <c r="C19" s="500">
        <v>775</v>
      </c>
      <c r="D19" s="497">
        <v>912.11599999999999</v>
      </c>
      <c r="E19" s="497">
        <v>831.48500000000001</v>
      </c>
      <c r="F19" s="497">
        <v>862.72400000000005</v>
      </c>
      <c r="G19" s="497">
        <v>1007.266</v>
      </c>
      <c r="H19" s="497">
        <v>1088.671</v>
      </c>
      <c r="I19" s="497">
        <v>1171.1110000000001</v>
      </c>
      <c r="J19" s="498">
        <v>1258.2270000000001</v>
      </c>
      <c r="K19" s="170"/>
      <c r="L19" s="170"/>
      <c r="M19" s="170"/>
      <c r="N19" s="170"/>
      <c r="O19" s="170"/>
    </row>
    <row r="20" spans="2:17" x14ac:dyDescent="0.3">
      <c r="B20" s="41" t="s">
        <v>623</v>
      </c>
      <c r="C20" s="41"/>
      <c r="D20" s="34">
        <v>47</v>
      </c>
      <c r="E20" s="34">
        <v>-46</v>
      </c>
      <c r="J20" s="40"/>
      <c r="N20" s="426"/>
      <c r="O20" s="235"/>
      <c r="P20" s="235"/>
      <c r="Q20" s="235"/>
    </row>
    <row r="21" spans="2:17" x14ac:dyDescent="0.3">
      <c r="B21" s="41" t="s">
        <v>624</v>
      </c>
      <c r="C21" s="501">
        <f>C19-C20</f>
        <v>775</v>
      </c>
      <c r="D21" s="496">
        <f t="shared" ref="D21:H21" si="10">D19-D20</f>
        <v>865.11599999999999</v>
      </c>
      <c r="E21" s="496">
        <f t="shared" si="10"/>
        <v>877.48500000000001</v>
      </c>
      <c r="F21" s="496">
        <f t="shared" si="10"/>
        <v>862.72400000000005</v>
      </c>
      <c r="G21" s="496">
        <f t="shared" si="10"/>
        <v>1007.266</v>
      </c>
      <c r="H21" s="496">
        <f t="shared" si="10"/>
        <v>1088.671</v>
      </c>
      <c r="J21" s="40"/>
      <c r="K21" s="34" t="s">
        <v>625</v>
      </c>
    </row>
    <row r="22" spans="2:17" x14ac:dyDescent="0.3">
      <c r="B22" s="41" t="s">
        <v>626</v>
      </c>
      <c r="C22" s="502">
        <f>AVERAGE(D10:G10)</f>
        <v>773.92499999999995</v>
      </c>
      <c r="D22" s="173">
        <f>AVERAGE(H10:K10)</f>
        <v>814.3</v>
      </c>
      <c r="E22" s="496"/>
      <c r="J22" s="40"/>
      <c r="K22" s="34" t="s">
        <v>627</v>
      </c>
    </row>
    <row r="23" spans="2:17" x14ac:dyDescent="0.3">
      <c r="B23" s="41" t="s">
        <v>628</v>
      </c>
      <c r="C23" s="503">
        <v>775.32100000000003</v>
      </c>
      <c r="D23" s="344">
        <v>834.85699999999997</v>
      </c>
      <c r="E23" s="344">
        <v>895.64800000000002</v>
      </c>
      <c r="F23" s="344">
        <v>964.53700000000003</v>
      </c>
      <c r="G23" s="344">
        <v>1038.6089999999999</v>
      </c>
      <c r="H23" s="344">
        <v>1117.1969999999999</v>
      </c>
      <c r="I23" s="344">
        <v>1200.6600000000001</v>
      </c>
      <c r="J23" s="345">
        <v>1286.6790000000001</v>
      </c>
    </row>
    <row r="24" spans="2:17" x14ac:dyDescent="0.3">
      <c r="B24" s="499" t="s">
        <v>629</v>
      </c>
      <c r="C24" s="138"/>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4">
        <f t="shared" si="11"/>
        <v>7.164309629703669E-2</v>
      </c>
    </row>
    <row r="26" spans="2:17" x14ac:dyDescent="0.3">
      <c r="C26" s="344"/>
      <c r="D26" s="344"/>
      <c r="E26" s="344"/>
      <c r="F26" s="344"/>
      <c r="G26" s="344"/>
      <c r="H26" s="344"/>
      <c r="I26" s="344"/>
      <c r="J26" s="344"/>
      <c r="K26" s="344"/>
      <c r="L26" s="344"/>
      <c r="M26" s="344"/>
      <c r="N26" s="344"/>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4" zoomScale="82" workbookViewId="0">
      <selection activeCell="E7" sqref="E7"/>
    </sheetView>
  </sheetViews>
  <sheetFormatPr defaultColWidth="8.81640625" defaultRowHeight="14.5" x14ac:dyDescent="0.35"/>
  <cols>
    <col min="1" max="1" width="44.1796875" customWidth="1"/>
    <col min="2" max="2" width="58.81640625" customWidth="1"/>
    <col min="3" max="3" width="51.54296875" customWidth="1"/>
    <col min="5" max="5" width="42.81640625" customWidth="1"/>
    <col min="6" max="6" width="21.54296875" customWidth="1"/>
  </cols>
  <sheetData>
    <row r="1" spans="1:7" s="539" customFormat="1" ht="47.5" customHeight="1" x14ac:dyDescent="0.35">
      <c r="A1" s="548" t="s">
        <v>43</v>
      </c>
      <c r="B1" s="549" t="s">
        <v>44</v>
      </c>
      <c r="C1" s="549" t="s">
        <v>45</v>
      </c>
      <c r="D1" s="549" t="s">
        <v>46</v>
      </c>
      <c r="E1" s="549" t="s">
        <v>47</v>
      </c>
      <c r="F1" s="550" t="s">
        <v>48</v>
      </c>
    </row>
    <row r="2" spans="1:7" s="539" customFormat="1" ht="16.5" customHeight="1" x14ac:dyDescent="0.35">
      <c r="A2" s="540" t="s">
        <v>49</v>
      </c>
      <c r="B2" s="541"/>
      <c r="C2" s="542"/>
      <c r="D2" s="542"/>
      <c r="E2" s="542"/>
      <c r="F2" s="542"/>
    </row>
    <row r="3" spans="1:7" s="543" customFormat="1" ht="75.650000000000006" customHeight="1" x14ac:dyDescent="0.35">
      <c r="A3" s="544" t="s">
        <v>50</v>
      </c>
      <c r="B3" s="544" t="s">
        <v>51</v>
      </c>
      <c r="C3" s="544" t="s">
        <v>52</v>
      </c>
      <c r="D3" s="543" t="s">
        <v>104</v>
      </c>
    </row>
    <row r="4" spans="1:7" s="543" customFormat="1" ht="61.5" customHeight="1" x14ac:dyDescent="0.35">
      <c r="A4" s="543" t="s">
        <v>53</v>
      </c>
      <c r="B4" s="544" t="s">
        <v>54</v>
      </c>
      <c r="C4" s="544" t="s">
        <v>55</v>
      </c>
      <c r="D4" s="543" t="s">
        <v>104</v>
      </c>
    </row>
    <row r="5" spans="1:7" s="543" customFormat="1" ht="61.5" customHeight="1" x14ac:dyDescent="0.35">
      <c r="A5" s="543" t="s">
        <v>56</v>
      </c>
      <c r="B5" s="544" t="s">
        <v>57</v>
      </c>
      <c r="C5" s="544" t="s">
        <v>58</v>
      </c>
      <c r="D5" s="543" t="s">
        <v>104</v>
      </c>
    </row>
    <row r="6" spans="1:7" s="543" customFormat="1" ht="63.65" customHeight="1" x14ac:dyDescent="0.35">
      <c r="A6" s="543" t="s">
        <v>59</v>
      </c>
      <c r="B6" s="544" t="s">
        <v>60</v>
      </c>
      <c r="C6" s="545" t="s">
        <v>61</v>
      </c>
      <c r="D6" s="543" t="s">
        <v>104</v>
      </c>
      <c r="E6" s="650" t="s">
        <v>1226</v>
      </c>
      <c r="G6" s="623"/>
    </row>
    <row r="7" spans="1:7" s="543" customFormat="1" ht="61.5" customHeight="1" x14ac:dyDescent="0.35">
      <c r="A7" s="543" t="s">
        <v>62</v>
      </c>
      <c r="B7" s="544" t="s">
        <v>63</v>
      </c>
      <c r="C7" s="544" t="s">
        <v>1240</v>
      </c>
    </row>
    <row r="8" spans="1:7" s="543" customFormat="1" ht="54" customHeight="1" x14ac:dyDescent="0.35">
      <c r="A8" s="543" t="s">
        <v>64</v>
      </c>
      <c r="B8" s="544" t="s">
        <v>65</v>
      </c>
      <c r="C8" s="543" t="s">
        <v>66</v>
      </c>
    </row>
    <row r="9" spans="1:7" s="543" customFormat="1" ht="43" customHeight="1" x14ac:dyDescent="0.35">
      <c r="A9" s="540" t="s">
        <v>67</v>
      </c>
      <c r="B9" s="546"/>
      <c r="C9" s="547"/>
      <c r="D9" s="547"/>
      <c r="E9" s="542" t="s">
        <v>68</v>
      </c>
      <c r="F9" s="547"/>
    </row>
    <row r="10" spans="1:7" s="1" customFormat="1" ht="77.5" customHeight="1" x14ac:dyDescent="0.35">
      <c r="A10" s="424"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1" customFormat="1" ht="111" customHeight="1" x14ac:dyDescent="0.35">
      <c r="A11" s="424"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1" customFormat="1" ht="109.5" customHeight="1" x14ac:dyDescent="0.35">
      <c r="A12" s="424"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1" customFormat="1" ht="105" customHeight="1" x14ac:dyDescent="0.35">
      <c r="A13" s="424"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1" customFormat="1" ht="64.5" customHeight="1" x14ac:dyDescent="0.35">
      <c r="A14" s="424"/>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1" customFormat="1" ht="108" customHeight="1" x14ac:dyDescent="0.35">
      <c r="A15" s="424"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1" customFormat="1" ht="107.15" customHeight="1" x14ac:dyDescent="0.35">
      <c r="A16" s="424"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1" customFormat="1" ht="129" customHeight="1" x14ac:dyDescent="0.35">
      <c r="A17" s="424"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1" customFormat="1" ht="78" customHeight="1" x14ac:dyDescent="0.35">
      <c r="A18" s="424"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1" customFormat="1" ht="43" customHeight="1" x14ac:dyDescent="0.35">
      <c r="A19" s="424"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1" customFormat="1" ht="145" customHeight="1" x14ac:dyDescent="0.35">
      <c r="A20" s="424" t="s">
        <v>78</v>
      </c>
      <c r="B20" s="25"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1" customFormat="1" ht="60.65" customHeight="1" x14ac:dyDescent="0.35">
      <c r="A21" s="424"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1" customFormat="1" ht="37.5" customHeight="1" x14ac:dyDescent="0.35">
      <c r="A22" s="511" t="s">
        <v>80</v>
      </c>
      <c r="B22" s="25" t="s">
        <v>81</v>
      </c>
    </row>
    <row r="23" spans="1:6" s="1" customFormat="1" ht="36" customHeight="1" x14ac:dyDescent="0.35">
      <c r="A23" s="511" t="s">
        <v>82</v>
      </c>
      <c r="B23" s="25"/>
    </row>
    <row r="24" spans="1:6" s="1" customFormat="1" x14ac:dyDescent="0.35">
      <c r="A24" s="28" t="s">
        <v>83</v>
      </c>
      <c r="B24" s="27"/>
      <c r="C24" s="26"/>
      <c r="D24" s="26"/>
      <c r="E24" s="26"/>
      <c r="F24" s="26"/>
    </row>
    <row r="25" spans="1:6" s="1" customFormat="1" ht="102" customHeight="1" x14ac:dyDescent="0.35">
      <c r="A25" s="1" t="s">
        <v>84</v>
      </c>
      <c r="B25" s="25" t="s">
        <v>85</v>
      </c>
      <c r="C25" s="1" t="s">
        <v>86</v>
      </c>
    </row>
    <row r="26" spans="1:6" s="1" customFormat="1" ht="54" customHeight="1" x14ac:dyDescent="0.35">
      <c r="A26" s="1" t="s">
        <v>87</v>
      </c>
      <c r="B26" s="25" t="s">
        <v>88</v>
      </c>
      <c r="C26" s="1" t="s">
        <v>89</v>
      </c>
    </row>
    <row r="27" spans="1:6" s="1" customFormat="1" x14ac:dyDescent="0.35">
      <c r="B27" s="25"/>
    </row>
    <row r="28" spans="1:6" s="1" customFormat="1" x14ac:dyDescent="0.35">
      <c r="A28" s="28" t="s">
        <v>90</v>
      </c>
      <c r="B28" s="27"/>
      <c r="C28" s="26"/>
      <c r="D28" s="26"/>
      <c r="E28" s="26"/>
      <c r="F28" s="26"/>
    </row>
    <row r="29" spans="1:6" s="1" customFormat="1" ht="29" x14ac:dyDescent="0.35">
      <c r="A29" s="1" t="s">
        <v>91</v>
      </c>
      <c r="B29" s="25"/>
      <c r="C29" s="1" t="s">
        <v>92</v>
      </c>
    </row>
    <row r="30" spans="1:6" s="1" customFormat="1" ht="72.5" x14ac:dyDescent="0.35">
      <c r="A30" s="1" t="s">
        <v>93</v>
      </c>
      <c r="B30" s="25" t="s">
        <v>94</v>
      </c>
      <c r="C30" s="1" t="s">
        <v>95</v>
      </c>
    </row>
    <row r="31" spans="1:6" s="1" customFormat="1" ht="29" x14ac:dyDescent="0.35">
      <c r="A31" s="1" t="s">
        <v>96</v>
      </c>
      <c r="B31" s="25" t="s">
        <v>97</v>
      </c>
      <c r="C31" s="25" t="s">
        <v>98</v>
      </c>
    </row>
    <row r="32" spans="1:6" s="1" customFormat="1" ht="87" x14ac:dyDescent="0.35">
      <c r="A32" s="1" t="s">
        <v>99</v>
      </c>
      <c r="B32" s="25" t="s">
        <v>100</v>
      </c>
      <c r="C32" s="1" t="s">
        <v>101</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62" workbookViewId="0">
      <selection activeCell="O10" sqref="O10"/>
    </sheetView>
  </sheetViews>
  <sheetFormatPr defaultColWidth="8.81640625" defaultRowHeight="14.5" x14ac:dyDescent="0.35"/>
  <cols>
    <col min="1" max="1" width="6" customWidth="1"/>
    <col min="2" max="2" width="29.54296875" customWidth="1"/>
    <col min="3" max="7" width="10.54296875" customWidth="1"/>
  </cols>
  <sheetData>
    <row r="1" spans="1:29" x14ac:dyDescent="0.35">
      <c r="B1" s="1055" t="s">
        <v>77</v>
      </c>
      <c r="C1" s="1055"/>
      <c r="D1" s="1055"/>
      <c r="E1" s="1055"/>
      <c r="F1" s="1055"/>
      <c r="G1" s="1055"/>
      <c r="H1" s="1055"/>
      <c r="I1" s="1055"/>
      <c r="J1" s="1055"/>
      <c r="K1" s="1055"/>
      <c r="L1" s="1055"/>
      <c r="M1" s="1055"/>
      <c r="N1" s="1055"/>
      <c r="O1" s="1055"/>
      <c r="P1" s="1055"/>
      <c r="Q1" s="1055"/>
      <c r="R1" s="1055"/>
      <c r="S1" s="1055"/>
      <c r="T1" s="1055"/>
      <c r="U1" s="1055"/>
      <c r="V1" s="1055"/>
      <c r="W1" s="1055"/>
      <c r="X1" s="1055"/>
      <c r="Y1" s="1055"/>
      <c r="Z1" s="1055"/>
      <c r="AA1" s="1055"/>
      <c r="AB1" s="1055"/>
      <c r="AC1" s="1055"/>
    </row>
    <row r="2" spans="1:29" ht="14.5" customHeight="1" x14ac:dyDescent="0.35">
      <c r="B2" s="1056" t="s">
        <v>630</v>
      </c>
      <c r="C2" s="1056"/>
      <c r="D2" s="1056"/>
      <c r="E2" s="1056"/>
      <c r="F2" s="1056"/>
      <c r="G2" s="1056"/>
      <c r="H2" s="1056"/>
      <c r="I2" s="1056"/>
      <c r="J2" s="1056"/>
      <c r="K2" s="1056"/>
      <c r="L2" s="1056"/>
      <c r="M2" s="1056"/>
      <c r="N2" s="1056"/>
      <c r="O2" s="1056"/>
      <c r="P2" s="1056"/>
      <c r="Q2" s="1056"/>
      <c r="R2" s="1056"/>
      <c r="S2" s="1056"/>
      <c r="T2" s="1056"/>
      <c r="U2" s="1056"/>
      <c r="V2" s="1056"/>
      <c r="W2" s="1056"/>
      <c r="X2" s="1056"/>
      <c r="Y2" s="1056"/>
      <c r="Z2" s="1056"/>
      <c r="AA2" s="1056"/>
      <c r="AB2" s="1056"/>
      <c r="AC2" s="1056"/>
    </row>
    <row r="3" spans="1:29" x14ac:dyDescent="0.35">
      <c r="B3" s="1056"/>
      <c r="C3" s="1056"/>
      <c r="D3" s="1056"/>
      <c r="E3" s="1056"/>
      <c r="F3" s="1056"/>
      <c r="G3" s="1056"/>
      <c r="H3" s="1056"/>
      <c r="I3" s="1056"/>
      <c r="J3" s="1056"/>
      <c r="K3" s="1056"/>
      <c r="L3" s="1056"/>
      <c r="M3" s="1056"/>
      <c r="N3" s="1056"/>
      <c r="O3" s="1056"/>
      <c r="P3" s="1056"/>
      <c r="Q3" s="1056"/>
      <c r="R3" s="1056"/>
      <c r="S3" s="1056"/>
      <c r="T3" s="1056"/>
      <c r="U3" s="1056"/>
      <c r="V3" s="1056"/>
      <c r="W3" s="1056"/>
      <c r="X3" s="1056"/>
      <c r="Y3" s="1056"/>
      <c r="Z3" s="1056"/>
      <c r="AA3" s="1056"/>
      <c r="AB3" s="1056"/>
      <c r="AC3" s="1056"/>
    </row>
    <row r="4" spans="1:29" x14ac:dyDescent="0.35">
      <c r="B4" s="1056"/>
      <c r="C4" s="1056"/>
      <c r="D4" s="1056"/>
      <c r="E4" s="1056"/>
      <c r="F4" s="1056"/>
      <c r="G4" s="1056"/>
      <c r="H4" s="1056"/>
      <c r="I4" s="1056"/>
      <c r="J4" s="1056"/>
      <c r="K4" s="1056"/>
      <c r="L4" s="1056"/>
      <c r="M4" s="1056"/>
      <c r="N4" s="1056"/>
      <c r="O4" s="1056"/>
      <c r="P4" s="1056"/>
      <c r="Q4" s="1056"/>
      <c r="R4" s="1056"/>
      <c r="S4" s="1056"/>
      <c r="T4" s="1056"/>
      <c r="U4" s="1056"/>
      <c r="V4" s="1056"/>
      <c r="W4" s="1056"/>
      <c r="X4" s="1056"/>
      <c r="Y4" s="1056"/>
      <c r="Z4" s="1056"/>
      <c r="AA4" s="1056"/>
      <c r="AB4" s="1056"/>
      <c r="AC4" s="1056"/>
    </row>
    <row r="5" spans="1:29" x14ac:dyDescent="0.35">
      <c r="B5" s="134"/>
      <c r="C5" s="34"/>
      <c r="D5" s="34"/>
      <c r="E5" s="34"/>
      <c r="F5" s="34"/>
      <c r="G5" s="34"/>
      <c r="H5" s="34"/>
      <c r="I5" s="34"/>
      <c r="J5" s="34"/>
      <c r="K5" s="34"/>
      <c r="L5" s="34"/>
      <c r="M5" s="34"/>
      <c r="N5" s="34"/>
      <c r="O5" s="34"/>
      <c r="P5" s="34"/>
      <c r="Q5" s="34"/>
      <c r="R5" s="34"/>
      <c r="S5" s="34"/>
      <c r="T5" s="34"/>
      <c r="U5" s="34"/>
      <c r="V5" s="34"/>
      <c r="W5" s="34"/>
      <c r="X5" s="34"/>
      <c r="Y5" s="34"/>
    </row>
    <row r="6" spans="1:29" x14ac:dyDescent="0.35">
      <c r="B6" s="1060" t="s">
        <v>558</v>
      </c>
      <c r="C6" s="1061"/>
      <c r="D6" s="1067" t="s">
        <v>401</v>
      </c>
      <c r="E6" s="1068"/>
      <c r="F6" s="1068"/>
      <c r="G6" s="1068"/>
      <c r="H6" s="1068"/>
      <c r="I6" s="1068"/>
      <c r="J6" s="1068"/>
      <c r="K6" s="1068"/>
      <c r="L6" s="1068"/>
      <c r="M6" s="1068"/>
      <c r="N6" s="1068"/>
      <c r="O6" s="1069"/>
      <c r="P6" s="1096" t="s">
        <v>402</v>
      </c>
      <c r="Q6" s="1097"/>
      <c r="R6" s="1097"/>
      <c r="S6" s="1097"/>
      <c r="T6" s="1097"/>
      <c r="U6" s="1097"/>
      <c r="V6" s="1097"/>
      <c r="W6" s="1097"/>
      <c r="X6" s="1097"/>
      <c r="Y6" s="1097"/>
      <c r="Z6" s="1097"/>
      <c r="AA6" s="1097"/>
      <c r="AB6" s="1097"/>
      <c r="AC6" s="1098"/>
    </row>
    <row r="7" spans="1:29" x14ac:dyDescent="0.35">
      <c r="B7" s="1062"/>
      <c r="C7" s="1063"/>
      <c r="D7" s="537">
        <v>2018</v>
      </c>
      <c r="E7" s="1057">
        <v>2019</v>
      </c>
      <c r="F7" s="1058"/>
      <c r="G7" s="1058"/>
      <c r="H7" s="1059"/>
      <c r="I7" s="1057">
        <v>2020</v>
      </c>
      <c r="J7" s="1058"/>
      <c r="K7" s="1058"/>
      <c r="L7" s="1059"/>
      <c r="M7" s="1057">
        <v>2021</v>
      </c>
      <c r="N7" s="1058"/>
      <c r="O7" s="1059"/>
      <c r="P7" s="570">
        <v>2021</v>
      </c>
      <c r="Q7" s="1064">
        <v>2022</v>
      </c>
      <c r="R7" s="1065"/>
      <c r="S7" s="1065"/>
      <c r="T7" s="1066"/>
      <c r="U7" s="1064">
        <v>2023</v>
      </c>
      <c r="V7" s="1065"/>
      <c r="W7" s="1065"/>
      <c r="X7" s="1065"/>
      <c r="Y7" s="1064">
        <v>2024</v>
      </c>
      <c r="Z7" s="1065"/>
      <c r="AA7" s="1065"/>
      <c r="AB7" s="1066"/>
      <c r="AC7" s="334">
        <v>2025</v>
      </c>
    </row>
    <row r="8" spans="1:29" x14ac:dyDescent="0.35">
      <c r="B8" s="1100"/>
      <c r="C8" s="1101"/>
      <c r="D8" s="167" t="s">
        <v>403</v>
      </c>
      <c r="E8" s="167" t="s">
        <v>404</v>
      </c>
      <c r="F8" s="148" t="s">
        <v>405</v>
      </c>
      <c r="G8" s="148" t="s">
        <v>290</v>
      </c>
      <c r="H8" s="155" t="s">
        <v>403</v>
      </c>
      <c r="I8" s="149" t="s">
        <v>404</v>
      </c>
      <c r="J8" s="149" t="s">
        <v>405</v>
      </c>
      <c r="K8" s="149" t="s">
        <v>290</v>
      </c>
      <c r="L8" s="149" t="s">
        <v>403</v>
      </c>
      <c r="M8" s="162" t="s">
        <v>404</v>
      </c>
      <c r="N8" s="149" t="s">
        <v>405</v>
      </c>
      <c r="O8" s="155" t="s">
        <v>290</v>
      </c>
      <c r="P8" s="431" t="s">
        <v>403</v>
      </c>
      <c r="Q8" s="429" t="s">
        <v>404</v>
      </c>
      <c r="R8" s="430" t="s">
        <v>405</v>
      </c>
      <c r="S8" s="430" t="s">
        <v>290</v>
      </c>
      <c r="T8" s="430" t="s">
        <v>403</v>
      </c>
      <c r="U8" s="429" t="s">
        <v>404</v>
      </c>
      <c r="V8" s="430" t="s">
        <v>405</v>
      </c>
      <c r="W8" s="430" t="s">
        <v>290</v>
      </c>
      <c r="X8" s="430" t="s">
        <v>403</v>
      </c>
      <c r="Y8" s="429" t="s">
        <v>404</v>
      </c>
      <c r="Z8" s="394" t="s">
        <v>405</v>
      </c>
      <c r="AA8" s="430" t="s">
        <v>290</v>
      </c>
      <c r="AB8" s="431" t="s">
        <v>403</v>
      </c>
      <c r="AC8" s="71" t="s">
        <v>404</v>
      </c>
    </row>
    <row r="9" spans="1:29" x14ac:dyDescent="0.35">
      <c r="B9" s="139" t="s">
        <v>77</v>
      </c>
      <c r="C9" s="234" t="s">
        <v>631</v>
      </c>
      <c r="D9" s="139"/>
      <c r="E9" s="234"/>
      <c r="F9" s="234"/>
      <c r="G9" s="234"/>
      <c r="H9" s="234"/>
      <c r="I9" s="234"/>
      <c r="J9" s="773">
        <f>'Haver Pivoted'!GU45</f>
        <v>1078.0999999999999</v>
      </c>
      <c r="K9" s="773">
        <f>'Haver Pivoted'!GV45</f>
        <v>15.6</v>
      </c>
      <c r="L9" s="773">
        <f>'Haver Pivoted'!GW45</f>
        <v>5</v>
      </c>
      <c r="M9" s="773">
        <f>'Haver Pivoted'!GX45</f>
        <v>1933.7</v>
      </c>
      <c r="N9" s="773">
        <f>'Haver Pivoted'!GY45</f>
        <v>290.10000000000002</v>
      </c>
      <c r="O9" s="774">
        <f>'Haver Pivoted'!GZ45</f>
        <v>38.9</v>
      </c>
      <c r="P9" s="689"/>
      <c r="Q9" s="689"/>
      <c r="R9" s="689"/>
      <c r="S9" s="689"/>
      <c r="T9" s="689"/>
      <c r="U9" s="689"/>
      <c r="V9" s="689"/>
      <c r="W9" s="689"/>
      <c r="X9" s="689"/>
      <c r="Y9" s="689"/>
      <c r="Z9" s="689"/>
      <c r="AA9" s="689"/>
      <c r="AB9" s="689"/>
      <c r="AC9" s="562"/>
    </row>
    <row r="10" spans="1:29" x14ac:dyDescent="0.35">
      <c r="B10" s="140" t="s">
        <v>258</v>
      </c>
      <c r="C10" s="141"/>
      <c r="D10" s="140"/>
      <c r="E10" s="141"/>
      <c r="F10" s="141"/>
      <c r="G10" s="141"/>
      <c r="H10" s="141"/>
      <c r="I10" s="141"/>
      <c r="J10" s="585"/>
      <c r="K10" s="585"/>
      <c r="L10" s="585"/>
      <c r="M10" s="585">
        <f>M9-M11</f>
        <v>1348.1</v>
      </c>
      <c r="N10" s="585">
        <f>N9-N11</f>
        <v>290.10000000000002</v>
      </c>
      <c r="O10" s="1012">
        <f>O9-O11</f>
        <v>38.9</v>
      </c>
      <c r="P10" s="439"/>
      <c r="Q10" s="439">
        <f>'ARP Score'!B6*4/2 -20</f>
        <v>14.93</v>
      </c>
      <c r="R10" s="439">
        <f>'ARP Score'!B6*4/2-20</f>
        <v>14.93</v>
      </c>
      <c r="S10" s="439"/>
      <c r="T10" s="439"/>
      <c r="U10" s="439"/>
      <c r="V10" s="439"/>
      <c r="W10" s="439"/>
      <c r="X10" s="439"/>
      <c r="Y10" s="439"/>
      <c r="Z10" s="439"/>
      <c r="AA10" s="439"/>
      <c r="AB10" s="439"/>
      <c r="AC10" s="642"/>
    </row>
    <row r="11" spans="1:29" x14ac:dyDescent="0.35">
      <c r="B11" s="142" t="s">
        <v>632</v>
      </c>
      <c r="C11" s="143"/>
      <c r="D11" s="142"/>
      <c r="E11" s="143"/>
      <c r="F11" s="143"/>
      <c r="G11" s="143"/>
      <c r="H11" s="143"/>
      <c r="I11" s="143"/>
      <c r="J11" s="586">
        <f t="shared" ref="J11:L11" si="0">J9-J10</f>
        <v>1078.0999999999999</v>
      </c>
      <c r="K11" s="586">
        <f t="shared" si="0"/>
        <v>15.6</v>
      </c>
      <c r="L11" s="586">
        <f t="shared" si="0"/>
        <v>5</v>
      </c>
      <c r="M11" s="586">
        <f>SUM(C17:D17)/12*4</f>
        <v>585.6</v>
      </c>
      <c r="N11" s="586">
        <v>0</v>
      </c>
      <c r="O11" s="906">
        <v>0</v>
      </c>
      <c r="P11" s="440"/>
      <c r="Q11" s="440"/>
      <c r="R11" s="440"/>
      <c r="S11" s="440"/>
      <c r="T11" s="440"/>
      <c r="U11" s="440"/>
      <c r="V11" s="440"/>
      <c r="W11" s="440"/>
      <c r="X11" s="440"/>
      <c r="Y11" s="440"/>
      <c r="Z11" s="440"/>
      <c r="AA11" s="440"/>
      <c r="AB11" s="440"/>
      <c r="AC11" s="643"/>
    </row>
    <row r="12" spans="1:29" x14ac:dyDescent="0.35">
      <c r="B12" s="34"/>
      <c r="C12" s="34"/>
      <c r="D12" s="34"/>
      <c r="E12" s="34"/>
      <c r="F12" s="34"/>
      <c r="G12" s="34"/>
      <c r="H12" s="34"/>
      <c r="I12" s="34"/>
      <c r="J12" s="34"/>
      <c r="K12" s="34"/>
      <c r="L12" s="34"/>
      <c r="M12" s="34"/>
      <c r="N12" s="34"/>
      <c r="O12" s="1013"/>
      <c r="P12" s="34"/>
      <c r="Q12" s="34"/>
      <c r="R12" s="34"/>
      <c r="S12" s="34"/>
      <c r="T12" s="34"/>
      <c r="U12" s="34"/>
      <c r="V12" s="34"/>
      <c r="W12" s="34"/>
      <c r="X12" s="34"/>
      <c r="Y12" s="34"/>
    </row>
    <row r="13" spans="1:29" x14ac:dyDescent="0.35">
      <c r="A13" s="1005"/>
      <c r="B13" s="1005"/>
      <c r="C13" s="1005"/>
      <c r="D13" s="1005"/>
      <c r="E13" s="1005"/>
      <c r="F13" s="1005"/>
      <c r="G13" s="1005"/>
      <c r="H13" s="1005"/>
      <c r="I13" s="1005"/>
      <c r="J13" s="1005"/>
      <c r="K13" s="1005"/>
      <c r="L13" s="308"/>
      <c r="M13" s="308"/>
      <c r="N13" s="308"/>
      <c r="T13" s="34"/>
      <c r="U13" s="34"/>
      <c r="V13" s="34"/>
      <c r="W13" s="34"/>
      <c r="X13" s="34"/>
      <c r="Y13" s="34"/>
    </row>
    <row r="14" spans="1:29" x14ac:dyDescent="0.35">
      <c r="A14" s="282"/>
      <c r="N14" s="1004"/>
      <c r="O14" s="1004"/>
      <c r="P14" s="1004"/>
      <c r="Q14" s="1004"/>
      <c r="R14" s="1004"/>
      <c r="S14" s="1004"/>
      <c r="T14" s="34"/>
      <c r="U14" s="34"/>
      <c r="V14" s="34"/>
      <c r="W14" s="34"/>
      <c r="X14" s="34"/>
      <c r="Y14" s="34"/>
    </row>
    <row r="15" spans="1:29" x14ac:dyDescent="0.35">
      <c r="A15" s="221"/>
      <c r="B15" s="1150" t="s">
        <v>633</v>
      </c>
      <c r="C15" s="1089">
        <v>2021</v>
      </c>
      <c r="D15" s="1090"/>
      <c r="E15" s="1090"/>
      <c r="F15" s="1090"/>
      <c r="G15" s="435"/>
      <c r="K15" s="1152"/>
      <c r="L15" s="1152"/>
      <c r="M15" s="1152"/>
      <c r="N15" s="1152"/>
      <c r="O15" s="1152"/>
      <c r="P15" s="1152"/>
      <c r="Q15" s="34"/>
      <c r="R15" s="34"/>
      <c r="S15" s="34"/>
      <c r="T15" s="34"/>
      <c r="U15" s="34"/>
      <c r="V15" s="34"/>
    </row>
    <row r="16" spans="1:29" x14ac:dyDescent="0.35">
      <c r="B16" s="1151"/>
      <c r="C16" s="311" t="s">
        <v>281</v>
      </c>
      <c r="D16" s="312" t="s">
        <v>282</v>
      </c>
      <c r="E16" s="312" t="s">
        <v>283</v>
      </c>
      <c r="F16" s="312" t="s">
        <v>284</v>
      </c>
      <c r="G16" s="436"/>
      <c r="H16" s="221"/>
      <c r="I16" s="221"/>
      <c r="J16" s="221"/>
      <c r="K16" s="221"/>
      <c r="L16" s="221"/>
      <c r="M16" s="221"/>
      <c r="N16" s="221"/>
      <c r="O16" s="221"/>
      <c r="P16" s="221"/>
      <c r="Q16" s="34"/>
      <c r="R16" s="34"/>
      <c r="S16" s="34"/>
      <c r="T16" s="34"/>
      <c r="U16" s="34"/>
      <c r="V16" s="34"/>
    </row>
    <row r="17" spans="2:25" ht="16.5" x14ac:dyDescent="0.35">
      <c r="B17" s="310" t="s">
        <v>634</v>
      </c>
      <c r="C17" s="437">
        <v>1660.9</v>
      </c>
      <c r="D17" s="437">
        <v>95.9</v>
      </c>
      <c r="E17" s="437">
        <v>4044.2</v>
      </c>
      <c r="F17" s="438">
        <v>688</v>
      </c>
      <c r="G17" s="309"/>
      <c r="H17" s="309"/>
      <c r="I17" s="309"/>
      <c r="J17" s="309"/>
      <c r="K17" s="309"/>
      <c r="L17" s="309"/>
      <c r="M17" s="34"/>
      <c r="N17" s="34"/>
      <c r="O17" s="34"/>
      <c r="P17" s="34"/>
      <c r="Q17" s="34"/>
      <c r="R17" s="34"/>
    </row>
    <row r="18" spans="2:25" x14ac:dyDescent="0.35">
      <c r="B18" s="313" t="s">
        <v>635</v>
      </c>
      <c r="C18" s="34"/>
      <c r="D18" s="34"/>
      <c r="E18" s="34"/>
      <c r="F18" s="34"/>
      <c r="G18" s="34"/>
      <c r="H18" s="34"/>
      <c r="I18" s="34"/>
      <c r="J18" s="34"/>
      <c r="K18" s="34"/>
      <c r="L18" s="34"/>
      <c r="M18" s="34"/>
      <c r="N18" s="34"/>
      <c r="O18" s="34"/>
      <c r="P18" s="34"/>
      <c r="Q18" s="34"/>
      <c r="R18" s="34"/>
      <c r="S18" s="34"/>
      <c r="T18" s="34"/>
      <c r="U18" s="34"/>
      <c r="V18" s="34"/>
      <c r="W18" s="34"/>
      <c r="X18" s="34"/>
      <c r="Y18" s="34"/>
    </row>
    <row r="19" spans="2:25" x14ac:dyDescent="0.3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x14ac:dyDescent="0.35">
      <c r="B20" s="214"/>
      <c r="C20" s="34"/>
      <c r="D20" s="34"/>
      <c r="E20" s="34"/>
      <c r="F20" s="34"/>
      <c r="G20" s="34"/>
      <c r="H20" s="34"/>
      <c r="I20" s="34"/>
      <c r="J20" s="34"/>
      <c r="K20" s="34"/>
      <c r="L20" s="34"/>
      <c r="M20" s="34"/>
      <c r="N20" s="34"/>
      <c r="O20" s="34"/>
      <c r="P20" s="34"/>
      <c r="Q20" s="34"/>
      <c r="R20" s="34"/>
      <c r="S20" s="34"/>
      <c r="T20" s="34"/>
      <c r="U20" s="34"/>
      <c r="V20" s="34"/>
      <c r="W20" s="34"/>
      <c r="X20" s="34"/>
      <c r="Y20" s="34"/>
    </row>
    <row r="21" spans="2:25"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x14ac:dyDescent="0.35">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2:25"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5">
    <mergeCell ref="B15:B16"/>
    <mergeCell ref="K15:L15"/>
    <mergeCell ref="M15:P15"/>
    <mergeCell ref="C15:F15"/>
    <mergeCell ref="Y7:AB7"/>
    <mergeCell ref="B1:AC1"/>
    <mergeCell ref="B2:AC4"/>
    <mergeCell ref="B6:C8"/>
    <mergeCell ref="I7:L7"/>
    <mergeCell ref="Q7:T7"/>
    <mergeCell ref="U7:X7"/>
    <mergeCell ref="E7:H7"/>
    <mergeCell ref="D6:O6"/>
    <mergeCell ref="P6:AC6"/>
    <mergeCell ref="M7:O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B1:AC112"/>
  <sheetViews>
    <sheetView topLeftCell="B15" zoomScale="57" zoomScaleNormal="70" workbookViewId="0">
      <selection activeCell="K53" sqref="K53"/>
    </sheetView>
  </sheetViews>
  <sheetFormatPr defaultColWidth="8.54296875" defaultRowHeight="14" x14ac:dyDescent="0.3"/>
  <cols>
    <col min="1" max="1" width="14.1796875" style="34" customWidth="1"/>
    <col min="2" max="2" width="49.453125" style="34" customWidth="1"/>
    <col min="3" max="3" width="8.453125" style="34" customWidth="1"/>
    <col min="4" max="4" width="9.453125" style="34" customWidth="1"/>
    <col min="5" max="6" width="9.81640625" style="34" customWidth="1"/>
    <col min="7" max="7" width="9.54296875" style="34" customWidth="1"/>
    <col min="8" max="12" width="11.54296875" style="34" bestFit="1" customWidth="1"/>
    <col min="13" max="13" width="12.54296875" style="34" bestFit="1" customWidth="1"/>
    <col min="14" max="14" width="18.453125" style="34" bestFit="1" customWidth="1"/>
    <col min="15" max="25" width="13.453125" style="34" bestFit="1" customWidth="1"/>
    <col min="26" max="26" width="12.54296875" style="34" customWidth="1"/>
    <col min="27" max="16384" width="8.54296875" style="34"/>
  </cols>
  <sheetData>
    <row r="1" spans="2:29" ht="18" customHeight="1" x14ac:dyDescent="0.3">
      <c r="B1" s="1153" t="s">
        <v>636</v>
      </c>
      <c r="C1" s="1153"/>
      <c r="D1" s="1153"/>
      <c r="E1" s="1153"/>
      <c r="F1" s="1153"/>
      <c r="G1" s="1153"/>
      <c r="H1" s="1153"/>
      <c r="I1" s="1153"/>
      <c r="J1" s="1153"/>
      <c r="K1" s="1153"/>
      <c r="L1" s="1153"/>
      <c r="M1" s="1153"/>
      <c r="N1" s="1153"/>
      <c r="O1" s="1153"/>
      <c r="P1" s="1153"/>
      <c r="Q1" s="1153"/>
      <c r="R1" s="1153"/>
      <c r="S1" s="1153"/>
      <c r="T1" s="1153"/>
      <c r="U1" s="1153"/>
      <c r="V1" s="1153"/>
      <c r="W1" s="1153"/>
      <c r="X1" s="1153"/>
      <c r="Y1" s="1153"/>
      <c r="Z1" s="1153"/>
      <c r="AA1" s="1153"/>
      <c r="AB1" s="1153"/>
      <c r="AC1" s="1153"/>
    </row>
    <row r="2" spans="2:29" ht="82" customHeight="1" x14ac:dyDescent="0.3">
      <c r="B2" s="1074" t="s">
        <v>637</v>
      </c>
      <c r="C2" s="1074"/>
      <c r="D2" s="1074"/>
      <c r="E2" s="1074"/>
      <c r="F2" s="1074"/>
      <c r="G2" s="1074"/>
      <c r="H2" s="1074"/>
      <c r="I2" s="1074"/>
      <c r="J2" s="1074"/>
      <c r="K2" s="1074"/>
      <c r="L2" s="1074"/>
      <c r="M2" s="1074"/>
      <c r="N2" s="1074"/>
      <c r="O2" s="1074"/>
      <c r="P2" s="1074"/>
      <c r="Q2" s="1074"/>
      <c r="R2" s="1074"/>
      <c r="S2" s="1074"/>
      <c r="T2" s="1074"/>
      <c r="U2" s="1074"/>
      <c r="V2" s="1074"/>
      <c r="W2" s="1074"/>
      <c r="X2" s="1074"/>
      <c r="Y2" s="1074"/>
      <c r="Z2" s="1074"/>
      <c r="AA2" s="1074"/>
      <c r="AB2" s="1074"/>
      <c r="AC2" s="1074"/>
    </row>
    <row r="3" spans="2:29" ht="3" customHeight="1" x14ac:dyDescent="0.3">
      <c r="B3" s="1074"/>
      <c r="C3" s="1074"/>
      <c r="D3" s="1074"/>
      <c r="E3" s="1074"/>
      <c r="F3" s="1074"/>
      <c r="G3" s="1074"/>
      <c r="H3" s="1074"/>
      <c r="I3" s="1074"/>
      <c r="J3" s="1074"/>
      <c r="K3" s="1074"/>
      <c r="L3" s="1074"/>
      <c r="M3" s="1074"/>
      <c r="N3" s="1074"/>
      <c r="O3" s="1074"/>
      <c r="P3" s="1074"/>
      <c r="Q3" s="1074"/>
      <c r="R3" s="1074"/>
      <c r="S3" s="1074"/>
      <c r="T3" s="1074"/>
      <c r="U3" s="1074"/>
      <c r="V3" s="1074"/>
      <c r="W3" s="1074"/>
      <c r="X3" s="1074"/>
      <c r="Y3" s="1074"/>
      <c r="Z3" s="1074"/>
      <c r="AA3" s="1074"/>
      <c r="AB3" s="1074"/>
      <c r="AC3" s="1074"/>
    </row>
    <row r="4" spans="2:29" ht="10" hidden="1" customHeight="1" x14ac:dyDescent="0.3">
      <c r="B4" s="1074"/>
      <c r="C4" s="1074"/>
      <c r="D4" s="1074"/>
      <c r="E4" s="1074"/>
      <c r="F4" s="1074"/>
      <c r="G4" s="1074"/>
      <c r="H4" s="1074"/>
      <c r="I4" s="1074"/>
      <c r="J4" s="1074"/>
      <c r="K4" s="1074"/>
      <c r="L4" s="1074"/>
      <c r="M4" s="1074"/>
      <c r="N4" s="1074"/>
      <c r="O4" s="1074"/>
      <c r="P4" s="1074"/>
      <c r="Q4" s="1074"/>
      <c r="R4" s="1074"/>
      <c r="S4" s="1074"/>
      <c r="T4" s="1074"/>
      <c r="U4" s="1074"/>
      <c r="V4" s="1074"/>
      <c r="W4" s="1074"/>
      <c r="X4" s="1074"/>
      <c r="Y4" s="1074"/>
      <c r="Z4" s="1074"/>
      <c r="AA4" s="1074"/>
      <c r="AB4" s="1074"/>
      <c r="AC4" s="1074"/>
    </row>
    <row r="5" spans="2:29" ht="14.15" hidden="1" customHeight="1" x14ac:dyDescent="0.3">
      <c r="B5" s="1074"/>
      <c r="C5" s="1074"/>
      <c r="D5" s="1074"/>
      <c r="E5" s="1074"/>
      <c r="F5" s="1074"/>
      <c r="G5" s="1074"/>
      <c r="H5" s="1074"/>
      <c r="I5" s="1074"/>
      <c r="J5" s="1074"/>
      <c r="K5" s="1074"/>
      <c r="L5" s="1074"/>
      <c r="M5" s="1074"/>
      <c r="N5" s="1074"/>
      <c r="O5" s="1074"/>
      <c r="P5" s="1074"/>
      <c r="Q5" s="1074"/>
      <c r="R5" s="1074"/>
      <c r="S5" s="1074"/>
      <c r="T5" s="1074"/>
      <c r="U5" s="1074"/>
      <c r="V5" s="1074"/>
      <c r="W5" s="1074"/>
      <c r="X5" s="1074"/>
      <c r="Y5" s="1074"/>
      <c r="Z5" s="1074"/>
      <c r="AA5" s="1074"/>
      <c r="AB5" s="1074"/>
      <c r="AC5" s="1074"/>
    </row>
    <row r="6" spans="2:29" ht="14.15" hidden="1" customHeight="1" x14ac:dyDescent="0.3">
      <c r="B6" s="1074"/>
      <c r="C6" s="1074"/>
      <c r="D6" s="1074"/>
      <c r="E6" s="1074"/>
      <c r="F6" s="1074"/>
      <c r="G6" s="1074"/>
      <c r="H6" s="1074"/>
      <c r="I6" s="1074"/>
      <c r="J6" s="1074"/>
      <c r="K6" s="1074"/>
      <c r="L6" s="1074"/>
      <c r="M6" s="1074"/>
      <c r="N6" s="1074"/>
      <c r="O6" s="1074"/>
      <c r="P6" s="1074"/>
      <c r="Q6" s="1074"/>
      <c r="R6" s="1074"/>
      <c r="S6" s="1074"/>
      <c r="T6" s="1074"/>
      <c r="U6" s="1074"/>
      <c r="V6" s="1074"/>
      <c r="W6" s="1074"/>
      <c r="X6" s="1074"/>
      <c r="Y6" s="1074"/>
      <c r="Z6" s="1074"/>
      <c r="AA6" s="1074"/>
      <c r="AB6" s="1074"/>
      <c r="AC6" s="1074"/>
    </row>
    <row r="7" spans="2:29" x14ac:dyDescent="0.3">
      <c r="B7" s="367" t="s">
        <v>465</v>
      </c>
      <c r="C7" s="46"/>
      <c r="D7" s="46"/>
      <c r="E7" s="46"/>
      <c r="F7" s="46"/>
      <c r="G7" s="46"/>
      <c r="H7" s="47"/>
      <c r="I7" s="47"/>
      <c r="J7" s="47"/>
      <c r="K7" s="47"/>
      <c r="L7" s="47"/>
      <c r="M7" s="47"/>
      <c r="N7" s="47"/>
      <c r="O7" s="47"/>
      <c r="P7" s="47"/>
      <c r="Q7" s="47"/>
      <c r="R7" s="47"/>
      <c r="S7" s="47"/>
      <c r="T7" s="47"/>
      <c r="U7" s="47"/>
    </row>
    <row r="8" spans="2:29" ht="14.5" customHeight="1" x14ac:dyDescent="0.3">
      <c r="B8" s="1060" t="s">
        <v>429</v>
      </c>
      <c r="C8" s="1061"/>
      <c r="D8" s="1067" t="s">
        <v>401</v>
      </c>
      <c r="E8" s="1068"/>
      <c r="F8" s="1068"/>
      <c r="G8" s="1068"/>
      <c r="H8" s="1068"/>
      <c r="I8" s="1068"/>
      <c r="J8" s="1068"/>
      <c r="K8" s="1068"/>
      <c r="L8" s="1068"/>
      <c r="M8" s="1068"/>
      <c r="N8" s="1068"/>
      <c r="O8" s="1069"/>
      <c r="P8" s="1096" t="s">
        <v>402</v>
      </c>
      <c r="Q8" s="1097"/>
      <c r="R8" s="1097"/>
      <c r="S8" s="1097"/>
      <c r="T8" s="1097"/>
      <c r="U8" s="1097"/>
      <c r="V8" s="1097"/>
      <c r="W8" s="1097"/>
      <c r="X8" s="1097"/>
      <c r="Y8" s="1097"/>
      <c r="Z8" s="1097"/>
      <c r="AA8" s="1097"/>
      <c r="AB8" s="1097"/>
      <c r="AC8" s="1098"/>
    </row>
    <row r="9" spans="2:29" ht="14.5" customHeight="1" x14ac:dyDescent="0.3">
      <c r="B9" s="1062"/>
      <c r="C9" s="1121"/>
      <c r="D9" s="537">
        <v>2018</v>
      </c>
      <c r="E9" s="1057">
        <v>2019</v>
      </c>
      <c r="F9" s="1058"/>
      <c r="G9" s="1058"/>
      <c r="H9" s="1059"/>
      <c r="I9" s="1057">
        <v>2020</v>
      </c>
      <c r="J9" s="1058"/>
      <c r="K9" s="1058"/>
      <c r="L9" s="1059"/>
      <c r="M9" s="1057">
        <v>2021</v>
      </c>
      <c r="N9" s="1058"/>
      <c r="O9" s="1059"/>
      <c r="P9" s="570">
        <v>2021</v>
      </c>
      <c r="Q9" s="1064">
        <v>2022</v>
      </c>
      <c r="R9" s="1065"/>
      <c r="S9" s="1065"/>
      <c r="T9" s="1066"/>
      <c r="U9" s="1064">
        <v>2023</v>
      </c>
      <c r="V9" s="1065"/>
      <c r="W9" s="1065"/>
      <c r="X9" s="1065"/>
      <c r="Y9" s="1064">
        <v>2024</v>
      </c>
      <c r="Z9" s="1065"/>
      <c r="AA9" s="1065"/>
      <c r="AB9" s="1066"/>
      <c r="AC9" s="334">
        <v>2025</v>
      </c>
    </row>
    <row r="10" spans="2:29" x14ac:dyDescent="0.3">
      <c r="B10" s="1062"/>
      <c r="C10" s="1121"/>
      <c r="D10" s="167" t="s">
        <v>403</v>
      </c>
      <c r="E10" s="167" t="s">
        <v>404</v>
      </c>
      <c r="F10" s="148" t="s">
        <v>405</v>
      </c>
      <c r="G10" s="148" t="s">
        <v>290</v>
      </c>
      <c r="H10" s="155" t="s">
        <v>403</v>
      </c>
      <c r="I10" s="149" t="s">
        <v>404</v>
      </c>
      <c r="J10" s="149" t="s">
        <v>405</v>
      </c>
      <c r="K10" s="149" t="s">
        <v>290</v>
      </c>
      <c r="L10" s="149" t="s">
        <v>403</v>
      </c>
      <c r="M10" s="162" t="s">
        <v>404</v>
      </c>
      <c r="N10" s="149" t="s">
        <v>405</v>
      </c>
      <c r="O10" s="155" t="s">
        <v>290</v>
      </c>
      <c r="P10" s="431" t="s">
        <v>403</v>
      </c>
      <c r="Q10" s="429" t="s">
        <v>404</v>
      </c>
      <c r="R10" s="430" t="s">
        <v>405</v>
      </c>
      <c r="S10" s="430" t="s">
        <v>290</v>
      </c>
      <c r="T10" s="430" t="s">
        <v>403</v>
      </c>
      <c r="U10" s="429" t="s">
        <v>404</v>
      </c>
      <c r="V10" s="430" t="s">
        <v>405</v>
      </c>
      <c r="W10" s="430" t="s">
        <v>290</v>
      </c>
      <c r="X10" s="430" t="s">
        <v>403</v>
      </c>
      <c r="Y10" s="429" t="s">
        <v>404</v>
      </c>
      <c r="Z10" s="394" t="s">
        <v>405</v>
      </c>
      <c r="AA10" s="430" t="s">
        <v>290</v>
      </c>
      <c r="AB10" s="431" t="s">
        <v>403</v>
      </c>
      <c r="AC10" s="71" t="s">
        <v>404</v>
      </c>
    </row>
    <row r="11" spans="2:29" x14ac:dyDescent="0.3">
      <c r="B11" s="1157" t="s">
        <v>638</v>
      </c>
      <c r="C11" s="1158"/>
      <c r="D11" s="846"/>
      <c r="E11" s="907"/>
      <c r="F11" s="907"/>
      <c r="G11" s="907"/>
      <c r="H11" s="773"/>
      <c r="I11" s="773"/>
      <c r="J11" s="773"/>
      <c r="K11" s="773"/>
      <c r="L11" s="773"/>
      <c r="M11" s="773"/>
      <c r="N11" s="773"/>
      <c r="O11" s="774"/>
      <c r="P11" s="689"/>
      <c r="Q11" s="689"/>
      <c r="R11" s="689"/>
      <c r="S11" s="689"/>
      <c r="T11" s="689"/>
      <c r="U11" s="689"/>
      <c r="V11" s="689"/>
      <c r="W11" s="689"/>
      <c r="X11" s="689"/>
      <c r="Y11" s="689"/>
      <c r="Z11" s="689"/>
      <c r="AA11" s="689"/>
      <c r="AB11" s="689"/>
      <c r="AC11" s="562"/>
    </row>
    <row r="12" spans="2:29" x14ac:dyDescent="0.3">
      <c r="B12" s="158" t="s">
        <v>639</v>
      </c>
      <c r="C12" s="34" t="s">
        <v>640</v>
      </c>
      <c r="D12" s="156">
        <f>'Haver Pivoted'!GO31</f>
        <v>2222.3000000000002</v>
      </c>
      <c r="E12" s="157">
        <f>'Haver Pivoted'!GP31</f>
        <v>2298.1</v>
      </c>
      <c r="F12" s="157">
        <f>'Haver Pivoted'!GQ31</f>
        <v>2315.5</v>
      </c>
      <c r="G12" s="157">
        <f>'Haver Pivoted'!GR31</f>
        <v>2333.1999999999998</v>
      </c>
      <c r="H12" s="157">
        <f>'Haver Pivoted'!GS31</f>
        <v>2350.8000000000002</v>
      </c>
      <c r="I12" s="157">
        <f>'Haver Pivoted'!GT31</f>
        <v>2417.9</v>
      </c>
      <c r="J12" s="157">
        <f>'Haver Pivoted'!GU31</f>
        <v>4766.7</v>
      </c>
      <c r="K12" s="157">
        <f>'Haver Pivoted'!GV31</f>
        <v>3468.3</v>
      </c>
      <c r="L12" s="157">
        <f>'Haver Pivoted'!GW31</f>
        <v>2839.1</v>
      </c>
      <c r="M12" s="157">
        <f>'Haver Pivoted'!GX31</f>
        <v>5070.6000000000004</v>
      </c>
      <c r="N12" s="157">
        <f>'Haver Pivoted'!GY31</f>
        <v>3372.3</v>
      </c>
      <c r="O12" s="952">
        <f>'Haver Pivoted'!GZ31</f>
        <v>3141.4</v>
      </c>
      <c r="P12" s="159">
        <f t="shared" ref="P12:Y12" si="0">SUM(P13:P22)</f>
        <v>2784.5468827068835</v>
      </c>
      <c r="Q12" s="159">
        <f t="shared" si="0"/>
        <v>2803.6060835739891</v>
      </c>
      <c r="R12" s="159">
        <f t="shared" si="0"/>
        <v>2819.4522226871677</v>
      </c>
      <c r="S12" s="159">
        <f t="shared" si="0"/>
        <v>2765.7036652222396</v>
      </c>
      <c r="T12" s="159">
        <f t="shared" si="0"/>
        <v>2724.7720994764477</v>
      </c>
      <c r="U12" s="159">
        <f t="shared" si="0"/>
        <v>2823.0609762572331</v>
      </c>
      <c r="V12" s="159">
        <f t="shared" si="0"/>
        <v>2847.490445225425</v>
      </c>
      <c r="W12" s="159">
        <f t="shared" si="0"/>
        <v>2872.2431265659752</v>
      </c>
      <c r="X12" s="159">
        <f t="shared" si="0"/>
        <v>2889.6239881304327</v>
      </c>
      <c r="Y12" s="159">
        <f t="shared" si="0"/>
        <v>2985.1908426296118</v>
      </c>
      <c r="Z12" s="159">
        <f t="shared" ref="Z12:AC12" si="1">SUM(Z13:Z22)</f>
        <v>3010.6974982675933</v>
      </c>
      <c r="AA12" s="159">
        <f t="shared" si="1"/>
        <v>3036.4434350213282</v>
      </c>
      <c r="AB12" s="159">
        <f t="shared" si="1"/>
        <v>3060.9115503159842</v>
      </c>
      <c r="AC12" s="638">
        <f t="shared" si="1"/>
        <v>3087.4075873352076</v>
      </c>
    </row>
    <row r="13" spans="2:29" ht="28" x14ac:dyDescent="0.3">
      <c r="B13" s="184" t="s">
        <v>641</v>
      </c>
      <c r="D13" s="156">
        <f>'Unemployment Insurance'!D20+'Unemployment Insurance'!D19</f>
        <v>27.1</v>
      </c>
      <c r="E13" s="157">
        <f>'Unemployment Insurance'!E20+'Unemployment Insurance'!E19</f>
        <v>28.4</v>
      </c>
      <c r="F13" s="157">
        <f>'Unemployment Insurance'!F20+'Unemployment Insurance'!F19</f>
        <v>27.8</v>
      </c>
      <c r="G13" s="157">
        <f>'Unemployment Insurance'!G20+'Unemployment Insurance'!G19</f>
        <v>27.4</v>
      </c>
      <c r="H13" s="157">
        <f>'Unemployment Insurance'!H20+'Unemployment Insurance'!H19</f>
        <v>26.8</v>
      </c>
      <c r="I13" s="157">
        <f>'Unemployment Insurance'!I20+'Unemployment Insurance'!I19</f>
        <v>39.5</v>
      </c>
      <c r="J13" s="157">
        <f>'Unemployment Insurance'!J20+'Unemployment Insurance'!J19</f>
        <v>1039.4000000000001</v>
      </c>
      <c r="K13" s="157">
        <f>'Unemployment Insurance'!K20+'Unemployment Insurance'!K19</f>
        <v>767.8</v>
      </c>
      <c r="L13" s="157">
        <f>'Unemployment Insurance'!L20+'Unemployment Insurance'!L19</f>
        <v>299.89999999999998</v>
      </c>
      <c r="M13" s="157">
        <f>'Unemployment Insurance'!M20+'Unemployment Insurance'!M19</f>
        <v>565.79999999999995</v>
      </c>
      <c r="N13" s="157">
        <f>'Unemployment Insurance'!N20+'Unemployment Insurance'!N19</f>
        <v>480.4</v>
      </c>
      <c r="O13" s="952">
        <f>'Unemployment Insurance'!O20+'Unemployment Insurance'!O19</f>
        <v>272.60000000000002</v>
      </c>
      <c r="P13" s="159">
        <f>'Unemployment Insurance'!P20+'Unemployment Insurance'!P19</f>
        <v>32.412642857142878</v>
      </c>
      <c r="Q13" s="159">
        <f>'Unemployment Insurance'!Q20+'Unemployment Insurance'!Q19</f>
        <v>28.861246753246771</v>
      </c>
      <c r="R13" s="159">
        <f>'Unemployment Insurance'!R20+'Unemployment Insurance'!R19</f>
        <v>26.856993506493524</v>
      </c>
      <c r="S13" s="159">
        <f>'Unemployment Insurance'!S20+'Unemployment Insurance'!S19</f>
        <v>25.893545454545471</v>
      </c>
      <c r="T13" s="159">
        <f>'Unemployment Insurance'!T20+'Unemployment Insurance'!T19</f>
        <v>25.57708441558443</v>
      </c>
      <c r="U13" s="159">
        <f>'Unemployment Insurance'!U20+'Unemployment Insurance'!U19</f>
        <v>25.752896103896116</v>
      </c>
      <c r="V13" s="159">
        <f>'Unemployment Insurance'!V20+'Unemployment Insurance'!V19</f>
        <v>26.1467142857143</v>
      </c>
      <c r="W13" s="159">
        <f>'Unemployment Insurance'!W20+'Unemployment Insurance'!W19</f>
        <v>26.547564935064948</v>
      </c>
      <c r="X13" s="159">
        <f>'Unemployment Insurance'!X20+'Unemployment Insurance'!X19</f>
        <v>26.969512987013001</v>
      </c>
      <c r="Y13" s="159">
        <f>'Unemployment Insurance'!Y20+'Unemployment Insurance'!Y19</f>
        <v>27.496948051948067</v>
      </c>
      <c r="Z13" s="159">
        <f>'Unemployment Insurance'!Z20+'Unemployment Insurance'!Z19</f>
        <v>27.932961038961054</v>
      </c>
      <c r="AA13" s="159">
        <f>'Unemployment Insurance'!AA20+'Unemployment Insurance'!AA19</f>
        <v>28.277551948051961</v>
      </c>
      <c r="AB13" s="159">
        <f>'Unemployment Insurance'!AB20+'Unemployment Insurance'!AB19</f>
        <v>28.706532467532483</v>
      </c>
      <c r="AC13" s="638">
        <f>'Unemployment Insurance'!AC20+'Unemployment Insurance'!AC19</f>
        <v>29.121448051948068</v>
      </c>
    </row>
    <row r="14" spans="2:29" x14ac:dyDescent="0.3">
      <c r="B14" s="184" t="s">
        <v>76</v>
      </c>
      <c r="D14" s="156">
        <f>Medicare!D10</f>
        <v>754.2</v>
      </c>
      <c r="E14" s="157">
        <f>Medicare!E10</f>
        <v>768.3</v>
      </c>
      <c r="F14" s="157">
        <f>Medicare!F10</f>
        <v>781.1</v>
      </c>
      <c r="G14" s="157">
        <f>Medicare!G10</f>
        <v>792.1</v>
      </c>
      <c r="H14" s="157">
        <f>Medicare!H10</f>
        <v>801.3</v>
      </c>
      <c r="I14" s="157">
        <f>Medicare!I10</f>
        <v>808.5</v>
      </c>
      <c r="J14" s="157">
        <f>Medicare!J10</f>
        <v>821.6</v>
      </c>
      <c r="K14" s="157">
        <f>Medicare!K10</f>
        <v>825.8</v>
      </c>
      <c r="L14" s="157">
        <f>Medicare!L10</f>
        <v>821</v>
      </c>
      <c r="M14" s="157">
        <f>Medicare!M10</f>
        <v>814.1</v>
      </c>
      <c r="N14" s="157">
        <f>Medicare!N10</f>
        <v>815.3</v>
      </c>
      <c r="O14" s="952">
        <f>Medicare!O10</f>
        <v>826.5</v>
      </c>
      <c r="P14" s="159">
        <f>Medicare!P10</f>
        <v>840.90322653846329</v>
      </c>
      <c r="Q14" s="159">
        <f>Medicare!Q10</f>
        <v>840.36452608091781</v>
      </c>
      <c r="R14" s="159">
        <f>Medicare!R10</f>
        <v>856.11491844085015</v>
      </c>
      <c r="S14" s="159">
        <f>Medicare!S10</f>
        <v>858.15980902786953</v>
      </c>
      <c r="T14" s="159">
        <f>Medicare!T10</f>
        <v>874.5047043210385</v>
      </c>
      <c r="U14" s="159">
        <f>Medicare!U10</f>
        <v>891.12996993440447</v>
      </c>
      <c r="V14" s="159">
        <f>Medicare!V10</f>
        <v>908.06562072077816</v>
      </c>
      <c r="W14" s="159">
        <f>Medicare!W10</f>
        <v>925.31745141197712</v>
      </c>
      <c r="X14" s="159">
        <f>Medicare!X10</f>
        <v>942.89136492448665</v>
      </c>
      <c r="Y14" s="159">
        <f>Medicare!Y10</f>
        <v>960.53728015007744</v>
      </c>
      <c r="Z14" s="159">
        <f>Medicare!Z10</f>
        <v>978.50792280104577</v>
      </c>
      <c r="AA14" s="159">
        <f>Medicare!AA10</f>
        <v>996.8092686456896</v>
      </c>
      <c r="AB14" s="159">
        <f>Medicare!AB10</f>
        <v>1015.4474034208649</v>
      </c>
      <c r="AC14" s="638">
        <f>Medicare!AC10</f>
        <v>1034.4285248556728</v>
      </c>
    </row>
    <row r="15" spans="2:29" ht="28" x14ac:dyDescent="0.3">
      <c r="B15" s="180" t="s">
        <v>642</v>
      </c>
      <c r="D15" s="41"/>
      <c r="H15" s="157">
        <f>'Rebate Checks'!H10 +'Rebate Checks'!H11</f>
        <v>0</v>
      </c>
      <c r="I15" s="157">
        <f>'Rebate Checks'!I10 +'Rebate Checks'!I11</f>
        <v>0</v>
      </c>
      <c r="J15" s="157">
        <f>'Rebate Checks'!J10 +'Rebate Checks'!J11</f>
        <v>1078.0999999999999</v>
      </c>
      <c r="K15" s="157">
        <f>'Rebate Checks'!K10 +'Rebate Checks'!K11</f>
        <v>15.6</v>
      </c>
      <c r="L15" s="157">
        <f>'Rebate Checks'!L10 +'Rebate Checks'!L11</f>
        <v>5</v>
      </c>
      <c r="M15" s="157">
        <f>'Rebate Checks'!M10 +'Rebate Checks'!M11</f>
        <v>1933.6999999999998</v>
      </c>
      <c r="N15" s="157">
        <f>'Rebate Checks'!N10 +'Rebate Checks'!N11</f>
        <v>290.10000000000002</v>
      </c>
      <c r="O15" s="952">
        <f>'Rebate Checks'!O10 +'Rebate Checks'!O11</f>
        <v>38.9</v>
      </c>
      <c r="P15" s="159">
        <f>'Rebate Checks'!P10 +'Rebate Checks'!P11</f>
        <v>0</v>
      </c>
      <c r="Q15" s="159">
        <f>'Rebate Checks'!Q10 +'Rebate Checks'!Q11</f>
        <v>14.93</v>
      </c>
      <c r="R15" s="159">
        <f>'Rebate Checks'!R10 +'Rebate Checks'!R11</f>
        <v>14.93</v>
      </c>
      <c r="S15" s="159">
        <f>'Rebate Checks'!S10 +'Rebate Checks'!S11</f>
        <v>0</v>
      </c>
      <c r="T15" s="159">
        <f>'Rebate Checks'!T10 +'Rebate Checks'!T11</f>
        <v>0</v>
      </c>
      <c r="U15" s="159">
        <f>'Rebate Checks'!U10 +'Rebate Checks'!U11</f>
        <v>0</v>
      </c>
      <c r="V15" s="159">
        <f>'Rebate Checks'!V10 +'Rebate Checks'!V11</f>
        <v>0</v>
      </c>
      <c r="W15" s="159">
        <f>'Rebate Checks'!W10 +'Rebate Checks'!W11</f>
        <v>0</v>
      </c>
      <c r="X15" s="159">
        <f>'Rebate Checks'!X10 +'Rebate Checks'!X11</f>
        <v>0</v>
      </c>
      <c r="Y15" s="159">
        <f>'Rebate Checks'!Y10 +'Rebate Checks'!Y11</f>
        <v>0</v>
      </c>
      <c r="Z15" s="159">
        <f>'Rebate Checks'!Z10 +'Rebate Checks'!Z11</f>
        <v>0</v>
      </c>
      <c r="AA15" s="159">
        <f>'Rebate Checks'!AA10 +'Rebate Checks'!AA11</f>
        <v>0</v>
      </c>
      <c r="AB15" s="159">
        <f>'Rebate Checks'!AB10 +'Rebate Checks'!AB11</f>
        <v>0</v>
      </c>
      <c r="AC15" s="638">
        <f>'Rebate Checks'!AC10 +'Rebate Checks'!AC11</f>
        <v>0</v>
      </c>
    </row>
    <row r="16" spans="2:29" ht="28" x14ac:dyDescent="0.3">
      <c r="B16" s="180" t="s">
        <v>643</v>
      </c>
      <c r="D16" s="41"/>
      <c r="H16" s="157"/>
      <c r="I16" s="157">
        <f>I63</f>
        <v>2.5817499999999995</v>
      </c>
      <c r="J16" s="157">
        <f t="shared" ref="J16:Y16" si="2">J63</f>
        <v>37.358750000000001</v>
      </c>
      <c r="K16" s="157">
        <f t="shared" si="2"/>
        <v>38.026749999999993</v>
      </c>
      <c r="L16" s="157">
        <f t="shared" si="2"/>
        <v>38.350750000000005</v>
      </c>
      <c r="M16" s="157">
        <f t="shared" si="2"/>
        <v>54.966750000000005</v>
      </c>
      <c r="N16" s="157">
        <f t="shared" si="2"/>
        <v>74.252749999999992</v>
      </c>
      <c r="O16" s="952">
        <f t="shared" si="2"/>
        <v>85.407749999999993</v>
      </c>
      <c r="P16" s="159">
        <f t="shared" si="2"/>
        <v>50</v>
      </c>
      <c r="Q16" s="159">
        <f t="shared" si="2"/>
        <v>25</v>
      </c>
      <c r="R16" s="159">
        <f t="shared" si="2"/>
        <v>20</v>
      </c>
      <c r="S16" s="159">
        <f t="shared" si="2"/>
        <v>5</v>
      </c>
      <c r="T16" s="159">
        <f t="shared" si="2"/>
        <v>0</v>
      </c>
      <c r="U16" s="159">
        <f t="shared" si="2"/>
        <v>0</v>
      </c>
      <c r="V16" s="159">
        <f t="shared" si="2"/>
        <v>0</v>
      </c>
      <c r="W16" s="159">
        <f t="shared" si="2"/>
        <v>0</v>
      </c>
      <c r="X16" s="159">
        <f t="shared" si="2"/>
        <v>0</v>
      </c>
      <c r="Y16" s="159">
        <f t="shared" si="2"/>
        <v>0</v>
      </c>
      <c r="Z16" s="159">
        <f t="shared" ref="Z16:AC16" si="3">Z63</f>
        <v>0</v>
      </c>
      <c r="AA16" s="159">
        <f t="shared" si="3"/>
        <v>0</v>
      </c>
      <c r="AB16" s="159">
        <f t="shared" si="3"/>
        <v>0</v>
      </c>
      <c r="AC16" s="638">
        <f t="shared" si="3"/>
        <v>0</v>
      </c>
    </row>
    <row r="17" spans="2:29" x14ac:dyDescent="0.3">
      <c r="B17" s="180" t="s">
        <v>644</v>
      </c>
      <c r="D17" s="41"/>
      <c r="H17" s="157"/>
      <c r="I17" s="157"/>
      <c r="J17" s="63">
        <v>19.100000000000001</v>
      </c>
      <c r="K17" s="63">
        <v>27</v>
      </c>
      <c r="L17" s="63">
        <v>10.8</v>
      </c>
      <c r="M17" s="63">
        <v>10.8</v>
      </c>
      <c r="N17" s="157">
        <f>PPP!N53</f>
        <v>24.7</v>
      </c>
      <c r="O17" s="952">
        <f>PPP!O53</f>
        <v>14</v>
      </c>
      <c r="P17" s="159">
        <f>PPP!P53</f>
        <v>1.6983733112765369</v>
      </c>
      <c r="Q17" s="159"/>
      <c r="R17" s="159"/>
      <c r="S17" s="159"/>
      <c r="T17" s="159"/>
      <c r="U17" s="159"/>
      <c r="V17" s="159"/>
      <c r="W17" s="159"/>
      <c r="X17" s="159"/>
      <c r="Y17" s="159"/>
      <c r="Z17" s="159"/>
      <c r="AA17" s="159"/>
      <c r="AB17" s="159"/>
      <c r="AC17" s="638"/>
    </row>
    <row r="18" spans="2:29" x14ac:dyDescent="0.3">
      <c r="B18" s="180" t="s">
        <v>645</v>
      </c>
      <c r="D18" s="41"/>
      <c r="H18" s="157"/>
      <c r="I18" s="157"/>
      <c r="J18" s="63">
        <v>160.9</v>
      </c>
      <c r="K18" s="63">
        <v>58.4</v>
      </c>
      <c r="L18" s="63">
        <v>34.5</v>
      </c>
      <c r="M18" s="63">
        <v>43</v>
      </c>
      <c r="N18" s="157">
        <f>'Provider Relief'!N11</f>
        <v>26.6</v>
      </c>
      <c r="O18" s="952">
        <f>'Provider Relief'!O11</f>
        <v>37.4</v>
      </c>
      <c r="P18" s="159">
        <f>'Provider Relief'!P11</f>
        <v>12.2</v>
      </c>
      <c r="Q18" s="159">
        <f>'Provider Relief'!Q11</f>
        <v>0</v>
      </c>
      <c r="R18" s="159">
        <f>'Provider Relief'!R11</f>
        <v>0</v>
      </c>
      <c r="S18" s="159"/>
      <c r="T18" s="159"/>
      <c r="U18" s="159"/>
      <c r="V18" s="159"/>
      <c r="W18" s="159"/>
      <c r="X18" s="159"/>
      <c r="Y18" s="159"/>
      <c r="Z18" s="159"/>
      <c r="AA18" s="159"/>
      <c r="AB18" s="159"/>
      <c r="AC18" s="638"/>
    </row>
    <row r="19" spans="2:29" ht="42" x14ac:dyDescent="0.3">
      <c r="B19" s="1014" t="s">
        <v>1250</v>
      </c>
      <c r="D19" s="1022">
        <v>30</v>
      </c>
      <c r="E19" s="1022">
        <v>30</v>
      </c>
      <c r="F19" s="1022">
        <v>30</v>
      </c>
      <c r="G19" s="1022">
        <v>30</v>
      </c>
      <c r="H19" s="1022">
        <v>30</v>
      </c>
      <c r="I19" s="1022">
        <v>30</v>
      </c>
      <c r="J19" s="1022">
        <v>30</v>
      </c>
      <c r="K19" s="63">
        <v>30.2</v>
      </c>
      <c r="L19" s="63">
        <v>30.2</v>
      </c>
      <c r="M19" s="63">
        <v>34.4</v>
      </c>
      <c r="N19" s="157">
        <v>34.4</v>
      </c>
      <c r="O19" s="952">
        <v>218.9</v>
      </c>
      <c r="P19" s="159">
        <f>55*4 + 34</f>
        <v>254</v>
      </c>
      <c r="Q19" s="159">
        <f>8*4 + 34</f>
        <v>66</v>
      </c>
      <c r="R19" s="159">
        <f>8*4 + 34</f>
        <v>66</v>
      </c>
      <c r="S19" s="159">
        <v>34</v>
      </c>
      <c r="T19" s="159">
        <v>34</v>
      </c>
      <c r="U19" s="159">
        <v>34</v>
      </c>
      <c r="V19" s="159">
        <v>34</v>
      </c>
      <c r="W19" s="159">
        <v>34</v>
      </c>
      <c r="X19" s="159">
        <v>34</v>
      </c>
      <c r="Y19" s="159">
        <v>34</v>
      </c>
      <c r="Z19" s="159">
        <v>34</v>
      </c>
      <c r="AA19" s="159">
        <v>34</v>
      </c>
      <c r="AB19" s="159">
        <v>34</v>
      </c>
      <c r="AC19" s="159">
        <v>34</v>
      </c>
    </row>
    <row r="20" spans="2:29" x14ac:dyDescent="0.3">
      <c r="B20" s="180" t="s">
        <v>646</v>
      </c>
      <c r="D20" s="41"/>
      <c r="H20" s="157"/>
      <c r="I20" s="157"/>
      <c r="J20" s="63"/>
      <c r="K20" s="63"/>
      <c r="L20" s="63"/>
      <c r="M20" s="63"/>
      <c r="N20" s="157">
        <f>N24</f>
        <v>80.048640000000034</v>
      </c>
      <c r="O20" s="952">
        <f>O24</f>
        <v>177.9433600000001</v>
      </c>
      <c r="P20" s="159">
        <f t="shared" ref="P20:Y20" si="4">P24</f>
        <v>84.676000000000002</v>
      </c>
      <c r="Q20" s="159">
        <f t="shared" si="4"/>
        <v>72.475999999999999</v>
      </c>
      <c r="R20" s="159">
        <f t="shared" si="4"/>
        <v>72.475999999999999</v>
      </c>
      <c r="S20" s="159">
        <f t="shared" si="4"/>
        <v>72.475999999999999</v>
      </c>
      <c r="T20" s="159">
        <f t="shared" si="4"/>
        <v>13.416</v>
      </c>
      <c r="U20" s="159">
        <f t="shared" si="4"/>
        <v>13.416</v>
      </c>
      <c r="V20" s="159">
        <f t="shared" si="4"/>
        <v>13.416</v>
      </c>
      <c r="W20" s="159">
        <f t="shared" si="4"/>
        <v>13.416</v>
      </c>
      <c r="X20" s="159">
        <f t="shared" si="4"/>
        <v>5.7009999999999996</v>
      </c>
      <c r="Y20" s="159">
        <f t="shared" si="4"/>
        <v>5.7009999999999996</v>
      </c>
      <c r="Z20" s="159">
        <f t="shared" ref="Z20:AC20" si="5">Z24</f>
        <v>5.7009999999999996</v>
      </c>
      <c r="AA20" s="159">
        <f t="shared" si="5"/>
        <v>5.7009999999999996</v>
      </c>
      <c r="AB20" s="159">
        <f t="shared" si="5"/>
        <v>4.0019999999999998</v>
      </c>
      <c r="AC20" s="638">
        <f t="shared" si="5"/>
        <v>4.0019999999999998</v>
      </c>
    </row>
    <row r="21" spans="2:29" x14ac:dyDescent="0.3">
      <c r="B21" s="246" t="s">
        <v>1237</v>
      </c>
      <c r="D21" s="508">
        <f>D55</f>
        <v>0</v>
      </c>
      <c r="E21" s="299">
        <f t="shared" ref="E21:N21" si="6">E55</f>
        <v>0</v>
      </c>
      <c r="F21" s="299">
        <f t="shared" si="6"/>
        <v>0</v>
      </c>
      <c r="G21" s="299">
        <f t="shared" si="6"/>
        <v>0</v>
      </c>
      <c r="H21" s="299">
        <f t="shared" si="6"/>
        <v>0</v>
      </c>
      <c r="I21" s="299">
        <f t="shared" si="6"/>
        <v>-2.5817500000000564</v>
      </c>
      <c r="J21" s="299">
        <f t="shared" si="6"/>
        <v>33.241249999999809</v>
      </c>
      <c r="K21" s="299">
        <f>K55</f>
        <v>151.37324999999987</v>
      </c>
      <c r="L21" s="299">
        <f t="shared" si="6"/>
        <v>38.149249999999256</v>
      </c>
      <c r="M21" s="299">
        <f t="shared" si="6"/>
        <v>-51.466750000000502</v>
      </c>
      <c r="N21" s="299">
        <f t="shared" si="6"/>
        <v>-45.852750000000469</v>
      </c>
      <c r="O21" s="930">
        <f>O55</f>
        <v>-31.807750000001079</v>
      </c>
      <c r="P21" s="359">
        <v>0</v>
      </c>
      <c r="Q21" s="359">
        <v>0</v>
      </c>
      <c r="R21" s="359">
        <v>0</v>
      </c>
      <c r="S21" s="359">
        <v>0</v>
      </c>
      <c r="T21" s="359">
        <v>0</v>
      </c>
      <c r="U21" s="359">
        <v>0</v>
      </c>
      <c r="V21" s="359">
        <v>0</v>
      </c>
      <c r="W21" s="359">
        <v>0</v>
      </c>
      <c r="X21" s="359">
        <v>0</v>
      </c>
      <c r="Y21" s="359">
        <v>0</v>
      </c>
      <c r="Z21" s="359">
        <v>0</v>
      </c>
      <c r="AA21" s="359">
        <v>0</v>
      </c>
      <c r="AB21" s="359">
        <v>0</v>
      </c>
      <c r="AC21" s="360">
        <v>0</v>
      </c>
    </row>
    <row r="22" spans="2:29" ht="28" x14ac:dyDescent="0.3">
      <c r="B22" s="49" t="s">
        <v>1252</v>
      </c>
      <c r="D22" s="156">
        <f>D12-SUM(D13:D21)</f>
        <v>1411</v>
      </c>
      <c r="E22" s="1015">
        <f t="shared" ref="E22:N22" si="7">E12-SUM(E13:E21)</f>
        <v>1471.4</v>
      </c>
      <c r="F22" s="1015">
        <f>F12-SUM(F13:F21)</f>
        <v>1476.6</v>
      </c>
      <c r="G22" s="1015">
        <f t="shared" si="7"/>
        <v>1483.6999999999998</v>
      </c>
      <c r="H22" s="1015">
        <f>H12-SUM(H13:H21)</f>
        <v>1492.7000000000003</v>
      </c>
      <c r="I22" s="1015">
        <f t="shared" si="7"/>
        <v>1539.9</v>
      </c>
      <c r="J22" s="1015">
        <f t="shared" si="7"/>
        <v>1547</v>
      </c>
      <c r="K22" s="1015">
        <f t="shared" si="7"/>
        <v>1554.1000000000004</v>
      </c>
      <c r="L22" s="1015">
        <f t="shared" si="7"/>
        <v>1561.2000000000005</v>
      </c>
      <c r="M22" s="1015">
        <f t="shared" si="7"/>
        <v>1665.3000000000006</v>
      </c>
      <c r="N22" s="1015">
        <f t="shared" si="7"/>
        <v>1592.3513600000008</v>
      </c>
      <c r="O22" s="1015">
        <f>O12-SUM(O13:O21)</f>
        <v>1501.5566400000009</v>
      </c>
      <c r="P22" s="647">
        <f>O22+($L22-$I22)/3</f>
        <v>1508.6566400000011</v>
      </c>
      <c r="Q22" s="1016">
        <f>M22*E42</f>
        <v>1755.9743107398242</v>
      </c>
      <c r="R22" s="647">
        <f>Q22+($L22-$I22)/3</f>
        <v>1763.0743107398243</v>
      </c>
      <c r="S22" s="647">
        <f>R22+($L22-$I22)/3</f>
        <v>1770.1743107398245</v>
      </c>
      <c r="T22" s="647">
        <f>S22+($L22-$I22)/3</f>
        <v>1777.2743107398246</v>
      </c>
      <c r="U22" s="1016">
        <f>Q22*F42</f>
        <v>1858.7621102189325</v>
      </c>
      <c r="V22" s="647">
        <f>U22+($L22-$I22)/3</f>
        <v>1865.8621102189327</v>
      </c>
      <c r="W22" s="647">
        <f>V22+($L22-$I22)/3</f>
        <v>1872.9621102189328</v>
      </c>
      <c r="X22" s="647">
        <f>W22+($L22-$I22)/3</f>
        <v>1880.062110218933</v>
      </c>
      <c r="Y22" s="1016">
        <f>U22*$G$42</f>
        <v>1957.4556144275864</v>
      </c>
      <c r="Z22" s="647">
        <f>Y22+($L22-$I22)/3</f>
        <v>1964.5556144275865</v>
      </c>
      <c r="AA22" s="647">
        <f t="shared" ref="AA22:AC22" si="8">Z22+($L22-$I22)/3</f>
        <v>1971.6556144275867</v>
      </c>
      <c r="AB22" s="647">
        <f t="shared" si="8"/>
        <v>1978.7556144275868</v>
      </c>
      <c r="AC22" s="648">
        <f t="shared" si="8"/>
        <v>1985.8556144275869</v>
      </c>
    </row>
    <row r="23" spans="2:29" s="141" customFormat="1" ht="14.5" x14ac:dyDescent="0.35">
      <c r="B23" s="425" t="s">
        <v>1253</v>
      </c>
      <c r="D23" s="603">
        <f>D22 +D19+D16 +D17</f>
        <v>1441</v>
      </c>
      <c r="E23" s="603">
        <f t="shared" ref="E23:AC23" si="9">E22 +E19+E16 +E17</f>
        <v>1501.4</v>
      </c>
      <c r="F23" s="603">
        <f t="shared" si="9"/>
        <v>1506.6</v>
      </c>
      <c r="G23" s="603">
        <f t="shared" si="9"/>
        <v>1513.6999999999998</v>
      </c>
      <c r="H23" s="603">
        <f t="shared" si="9"/>
        <v>1522.7000000000003</v>
      </c>
      <c r="I23" s="603">
        <f t="shared" si="9"/>
        <v>1572.4817500000001</v>
      </c>
      <c r="J23" s="603">
        <f t="shared" si="9"/>
        <v>1633.45875</v>
      </c>
      <c r="K23" s="603">
        <f t="shared" si="9"/>
        <v>1649.3267500000004</v>
      </c>
      <c r="L23" s="603">
        <f t="shared" si="9"/>
        <v>1640.5507500000006</v>
      </c>
      <c r="M23" s="603">
        <f t="shared" si="9"/>
        <v>1765.4667500000007</v>
      </c>
      <c r="N23" s="603">
        <f t="shared" si="9"/>
        <v>1725.7041100000008</v>
      </c>
      <c r="O23" s="603">
        <f t="shared" si="9"/>
        <v>1819.8643900000011</v>
      </c>
      <c r="P23" s="603">
        <f t="shared" si="9"/>
        <v>1814.3550133112776</v>
      </c>
      <c r="Q23" s="603">
        <f t="shared" si="9"/>
        <v>1846.9743107398242</v>
      </c>
      <c r="R23" s="603">
        <f t="shared" si="9"/>
        <v>1849.0743107398243</v>
      </c>
      <c r="S23" s="603">
        <f t="shared" si="9"/>
        <v>1809.1743107398245</v>
      </c>
      <c r="T23" s="603">
        <f t="shared" si="9"/>
        <v>1811.2743107398246</v>
      </c>
      <c r="U23" s="603">
        <f t="shared" si="9"/>
        <v>1892.7621102189325</v>
      </c>
      <c r="V23" s="603">
        <f t="shared" si="9"/>
        <v>1899.8621102189327</v>
      </c>
      <c r="W23" s="603">
        <f t="shared" si="9"/>
        <v>1906.9621102189328</v>
      </c>
      <c r="X23" s="603">
        <f t="shared" si="9"/>
        <v>1914.062110218933</v>
      </c>
      <c r="Y23" s="603">
        <f t="shared" si="9"/>
        <v>1991.4556144275864</v>
      </c>
      <c r="Z23" s="603">
        <f t="shared" si="9"/>
        <v>1998.5556144275865</v>
      </c>
      <c r="AA23" s="603">
        <f t="shared" si="9"/>
        <v>2005.6556144275867</v>
      </c>
      <c r="AB23" s="603">
        <f t="shared" si="9"/>
        <v>2012.7556144275868</v>
      </c>
      <c r="AC23" s="603">
        <f t="shared" si="9"/>
        <v>2019.8556144275869</v>
      </c>
    </row>
    <row r="24" spans="2:29" ht="28" x14ac:dyDescent="0.3">
      <c r="B24" s="49" t="s">
        <v>647</v>
      </c>
      <c r="D24" s="41"/>
      <c r="H24" s="157"/>
      <c r="I24" s="157"/>
      <c r="J24" s="157"/>
      <c r="K24" s="157"/>
      <c r="L24" s="157"/>
      <c r="M24" s="157">
        <f t="shared" ref="M24:Y24" si="10">SUM(M25:M26)</f>
        <v>43</v>
      </c>
      <c r="N24" s="157">
        <f t="shared" si="10"/>
        <v>80.048640000000034</v>
      </c>
      <c r="O24" s="952">
        <f>SUM(O25:O26)</f>
        <v>177.9433600000001</v>
      </c>
      <c r="P24" s="159">
        <f t="shared" si="10"/>
        <v>84.676000000000002</v>
      </c>
      <c r="Q24" s="159">
        <f t="shared" si="10"/>
        <v>72.475999999999999</v>
      </c>
      <c r="R24" s="159">
        <f t="shared" si="10"/>
        <v>72.475999999999999</v>
      </c>
      <c r="S24" s="159">
        <f t="shared" si="10"/>
        <v>72.475999999999999</v>
      </c>
      <c r="T24" s="159">
        <f t="shared" si="10"/>
        <v>13.416</v>
      </c>
      <c r="U24" s="159">
        <f t="shared" si="10"/>
        <v>13.416</v>
      </c>
      <c r="V24" s="159">
        <f t="shared" si="10"/>
        <v>13.416</v>
      </c>
      <c r="W24" s="159">
        <f t="shared" si="10"/>
        <v>13.416</v>
      </c>
      <c r="X24" s="159">
        <f t="shared" si="10"/>
        <v>5.7009999999999996</v>
      </c>
      <c r="Y24" s="159">
        <f t="shared" si="10"/>
        <v>5.7009999999999996</v>
      </c>
      <c r="Z24" s="159">
        <f t="shared" ref="Z24:AC24" si="11">SUM(Z25:Z26)</f>
        <v>5.7009999999999996</v>
      </c>
      <c r="AA24" s="159">
        <f t="shared" si="11"/>
        <v>5.7009999999999996</v>
      </c>
      <c r="AB24" s="159">
        <f t="shared" si="11"/>
        <v>4.0019999999999998</v>
      </c>
      <c r="AC24" s="638">
        <f t="shared" si="11"/>
        <v>4.0019999999999998</v>
      </c>
    </row>
    <row r="25" spans="2:29" s="141" customFormat="1" ht="14.5" x14ac:dyDescent="0.35">
      <c r="B25" s="50" t="s">
        <v>648</v>
      </c>
      <c r="D25" s="140"/>
      <c r="H25" s="192"/>
      <c r="I25" s="192"/>
      <c r="J25" s="192"/>
      <c r="K25" s="192"/>
      <c r="L25" s="192"/>
      <c r="M25" s="192">
        <f>'ARP Quarterly'!C5</f>
        <v>0</v>
      </c>
      <c r="N25" s="192">
        <f>'ARP Quarterly'!D5</f>
        <v>53.448640000000026</v>
      </c>
      <c r="O25" s="956">
        <f>'ARP Quarterly'!E5</f>
        <v>137.43936000000005</v>
      </c>
      <c r="P25" s="339">
        <f>'ARP Quarterly'!F5</f>
        <v>52.756999999999998</v>
      </c>
      <c r="Q25" s="339">
        <f>'ARP Quarterly'!G5</f>
        <v>52.756999999999998</v>
      </c>
      <c r="R25" s="339">
        <f>'ARP Quarterly'!H5</f>
        <v>52.756999999999998</v>
      </c>
      <c r="S25" s="339">
        <f>'ARP Quarterly'!I5</f>
        <v>52.756999999999998</v>
      </c>
      <c r="T25" s="339">
        <f>'ARP Quarterly'!J5</f>
        <v>12</v>
      </c>
      <c r="U25" s="339">
        <f>'ARP Quarterly'!K5</f>
        <v>12</v>
      </c>
      <c r="V25" s="339">
        <f>'ARP Quarterly'!L5</f>
        <v>12</v>
      </c>
      <c r="W25" s="339">
        <f>'ARP Quarterly'!M5</f>
        <v>12</v>
      </c>
      <c r="X25" s="339">
        <f>'ARP Quarterly'!N5</f>
        <v>4.2219999999999995</v>
      </c>
      <c r="Y25" s="339">
        <f>'ARP Quarterly'!O5</f>
        <v>4.2219999999999995</v>
      </c>
      <c r="Z25" s="339">
        <f>'ARP Quarterly'!P5</f>
        <v>4.2219999999999995</v>
      </c>
      <c r="AA25" s="339">
        <f>'ARP Quarterly'!Q5</f>
        <v>4.2219999999999995</v>
      </c>
      <c r="AB25" s="339">
        <f>'ARP Quarterly'!R5</f>
        <v>2.3719999999999999</v>
      </c>
      <c r="AC25" s="340">
        <f>'ARP Quarterly'!S5</f>
        <v>2.3719999999999999</v>
      </c>
    </row>
    <row r="26" spans="2:29" ht="14.5" x14ac:dyDescent="0.35">
      <c r="B26" s="50" t="s">
        <v>1254</v>
      </c>
      <c r="C26" s="141"/>
      <c r="D26" s="192">
        <f t="shared" ref="D26:K26" si="12">D18</f>
        <v>0</v>
      </c>
      <c r="E26" s="192">
        <f t="shared" si="12"/>
        <v>0</v>
      </c>
      <c r="F26" s="192">
        <f t="shared" si="12"/>
        <v>0</v>
      </c>
      <c r="G26" s="192">
        <f t="shared" si="12"/>
        <v>0</v>
      </c>
      <c r="H26" s="192">
        <f t="shared" si="12"/>
        <v>0</v>
      </c>
      <c r="I26" s="192">
        <f t="shared" si="12"/>
        <v>0</v>
      </c>
      <c r="J26" s="192">
        <f t="shared" si="12"/>
        <v>160.9</v>
      </c>
      <c r="K26" s="192">
        <f t="shared" si="12"/>
        <v>58.4</v>
      </c>
      <c r="L26" s="192">
        <f>L18</f>
        <v>34.5</v>
      </c>
      <c r="M26" s="192">
        <f>'ARP Quarterly'!C4 +M18</f>
        <v>43</v>
      </c>
      <c r="N26" s="192">
        <f>'ARP Quarterly'!D4 +N18</f>
        <v>26.6</v>
      </c>
      <c r="O26" s="192">
        <f>'ARP Quarterly'!E4 +O18</f>
        <v>40.50400000000004</v>
      </c>
      <c r="P26" s="192">
        <f>'ARP Quarterly'!F4 +P18</f>
        <v>31.919000000000004</v>
      </c>
      <c r="Q26" s="192">
        <f>'ARP Quarterly'!G4 +Q18</f>
        <v>19.719000000000005</v>
      </c>
      <c r="R26" s="192">
        <f>'ARP Quarterly'!H4 +R18</f>
        <v>19.719000000000005</v>
      </c>
      <c r="S26" s="192">
        <f>'ARP Quarterly'!I4 +S18</f>
        <v>19.719000000000005</v>
      </c>
      <c r="T26" s="192">
        <f>'ARP Quarterly'!J4 +T18</f>
        <v>1.4159999999999999</v>
      </c>
      <c r="U26" s="192">
        <f>'ARP Quarterly'!K4 +U18</f>
        <v>1.4159999999999999</v>
      </c>
      <c r="V26" s="192">
        <f>'ARP Quarterly'!L4 +V18</f>
        <v>1.4159999999999999</v>
      </c>
      <c r="W26" s="192">
        <f>'ARP Quarterly'!M4 +W18</f>
        <v>1.4159999999999999</v>
      </c>
      <c r="X26" s="192">
        <f>'ARP Quarterly'!N4 +X18</f>
        <v>1.4790000000000001</v>
      </c>
      <c r="Y26" s="192">
        <f>'ARP Quarterly'!O4 +Y18</f>
        <v>1.4790000000000001</v>
      </c>
      <c r="Z26" s="192">
        <f>'ARP Quarterly'!P4 +Z18</f>
        <v>1.4790000000000001</v>
      </c>
      <c r="AA26" s="192">
        <f>'ARP Quarterly'!Q4 +AA18</f>
        <v>1.4790000000000001</v>
      </c>
      <c r="AB26" s="192">
        <f>'ARP Quarterly'!R4 +AB18</f>
        <v>1.63</v>
      </c>
      <c r="AC26" s="192">
        <f>'ARP Quarterly'!S4 +AC18</f>
        <v>1.63</v>
      </c>
    </row>
    <row r="27" spans="2:29" ht="14.5" x14ac:dyDescent="0.35">
      <c r="B27" s="190"/>
      <c r="C27" s="141"/>
      <c r="D27" s="140"/>
      <c r="E27" s="141"/>
      <c r="F27" s="141"/>
      <c r="G27" s="141"/>
      <c r="H27" s="192"/>
      <c r="I27" s="192"/>
      <c r="J27" s="192"/>
      <c r="K27" s="192"/>
      <c r="L27" s="192"/>
      <c r="M27" s="192"/>
      <c r="N27" s="192"/>
      <c r="O27" s="956"/>
      <c r="P27" s="339"/>
      <c r="Q27" s="339"/>
      <c r="R27" s="339"/>
      <c r="S27" s="339"/>
      <c r="T27" s="339"/>
      <c r="U27" s="339"/>
      <c r="V27" s="339"/>
      <c r="W27" s="339"/>
      <c r="X27" s="339"/>
      <c r="Y27" s="339"/>
      <c r="Z27" s="339"/>
      <c r="AA27" s="339"/>
      <c r="AB27" s="339"/>
      <c r="AC27" s="340"/>
    </row>
    <row r="28" spans="2:29" x14ac:dyDescent="0.3">
      <c r="B28" s="1159" t="s">
        <v>649</v>
      </c>
      <c r="C28" s="1156"/>
      <c r="D28" s="908"/>
      <c r="E28" s="181"/>
      <c r="F28" s="181"/>
      <c r="G28" s="181"/>
      <c r="H28" s="157"/>
      <c r="I28" s="157"/>
      <c r="J28" s="157"/>
      <c r="K28" s="157"/>
      <c r="L28" s="157"/>
      <c r="M28" s="157"/>
      <c r="N28" s="157"/>
      <c r="O28" s="952"/>
      <c r="P28" s="951"/>
      <c r="Q28" s="951"/>
      <c r="R28" s="951"/>
      <c r="S28" s="951"/>
      <c r="T28" s="951"/>
      <c r="U28" s="951"/>
      <c r="V28" s="951"/>
      <c r="W28" s="951"/>
      <c r="X28" s="951"/>
      <c r="Y28" s="951"/>
      <c r="Z28" s="951"/>
      <c r="AA28" s="951"/>
      <c r="AB28" s="951"/>
      <c r="AC28" s="637"/>
    </row>
    <row r="29" spans="2:29" x14ac:dyDescent="0.3">
      <c r="B29" s="158" t="s">
        <v>172</v>
      </c>
      <c r="C29" s="34" t="s">
        <v>650</v>
      </c>
      <c r="D29" s="156">
        <f>'Haver Pivoted'!GO37</f>
        <v>731.6</v>
      </c>
      <c r="E29" s="157">
        <f>'Haver Pivoted'!GP37</f>
        <v>741.5</v>
      </c>
      <c r="F29" s="157">
        <f>'Haver Pivoted'!GQ37</f>
        <v>758.6</v>
      </c>
      <c r="G29" s="157">
        <f>'Haver Pivoted'!GR37</f>
        <v>767.8</v>
      </c>
      <c r="H29" s="157">
        <f>'Haver Pivoted'!GS37</f>
        <v>767.1</v>
      </c>
      <c r="I29" s="157">
        <f>'Haver Pivoted'!GT37</f>
        <v>755.9</v>
      </c>
      <c r="J29" s="157">
        <f>'Haver Pivoted'!GU37</f>
        <v>803.8</v>
      </c>
      <c r="K29" s="157">
        <f>'Haver Pivoted'!GV37</f>
        <v>842.2</v>
      </c>
      <c r="L29" s="157">
        <f>'Haver Pivoted'!GW37</f>
        <v>831.1</v>
      </c>
      <c r="M29" s="157">
        <f>'Haver Pivoted'!GX37</f>
        <v>850</v>
      </c>
      <c r="N29" s="157">
        <f>'Haver Pivoted'!GY37</f>
        <v>885.5</v>
      </c>
      <c r="O29" s="952">
        <f>'Haver Pivoted'!GZ37</f>
        <v>897.4</v>
      </c>
      <c r="P29" s="678">
        <f t="shared" ref="P29:Y29" si="13">P30+P31</f>
        <v>909.4961097277652</v>
      </c>
      <c r="Q29" s="678">
        <f t="shared" si="13"/>
        <v>921.75566663387553</v>
      </c>
      <c r="R29" s="678">
        <f t="shared" si="13"/>
        <v>934.18088423529491</v>
      </c>
      <c r="S29" s="678">
        <f t="shared" si="13"/>
        <v>946.77400608682842</v>
      </c>
      <c r="T29" s="678">
        <f t="shared" si="13"/>
        <v>951.1332740674967</v>
      </c>
      <c r="U29" s="678">
        <f t="shared" si="13"/>
        <v>955.52362923585622</v>
      </c>
      <c r="V29" s="678">
        <f t="shared" si="13"/>
        <v>959.94538065366237</v>
      </c>
      <c r="W29" s="678">
        <f t="shared" si="13"/>
        <v>964.39884090271244</v>
      </c>
      <c r="X29" s="678">
        <f t="shared" si="13"/>
        <v>998.89557685316572</v>
      </c>
      <c r="Y29" s="678">
        <f t="shared" si="13"/>
        <v>1034.745287597972</v>
      </c>
      <c r="Z29" s="678">
        <f t="shared" ref="Z29:AC29" si="14">Z30+Z31</f>
        <v>1072.0026766365318</v>
      </c>
      <c r="AA29" s="678">
        <f t="shared" si="14"/>
        <v>1110.7246798341043</v>
      </c>
      <c r="AB29" s="678">
        <f t="shared" si="14"/>
        <v>1150.9705567721694</v>
      </c>
      <c r="AC29" s="960">
        <f t="shared" si="14"/>
        <v>1192.801985839953</v>
      </c>
    </row>
    <row r="30" spans="2:29" x14ac:dyDescent="0.3">
      <c r="B30" s="163" t="s">
        <v>651</v>
      </c>
      <c r="D30" s="156">
        <v>589.54899999999998</v>
      </c>
      <c r="E30" s="157">
        <v>598.78200000000004</v>
      </c>
      <c r="F30" s="157">
        <v>614.49400000000003</v>
      </c>
      <c r="G30" s="157">
        <v>622.35699999999997</v>
      </c>
      <c r="H30" s="157">
        <f>Medicaid!D25</f>
        <v>620.5</v>
      </c>
      <c r="I30" s="157">
        <f>Medicaid!E25</f>
        <v>606.20000000000005</v>
      </c>
      <c r="J30" s="157">
        <f>Medicaid!F25</f>
        <v>654.20000000000005</v>
      </c>
      <c r="K30" s="157">
        <f>Medicaid!G25</f>
        <v>690.4</v>
      </c>
      <c r="L30" s="157">
        <f>Medicaid!H25</f>
        <v>678.3</v>
      </c>
      <c r="M30" s="157">
        <f>Medicaid!I25</f>
        <v>695.9</v>
      </c>
      <c r="N30" s="157">
        <f>Medicaid!J25</f>
        <v>730.5</v>
      </c>
      <c r="O30" s="952">
        <f>Medicaid!K25</f>
        <v>740</v>
      </c>
      <c r="P30" s="678">
        <f>Medicaid!L25</f>
        <v>750.20320366762178</v>
      </c>
      <c r="Q30" s="678">
        <f>Medicaid!M25</f>
        <v>760.54709026103137</v>
      </c>
      <c r="R30" s="678">
        <f>Medicaid!N25</f>
        <v>771.03359953231575</v>
      </c>
      <c r="S30" s="678">
        <f>Medicaid!O25</f>
        <v>781.66469797908303</v>
      </c>
      <c r="T30" s="678">
        <f>Medicaid!P25</f>
        <v>784.03834709124271</v>
      </c>
      <c r="U30" s="678">
        <f>Medicaid!Q25</f>
        <v>786.4192041662568</v>
      </c>
      <c r="V30" s="678">
        <f>Medicaid!R25</f>
        <v>788.80729109225035</v>
      </c>
      <c r="W30" s="678">
        <f>Medicaid!S25</f>
        <v>791.20262982381519</v>
      </c>
      <c r="X30" s="678">
        <f>Medicaid!T25</f>
        <v>823.6164931087975</v>
      </c>
      <c r="Y30" s="678">
        <f>Medicaid!U25</f>
        <v>857.35828238069348</v>
      </c>
      <c r="Z30" s="678">
        <f>Medicaid!V25</f>
        <v>892.48239989977117</v>
      </c>
      <c r="AA30" s="678">
        <f>Medicaid!W25</f>
        <v>929.04547666942995</v>
      </c>
      <c r="AB30" s="678">
        <f>Medicaid!X25</f>
        <v>967.10646374299392</v>
      </c>
      <c r="AC30" s="678">
        <f>Medicaid!Y25</f>
        <v>1006.726727271148</v>
      </c>
    </row>
    <row r="31" spans="2:29" ht="28" customHeight="1" x14ac:dyDescent="0.35">
      <c r="B31" s="187" t="s">
        <v>652</v>
      </c>
      <c r="C31" s="141"/>
      <c r="D31" s="603">
        <f t="shared" ref="D31:O31" si="15">D29-D30</f>
        <v>142.05100000000004</v>
      </c>
      <c r="E31" s="192">
        <f t="shared" si="15"/>
        <v>142.71799999999996</v>
      </c>
      <c r="F31" s="192">
        <f t="shared" si="15"/>
        <v>144.10599999999999</v>
      </c>
      <c r="G31" s="192">
        <f t="shared" si="15"/>
        <v>145.44299999999998</v>
      </c>
      <c r="H31" s="192">
        <f t="shared" si="15"/>
        <v>146.60000000000002</v>
      </c>
      <c r="I31" s="192">
        <f t="shared" si="15"/>
        <v>149.69999999999993</v>
      </c>
      <c r="J31" s="192">
        <f t="shared" si="15"/>
        <v>149.59999999999991</v>
      </c>
      <c r="K31" s="192">
        <f t="shared" si="15"/>
        <v>151.80000000000007</v>
      </c>
      <c r="L31" s="192">
        <f t="shared" si="15"/>
        <v>152.80000000000007</v>
      </c>
      <c r="M31" s="192">
        <f t="shared" si="15"/>
        <v>154.10000000000002</v>
      </c>
      <c r="N31" s="192">
        <f t="shared" si="15"/>
        <v>155</v>
      </c>
      <c r="O31" s="956">
        <f t="shared" si="15"/>
        <v>157.39999999999998</v>
      </c>
      <c r="P31" s="339">
        <f t="shared" ref="P31:Y31" si="16">O31*(1+AVERAGE($F$32:$I$32))</f>
        <v>159.29290606014339</v>
      </c>
      <c r="Q31" s="339">
        <f t="shared" si="16"/>
        <v>161.20857637284416</v>
      </c>
      <c r="R31" s="339">
        <f t="shared" si="16"/>
        <v>163.14728470297916</v>
      </c>
      <c r="S31" s="339">
        <f t="shared" si="16"/>
        <v>165.10930810774545</v>
      </c>
      <c r="T31" s="339">
        <f t="shared" si="16"/>
        <v>167.09492697625396</v>
      </c>
      <c r="U31" s="339">
        <f t="shared" si="16"/>
        <v>169.10442506959942</v>
      </c>
      <c r="V31" s="339">
        <f t="shared" si="16"/>
        <v>171.13808956141207</v>
      </c>
      <c r="W31" s="339">
        <f t="shared" si="16"/>
        <v>173.19621107889725</v>
      </c>
      <c r="X31" s="339">
        <f t="shared" si="16"/>
        <v>175.27908374436817</v>
      </c>
      <c r="Y31" s="339">
        <f t="shared" si="16"/>
        <v>177.38700521727858</v>
      </c>
      <c r="Z31" s="339">
        <f t="shared" ref="Z31" si="17">Y31*(1+AVERAGE($F$32:$I$32))</f>
        <v>179.52027673676068</v>
      </c>
      <c r="AA31" s="339">
        <f t="shared" ref="AA31" si="18">Z31*(1+AVERAGE($F$32:$I$32))</f>
        <v>181.6792031646745</v>
      </c>
      <c r="AB31" s="339">
        <f t="shared" ref="AB31" si="19">AA31*(1+AVERAGE($F$32:$I$32))</f>
        <v>183.86409302917539</v>
      </c>
      <c r="AC31" s="340">
        <f t="shared" ref="AC31" si="20">AB31*(1+AVERAGE($F$32:$I$32))</f>
        <v>186.075258568805</v>
      </c>
    </row>
    <row r="32" spans="2:29" ht="19" customHeight="1" x14ac:dyDescent="0.3">
      <c r="B32" s="189" t="s">
        <v>629</v>
      </c>
      <c r="D32" s="138"/>
      <c r="E32" s="186">
        <f t="shared" ref="E32:M32" si="21">E31/D31-1</f>
        <v>4.6954966878087756E-3</v>
      </c>
      <c r="F32" s="186">
        <f t="shared" si="21"/>
        <v>9.7254726103226385E-3</v>
      </c>
      <c r="G32" s="186">
        <f t="shared" si="21"/>
        <v>9.2778926623457991E-3</v>
      </c>
      <c r="H32" s="186">
        <f t="shared" si="21"/>
        <v>7.9550064286355582E-3</v>
      </c>
      <c r="I32" s="186">
        <f t="shared" si="21"/>
        <v>2.1145975443382703E-2</v>
      </c>
      <c r="J32" s="186">
        <f t="shared" si="21"/>
        <v>-6.6800267201083674E-4</v>
      </c>
      <c r="K32" s="186">
        <f t="shared" si="21"/>
        <v>1.4705882352942234E-2</v>
      </c>
      <c r="L32" s="186">
        <f t="shared" si="21"/>
        <v>6.5876152832673451E-3</v>
      </c>
      <c r="M32" s="186">
        <f t="shared" si="21"/>
        <v>8.5078534031410857E-3</v>
      </c>
      <c r="N32" s="186">
        <f t="shared" ref="N32" si="22">N31/M31-1</f>
        <v>5.8403634003891813E-3</v>
      </c>
      <c r="O32" s="169">
        <f t="shared" ref="O32" si="23">O31/N31-1</f>
        <v>1.5483870967741842E-2</v>
      </c>
      <c r="P32" s="341">
        <f t="shared" ref="P32" si="24">P31/O31-1</f>
        <v>1.2026086786171675E-2</v>
      </c>
      <c r="Q32" s="341">
        <f t="shared" ref="Q32" si="25">Q31/P31-1</f>
        <v>1.2026086786171675E-2</v>
      </c>
      <c r="R32" s="341">
        <f t="shared" ref="R32" si="26">R31/Q31-1</f>
        <v>1.2026086786171675E-2</v>
      </c>
      <c r="S32" s="341">
        <f t="shared" ref="S32" si="27">S31/R31-1</f>
        <v>1.2026086786171675E-2</v>
      </c>
      <c r="T32" s="341">
        <f t="shared" ref="T32" si="28">T31/S31-1</f>
        <v>1.2026086786171675E-2</v>
      </c>
      <c r="U32" s="341">
        <f t="shared" ref="U32" si="29">U31/T31-1</f>
        <v>1.2026086786171675E-2</v>
      </c>
      <c r="V32" s="341">
        <f t="shared" ref="V32" si="30">V31/U31-1</f>
        <v>1.2026086786171675E-2</v>
      </c>
      <c r="W32" s="341">
        <f t="shared" ref="W32" si="31">W31/V31-1</f>
        <v>1.2026086786171675E-2</v>
      </c>
      <c r="X32" s="341">
        <f t="shared" ref="X32" si="32">X31/W31-1</f>
        <v>1.2026086786171675E-2</v>
      </c>
      <c r="Y32" s="341">
        <f t="shared" ref="Y32" si="33">Y31/X31-1</f>
        <v>1.2026086786171675E-2</v>
      </c>
      <c r="Z32" s="341">
        <f t="shared" ref="Z32" si="34">Z31/Y31-1</f>
        <v>1.2026086786171675E-2</v>
      </c>
      <c r="AA32" s="341">
        <f t="shared" ref="AA32" si="35">AA31/Z31-1</f>
        <v>1.2026086786171675E-2</v>
      </c>
      <c r="AB32" s="341">
        <f t="shared" ref="AB32" si="36">AB31/AA31-1</f>
        <v>1.2026086786171675E-2</v>
      </c>
      <c r="AC32" s="636">
        <f t="shared" ref="AC32" si="37">AC31/AB31-1</f>
        <v>1.2026086786171675E-2</v>
      </c>
    </row>
    <row r="33" spans="2:29" x14ac:dyDescent="0.3">
      <c r="B33" s="1156"/>
      <c r="C33" s="1156"/>
      <c r="D33" s="181"/>
      <c r="E33" s="181"/>
      <c r="F33" s="181"/>
      <c r="G33" s="181"/>
      <c r="H33" s="43"/>
      <c r="I33" s="43"/>
      <c r="J33" s="43"/>
      <c r="K33" s="43"/>
      <c r="L33" s="43"/>
      <c r="M33" s="43"/>
      <c r="N33" s="43"/>
      <c r="O33" s="43"/>
      <c r="P33" s="43"/>
      <c r="Q33" s="43"/>
      <c r="R33" s="43"/>
      <c r="S33" s="43"/>
      <c r="T33" s="43"/>
      <c r="U33" s="43"/>
      <c r="V33" s="43"/>
      <c r="W33" s="43"/>
      <c r="X33" s="43"/>
      <c r="Y33" s="43"/>
    </row>
    <row r="34" spans="2:29" x14ac:dyDescent="0.3">
      <c r="B34" s="52" t="s">
        <v>484</v>
      </c>
    </row>
    <row r="35" spans="2:29" ht="23.15" customHeight="1" x14ac:dyDescent="0.3">
      <c r="B35" s="346" t="s">
        <v>653</v>
      </c>
      <c r="C35" s="342">
        <v>2020</v>
      </c>
      <c r="D35" s="342">
        <v>2021</v>
      </c>
      <c r="E35" s="342">
        <v>2022</v>
      </c>
      <c r="F35" s="342">
        <v>2023</v>
      </c>
      <c r="G35" s="343">
        <v>2024</v>
      </c>
    </row>
    <row r="36" spans="2:29" ht="23.15" customHeight="1" x14ac:dyDescent="0.3">
      <c r="B36" s="347" t="s">
        <v>654</v>
      </c>
      <c r="C36" s="344">
        <v>1090</v>
      </c>
      <c r="D36" s="344">
        <v>1129</v>
      </c>
      <c r="E36" s="344">
        <v>1203</v>
      </c>
      <c r="F36" s="344">
        <v>1281</v>
      </c>
      <c r="G36" s="345">
        <v>1358</v>
      </c>
    </row>
    <row r="37" spans="2:29" x14ac:dyDescent="0.3">
      <c r="B37" s="347" t="s">
        <v>655</v>
      </c>
      <c r="C37" s="344">
        <v>300.51900000000001</v>
      </c>
      <c r="D37" s="344">
        <v>300.82</v>
      </c>
      <c r="E37" s="344">
        <v>307.28300000000002</v>
      </c>
      <c r="F37" s="344">
        <v>320.10899999999998</v>
      </c>
      <c r="G37" s="345">
        <v>329.596</v>
      </c>
    </row>
    <row r="38" spans="2:29" x14ac:dyDescent="0.3">
      <c r="B38" s="347" t="s">
        <v>656</v>
      </c>
      <c r="C38" s="344">
        <v>124.39699999999999</v>
      </c>
      <c r="D38" s="344">
        <v>129.75700000000001</v>
      </c>
      <c r="E38" s="344">
        <v>133.31899999999999</v>
      </c>
      <c r="F38" s="344">
        <v>138.328</v>
      </c>
      <c r="G38" s="345">
        <v>144.351</v>
      </c>
    </row>
    <row r="39" spans="2:29" x14ac:dyDescent="0.3">
      <c r="B39" s="347" t="s">
        <v>657</v>
      </c>
      <c r="C39" s="344">
        <v>1.976</v>
      </c>
      <c r="D39" s="344">
        <v>3.512</v>
      </c>
      <c r="E39" s="344">
        <v>4.5960000000000001</v>
      </c>
      <c r="F39" s="344">
        <v>5.24</v>
      </c>
      <c r="G39" s="345">
        <v>5.3659999999999997</v>
      </c>
    </row>
    <row r="40" spans="2:29" x14ac:dyDescent="0.3">
      <c r="B40" s="44"/>
      <c r="G40" s="40"/>
    </row>
    <row r="41" spans="2:29" x14ac:dyDescent="0.3">
      <c r="B41" s="44" t="s">
        <v>658</v>
      </c>
      <c r="C41" s="90">
        <f>SUM(C36:C39)</f>
        <v>1516.8920000000001</v>
      </c>
      <c r="D41" s="90">
        <f t="shared" ref="D41:G41" si="38">SUM(D36:D39)</f>
        <v>1563.0889999999999</v>
      </c>
      <c r="E41" s="90">
        <f t="shared" si="38"/>
        <v>1648.1979999999999</v>
      </c>
      <c r="F41" s="90">
        <f t="shared" si="38"/>
        <v>1744.6769999999999</v>
      </c>
      <c r="G41" s="91">
        <f t="shared" si="38"/>
        <v>1837.3130000000001</v>
      </c>
    </row>
    <row r="42" spans="2:29" x14ac:dyDescent="0.3">
      <c r="B42" s="349" t="s">
        <v>659</v>
      </c>
      <c r="C42" s="42"/>
      <c r="D42" s="279">
        <f>D41/C41</f>
        <v>1.0304550356914004</v>
      </c>
      <c r="E42" s="279">
        <f>E41/D41</f>
        <v>1.0544492348164436</v>
      </c>
      <c r="F42" s="279">
        <f>F41/E41</f>
        <v>1.0585360496736436</v>
      </c>
      <c r="G42" s="338">
        <f>G41/F41</f>
        <v>1.0530963611029436</v>
      </c>
    </row>
    <row r="46" spans="2:29" x14ac:dyDescent="0.3">
      <c r="B46" s="52" t="s">
        <v>497</v>
      </c>
    </row>
    <row r="47" spans="2:29" x14ac:dyDescent="0.3">
      <c r="B47" s="1060" t="s">
        <v>660</v>
      </c>
      <c r="C47" s="1061"/>
      <c r="D47" s="1067" t="s">
        <v>401</v>
      </c>
      <c r="E47" s="1068"/>
      <c r="F47" s="1068"/>
      <c r="G47" s="1068"/>
      <c r="H47" s="1068"/>
      <c r="I47" s="1068"/>
      <c r="J47" s="1068"/>
      <c r="K47" s="1068"/>
      <c r="L47" s="1068"/>
      <c r="M47" s="1068"/>
      <c r="N47" s="1068"/>
      <c r="O47" s="1069"/>
      <c r="P47" s="1096" t="s">
        <v>402</v>
      </c>
      <c r="Q47" s="1097"/>
      <c r="R47" s="1097"/>
      <c r="S47" s="1097"/>
      <c r="T47" s="1097"/>
      <c r="U47" s="1097"/>
      <c r="V47" s="1097"/>
      <c r="W47" s="1097"/>
      <c r="X47" s="1097"/>
      <c r="Y47" s="1097"/>
      <c r="Z47" s="1097"/>
      <c r="AA47" s="1097"/>
      <c r="AB47" s="1097"/>
      <c r="AC47" s="1098"/>
    </row>
    <row r="48" spans="2:29" x14ac:dyDescent="0.3">
      <c r="B48" s="1062"/>
      <c r="C48" s="1121"/>
      <c r="D48" s="537">
        <v>2018</v>
      </c>
      <c r="E48" s="1057">
        <v>2019</v>
      </c>
      <c r="F48" s="1058"/>
      <c r="G48" s="1058"/>
      <c r="H48" s="1059"/>
      <c r="I48" s="1057">
        <v>2020</v>
      </c>
      <c r="J48" s="1058"/>
      <c r="K48" s="1058"/>
      <c r="L48" s="1059"/>
      <c r="M48" s="1057">
        <v>2021</v>
      </c>
      <c r="N48" s="1058"/>
      <c r="O48" s="1059"/>
      <c r="P48" s="570">
        <v>2021</v>
      </c>
      <c r="Q48" s="1064">
        <v>2022</v>
      </c>
      <c r="R48" s="1065"/>
      <c r="S48" s="1065"/>
      <c r="T48" s="1066"/>
      <c r="U48" s="1064">
        <v>2023</v>
      </c>
      <c r="V48" s="1065"/>
      <c r="W48" s="1065"/>
      <c r="X48" s="1065"/>
      <c r="Y48" s="1064">
        <v>2024</v>
      </c>
      <c r="Z48" s="1065"/>
      <c r="AA48" s="1065"/>
      <c r="AB48" s="1066"/>
      <c r="AC48" s="334">
        <v>2025</v>
      </c>
    </row>
    <row r="49" spans="2:29" x14ac:dyDescent="0.3">
      <c r="B49" s="1062"/>
      <c r="C49" s="1121"/>
      <c r="D49" s="167" t="s">
        <v>403</v>
      </c>
      <c r="E49" s="167" t="s">
        <v>404</v>
      </c>
      <c r="F49" s="148" t="s">
        <v>405</v>
      </c>
      <c r="G49" s="148" t="s">
        <v>290</v>
      </c>
      <c r="H49" s="155" t="s">
        <v>403</v>
      </c>
      <c r="I49" s="149" t="s">
        <v>404</v>
      </c>
      <c r="J49" s="149" t="s">
        <v>405</v>
      </c>
      <c r="K49" s="149" t="s">
        <v>290</v>
      </c>
      <c r="L49" s="149" t="s">
        <v>403</v>
      </c>
      <c r="M49" s="162" t="s">
        <v>404</v>
      </c>
      <c r="N49" s="149" t="s">
        <v>405</v>
      </c>
      <c r="O49" s="155" t="s">
        <v>290</v>
      </c>
      <c r="P49" s="431" t="s">
        <v>403</v>
      </c>
      <c r="Q49" s="429" t="s">
        <v>404</v>
      </c>
      <c r="R49" s="430" t="s">
        <v>405</v>
      </c>
      <c r="S49" s="430" t="s">
        <v>290</v>
      </c>
      <c r="T49" s="430" t="s">
        <v>403</v>
      </c>
      <c r="U49" s="429" t="s">
        <v>404</v>
      </c>
      <c r="V49" s="430" t="s">
        <v>405</v>
      </c>
      <c r="W49" s="430" t="s">
        <v>290</v>
      </c>
      <c r="X49" s="430" t="s">
        <v>403</v>
      </c>
      <c r="Y49" s="429" t="s">
        <v>404</v>
      </c>
      <c r="Z49" s="394" t="s">
        <v>405</v>
      </c>
      <c r="AA49" s="430" t="s">
        <v>290</v>
      </c>
      <c r="AB49" s="431" t="s">
        <v>403</v>
      </c>
      <c r="AC49" s="71" t="s">
        <v>404</v>
      </c>
    </row>
    <row r="50" spans="2:29" x14ac:dyDescent="0.3">
      <c r="B50" s="41" t="s">
        <v>661</v>
      </c>
      <c r="D50" s="460">
        <f>SUM(D13:D19)</f>
        <v>811.30000000000007</v>
      </c>
      <c r="E50" s="460">
        <f t="shared" ref="E50:AC50" si="39">SUM(E13:E19)</f>
        <v>826.69999999999993</v>
      </c>
      <c r="F50" s="460">
        <f t="shared" si="39"/>
        <v>838.9</v>
      </c>
      <c r="G50" s="460">
        <f>SUM(G13:G19)</f>
        <v>849.5</v>
      </c>
      <c r="H50" s="460">
        <f t="shared" si="39"/>
        <v>858.09999999999991</v>
      </c>
      <c r="I50" s="460">
        <f t="shared" si="39"/>
        <v>880.58175000000006</v>
      </c>
      <c r="J50" s="460">
        <f t="shared" si="39"/>
        <v>3186.4587499999998</v>
      </c>
      <c r="K50" s="460">
        <f t="shared" si="39"/>
        <v>1762.8267499999999</v>
      </c>
      <c r="L50" s="460">
        <f t="shared" si="39"/>
        <v>1239.7507500000002</v>
      </c>
      <c r="M50" s="460">
        <f t="shared" si="39"/>
        <v>3456.7667500000002</v>
      </c>
      <c r="N50" s="460">
        <f t="shared" si="39"/>
        <v>1745.7527499999999</v>
      </c>
      <c r="O50" s="460">
        <f t="shared" si="39"/>
        <v>1493.7077500000003</v>
      </c>
      <c r="P50" s="460">
        <f t="shared" si="39"/>
        <v>1191.2142427068827</v>
      </c>
      <c r="Q50" s="460">
        <f t="shared" si="39"/>
        <v>975.15577283416451</v>
      </c>
      <c r="R50" s="460">
        <f t="shared" si="39"/>
        <v>983.90191194734359</v>
      </c>
      <c r="S50" s="460">
        <f t="shared" si="39"/>
        <v>923.05335448241499</v>
      </c>
      <c r="T50" s="460">
        <f t="shared" si="39"/>
        <v>934.08178873662291</v>
      </c>
      <c r="U50" s="460">
        <f t="shared" si="39"/>
        <v>950.88286603830056</v>
      </c>
      <c r="V50" s="460">
        <f t="shared" si="39"/>
        <v>968.21233500649248</v>
      </c>
      <c r="W50" s="460">
        <f t="shared" si="39"/>
        <v>985.86501634704211</v>
      </c>
      <c r="X50" s="460">
        <f t="shared" si="39"/>
        <v>1003.8608779114996</v>
      </c>
      <c r="Y50" s="460">
        <f t="shared" si="39"/>
        <v>1022.0342282020255</v>
      </c>
      <c r="Z50" s="460">
        <f t="shared" si="39"/>
        <v>1040.4408838400068</v>
      </c>
      <c r="AA50" s="460">
        <f t="shared" si="39"/>
        <v>1059.0868205937415</v>
      </c>
      <c r="AB50" s="460">
        <f t="shared" si="39"/>
        <v>1078.1539358883974</v>
      </c>
      <c r="AC50" s="460">
        <f t="shared" si="39"/>
        <v>1097.5499729076209</v>
      </c>
    </row>
    <row r="51" spans="2:29" x14ac:dyDescent="0.3">
      <c r="B51" s="41" t="s">
        <v>662</v>
      </c>
      <c r="D51" s="156">
        <f t="shared" ref="D51:Y51" si="40">D12</f>
        <v>2222.3000000000002</v>
      </c>
      <c r="E51" s="157">
        <f t="shared" si="40"/>
        <v>2298.1</v>
      </c>
      <c r="F51" s="157">
        <f t="shared" si="40"/>
        <v>2315.5</v>
      </c>
      <c r="G51" s="157">
        <f t="shared" si="40"/>
        <v>2333.1999999999998</v>
      </c>
      <c r="H51" s="157">
        <f t="shared" si="40"/>
        <v>2350.8000000000002</v>
      </c>
      <c r="I51" s="157">
        <f t="shared" si="40"/>
        <v>2417.9</v>
      </c>
      <c r="J51" s="157">
        <f t="shared" si="40"/>
        <v>4766.7</v>
      </c>
      <c r="K51" s="157">
        <f t="shared" si="40"/>
        <v>3468.3</v>
      </c>
      <c r="L51" s="157">
        <f t="shared" si="40"/>
        <v>2839.1</v>
      </c>
      <c r="M51" s="157">
        <f t="shared" si="40"/>
        <v>5070.6000000000004</v>
      </c>
      <c r="N51" s="157">
        <f t="shared" si="40"/>
        <v>3372.3</v>
      </c>
      <c r="O51" s="961">
        <f t="shared" si="40"/>
        <v>3141.4</v>
      </c>
      <c r="P51" s="159">
        <f t="shared" si="40"/>
        <v>2784.5468827068835</v>
      </c>
      <c r="Q51" s="159">
        <f t="shared" si="40"/>
        <v>2803.6060835739891</v>
      </c>
      <c r="R51" s="159">
        <f t="shared" si="40"/>
        <v>2819.4522226871677</v>
      </c>
      <c r="S51" s="159">
        <f t="shared" si="40"/>
        <v>2765.7036652222396</v>
      </c>
      <c r="T51" s="159">
        <f t="shared" si="40"/>
        <v>2724.7720994764477</v>
      </c>
      <c r="U51" s="159">
        <f t="shared" si="40"/>
        <v>2823.0609762572331</v>
      </c>
      <c r="V51" s="159">
        <f t="shared" si="40"/>
        <v>2847.490445225425</v>
      </c>
      <c r="W51" s="159">
        <f t="shared" si="40"/>
        <v>2872.2431265659752</v>
      </c>
      <c r="X51" s="159">
        <f t="shared" si="40"/>
        <v>2889.6239881304327</v>
      </c>
      <c r="Y51" s="159">
        <f t="shared" si="40"/>
        <v>2985.1908426296118</v>
      </c>
      <c r="Z51" s="159">
        <f t="shared" ref="Z51:AC51" si="41">Z12</f>
        <v>3010.6974982675933</v>
      </c>
      <c r="AA51" s="159">
        <f t="shared" si="41"/>
        <v>3036.4434350213282</v>
      </c>
      <c r="AB51" s="159">
        <f t="shared" si="41"/>
        <v>3060.9115503159842</v>
      </c>
      <c r="AC51" s="638">
        <f t="shared" si="41"/>
        <v>3087.4075873352076</v>
      </c>
    </row>
    <row r="52" spans="2:29" x14ac:dyDescent="0.3">
      <c r="B52" s="41" t="s">
        <v>663</v>
      </c>
      <c r="D52" s="156">
        <f>D51-D50</f>
        <v>1411</v>
      </c>
      <c r="E52" s="157">
        <f t="shared" ref="E52:N52" si="42">E51-E50</f>
        <v>1471.4</v>
      </c>
      <c r="F52" s="157">
        <f t="shared" si="42"/>
        <v>1476.6</v>
      </c>
      <c r="G52" s="157">
        <f t="shared" si="42"/>
        <v>1483.6999999999998</v>
      </c>
      <c r="H52" s="157">
        <f t="shared" si="42"/>
        <v>1492.7000000000003</v>
      </c>
      <c r="I52" s="157">
        <f t="shared" si="42"/>
        <v>1537.31825</v>
      </c>
      <c r="J52" s="157">
        <f t="shared" si="42"/>
        <v>1580.24125</v>
      </c>
      <c r="K52" s="157">
        <f t="shared" si="42"/>
        <v>1705.4732500000002</v>
      </c>
      <c r="L52" s="157">
        <f t="shared" si="42"/>
        <v>1599.3492499999998</v>
      </c>
      <c r="M52" s="157">
        <f t="shared" si="42"/>
        <v>1613.8332500000001</v>
      </c>
      <c r="N52" s="157">
        <f t="shared" si="42"/>
        <v>1626.5472500000003</v>
      </c>
      <c r="O52" s="961">
        <f>O51-O50</f>
        <v>1647.6922499999998</v>
      </c>
      <c r="P52" s="430"/>
      <c r="Q52" s="430"/>
      <c r="R52" s="430"/>
      <c r="S52" s="430"/>
      <c r="T52" s="430"/>
      <c r="U52" s="430"/>
      <c r="V52" s="430"/>
      <c r="W52" s="430"/>
      <c r="X52" s="430"/>
      <c r="Y52" s="430"/>
      <c r="Z52" s="430"/>
      <c r="AA52" s="430"/>
      <c r="AB52" s="430"/>
      <c r="AC52" s="431"/>
    </row>
    <row r="53" spans="2:29" x14ac:dyDescent="0.3">
      <c r="B53" s="41" t="s">
        <v>1256</v>
      </c>
      <c r="D53" s="407">
        <f>D51-D13 -D14 -D19</f>
        <v>1411.0000000000002</v>
      </c>
      <c r="E53" s="407">
        <f t="shared" ref="E53:I53" si="43">E51-E13 -E14 -E19</f>
        <v>1471.3999999999999</v>
      </c>
      <c r="F53" s="407">
        <f t="shared" si="43"/>
        <v>1476.6</v>
      </c>
      <c r="G53" s="407">
        <f t="shared" si="43"/>
        <v>1483.6999999999998</v>
      </c>
      <c r="H53" s="407">
        <f t="shared" si="43"/>
        <v>1492.7</v>
      </c>
      <c r="I53" s="407">
        <f t="shared" si="43"/>
        <v>1539.9</v>
      </c>
      <c r="J53" s="408">
        <f>I53+($H$53-$E$53)/3</f>
        <v>1547.0000000000002</v>
      </c>
      <c r="K53" s="408">
        <f t="shared" ref="K53" si="44">J53+($H$53-$E$53)/3</f>
        <v>1554.1000000000004</v>
      </c>
      <c r="L53" s="408">
        <f>K53+($H$53-$E$53)/3</f>
        <v>1561.2000000000005</v>
      </c>
      <c r="M53" s="601">
        <f>L53+($H$53-$E$53)/3 +(M54-L54)</f>
        <v>1665.3000000000006</v>
      </c>
      <c r="N53" s="408">
        <f>M53+($H$53-$E$53)/3</f>
        <v>1672.4000000000008</v>
      </c>
      <c r="O53" s="408">
        <f>N53+($H$53-$E$53)/3</f>
        <v>1679.5000000000009</v>
      </c>
      <c r="P53" s="430"/>
      <c r="Q53" s="430"/>
      <c r="R53" s="430"/>
      <c r="S53" s="430"/>
      <c r="T53" s="430"/>
      <c r="U53" s="430"/>
      <c r="V53" s="430"/>
      <c r="W53" s="430"/>
      <c r="X53" s="430"/>
      <c r="Y53" s="430"/>
      <c r="Z53" s="430"/>
      <c r="AA53" s="430"/>
      <c r="AB53" s="430"/>
      <c r="AC53" s="431"/>
    </row>
    <row r="54" spans="2:29" x14ac:dyDescent="0.3">
      <c r="B54" s="163" t="s">
        <v>664</v>
      </c>
      <c r="C54" s="34" t="s">
        <v>665</v>
      </c>
      <c r="D54" s="602">
        <f>'Haver Pivoted'!GO81</f>
        <v>9037.2000000000007</v>
      </c>
      <c r="E54" s="599">
        <f>'Haver Pivoted'!GP81</f>
        <v>9237.7000000000007</v>
      </c>
      <c r="F54" s="599">
        <f>'Haver Pivoted'!GQ81</f>
        <v>9287.2000000000007</v>
      </c>
      <c r="G54" s="599">
        <f>'Haver Pivoted'!GR81</f>
        <v>9338.7000000000007</v>
      </c>
      <c r="H54" s="599">
        <f>'Haver Pivoted'!GS81</f>
        <v>9477.6</v>
      </c>
      <c r="I54" s="599">
        <f>'Haver Pivoted'!GT81</f>
        <v>9613.2999999999993</v>
      </c>
      <c r="J54" s="599">
        <f>'Haver Pivoted'!GU81</f>
        <v>8985.9</v>
      </c>
      <c r="K54" s="599">
        <f>'Haver Pivoted'!GV81</f>
        <v>9417.7999999999993</v>
      </c>
      <c r="L54" s="599">
        <f>'Haver Pivoted'!GW81</f>
        <v>9791.1</v>
      </c>
      <c r="M54" s="599">
        <f>'Haver Pivoted'!GX81</f>
        <v>9888.1</v>
      </c>
      <c r="N54" s="599">
        <f>'Haver Pivoted'!GY81</f>
        <v>10087.799999999999</v>
      </c>
      <c r="O54" s="962">
        <f>'Haver Pivoted'!GZ81</f>
        <v>10327.700000000001</v>
      </c>
      <c r="P54" s="430"/>
      <c r="Q54" s="430"/>
      <c r="R54" s="430"/>
      <c r="S54" s="430"/>
      <c r="T54" s="430"/>
      <c r="U54" s="430"/>
      <c r="V54" s="430"/>
      <c r="W54" s="430"/>
      <c r="X54" s="430"/>
      <c r="Y54" s="430"/>
      <c r="Z54" s="430"/>
      <c r="AA54" s="430"/>
      <c r="AB54" s="430"/>
      <c r="AC54" s="431"/>
    </row>
    <row r="55" spans="2:29" x14ac:dyDescent="0.3">
      <c r="B55" s="138" t="s">
        <v>1236</v>
      </c>
      <c r="C55" s="42"/>
      <c r="D55" s="274">
        <f>D52-D53</f>
        <v>0</v>
      </c>
      <c r="E55" s="273">
        <f t="shared" ref="E55:N55" si="45">E52-E53</f>
        <v>0</v>
      </c>
      <c r="F55" s="273">
        <f t="shared" si="45"/>
        <v>0</v>
      </c>
      <c r="G55" s="273">
        <f t="shared" si="45"/>
        <v>0</v>
      </c>
      <c r="H55" s="273">
        <f t="shared" si="45"/>
        <v>0</v>
      </c>
      <c r="I55" s="273">
        <f t="shared" si="45"/>
        <v>-2.5817500000000564</v>
      </c>
      <c r="J55" s="273">
        <f t="shared" si="45"/>
        <v>33.241249999999809</v>
      </c>
      <c r="K55" s="273">
        <f t="shared" si="45"/>
        <v>151.37324999999987</v>
      </c>
      <c r="L55" s="273">
        <f t="shared" si="45"/>
        <v>38.149249999999256</v>
      </c>
      <c r="M55" s="273">
        <f>M52-M53</f>
        <v>-51.466750000000502</v>
      </c>
      <c r="N55" s="273">
        <f t="shared" si="45"/>
        <v>-45.852750000000469</v>
      </c>
      <c r="O55" s="771">
        <f>O52-O53</f>
        <v>-31.807750000001079</v>
      </c>
      <c r="P55" s="644">
        <v>30</v>
      </c>
      <c r="Q55" s="644">
        <v>30</v>
      </c>
      <c r="R55" s="644">
        <v>25</v>
      </c>
      <c r="S55" s="644">
        <v>20</v>
      </c>
      <c r="T55" s="644">
        <v>15</v>
      </c>
      <c r="U55" s="59">
        <v>10</v>
      </c>
      <c r="V55" s="59">
        <v>5</v>
      </c>
      <c r="W55" s="59"/>
      <c r="X55" s="59"/>
      <c r="Y55" s="59"/>
      <c r="Z55" s="59"/>
      <c r="AA55" s="59"/>
      <c r="AB55" s="59"/>
      <c r="AC55" s="60"/>
    </row>
    <row r="56" spans="2:29" ht="39.65" customHeight="1" x14ac:dyDescent="0.3">
      <c r="B56" s="1155" t="s">
        <v>666</v>
      </c>
      <c r="C56" s="1155"/>
      <c r="D56" s="1074"/>
      <c r="E56" s="1074"/>
      <c r="F56" s="1074"/>
      <c r="G56" s="1074"/>
      <c r="H56" s="1074"/>
      <c r="I56" s="1074"/>
      <c r="J56" s="1074"/>
      <c r="K56" s="1074"/>
      <c r="L56" s="1074"/>
      <c r="M56" s="1074"/>
      <c r="N56" s="1074"/>
      <c r="O56" s="1074"/>
      <c r="P56" s="1155"/>
      <c r="Q56" s="1155"/>
      <c r="R56" s="1155"/>
      <c r="S56" s="1155"/>
      <c r="T56" s="1155"/>
      <c r="U56" s="1155"/>
      <c r="V56" s="1155"/>
      <c r="W56" s="1155"/>
      <c r="X56" s="1155"/>
      <c r="Y56" s="1155"/>
      <c r="Z56" s="1155"/>
      <c r="AA56" s="1155"/>
      <c r="AB56" s="1155"/>
      <c r="AC56" s="1155"/>
    </row>
    <row r="57" spans="2:29" x14ac:dyDescent="0.3">
      <c r="D57" s="43"/>
      <c r="E57" s="43"/>
      <c r="F57" s="43"/>
      <c r="G57" s="43"/>
      <c r="H57" s="43"/>
      <c r="I57" s="43"/>
      <c r="J57" s="43"/>
      <c r="K57" s="43"/>
      <c r="L57" s="43"/>
      <c r="M57" s="43"/>
      <c r="N57" s="43"/>
      <c r="O57" s="43"/>
      <c r="P57" s="43"/>
      <c r="Q57" s="43"/>
      <c r="R57" s="43"/>
      <c r="S57" s="43"/>
      <c r="T57" s="43"/>
      <c r="U57" s="43"/>
      <c r="V57" s="43"/>
      <c r="W57" s="43"/>
      <c r="X57" s="43"/>
      <c r="Y57" s="43"/>
    </row>
    <row r="58" spans="2:29" x14ac:dyDescent="0.3">
      <c r="B58" s="52" t="s">
        <v>507</v>
      </c>
      <c r="D58" s="43"/>
      <c r="E58" s="43"/>
      <c r="F58" s="43"/>
      <c r="G58" s="43"/>
      <c r="H58" s="43"/>
      <c r="I58" s="43"/>
      <c r="J58" s="43"/>
      <c r="K58" s="43"/>
      <c r="L58" s="43"/>
      <c r="M58" s="43"/>
      <c r="N58" s="43"/>
      <c r="O58" s="43"/>
      <c r="P58" s="43"/>
      <c r="Q58" s="43"/>
      <c r="R58" s="43"/>
      <c r="S58" s="43"/>
      <c r="T58" s="43"/>
      <c r="U58" s="43"/>
      <c r="V58" s="43"/>
      <c r="W58" s="43"/>
      <c r="X58" s="43"/>
      <c r="Y58" s="43"/>
    </row>
    <row r="59" spans="2:29" ht="45.65" customHeight="1" x14ac:dyDescent="0.3">
      <c r="B59" s="1154" t="s">
        <v>667</v>
      </c>
      <c r="C59" s="1154"/>
      <c r="D59" s="1154"/>
      <c r="E59" s="1154"/>
      <c r="F59" s="1154"/>
      <c r="G59" s="1154"/>
      <c r="H59" s="1154"/>
      <c r="I59" s="1154"/>
      <c r="J59" s="1154"/>
      <c r="K59" s="1154"/>
      <c r="L59" s="1154"/>
      <c r="M59" s="1154"/>
      <c r="N59" s="1154"/>
      <c r="O59" s="1154"/>
      <c r="P59" s="1154"/>
      <c r="Q59" s="1154"/>
      <c r="R59" s="1154"/>
      <c r="S59" s="1154"/>
      <c r="T59" s="1154"/>
      <c r="U59" s="1154"/>
      <c r="V59" s="1154"/>
      <c r="W59" s="1154"/>
      <c r="X59" s="1154"/>
      <c r="Y59" s="1154"/>
      <c r="Z59" s="1154"/>
      <c r="AA59" s="1154"/>
      <c r="AB59" s="1154"/>
      <c r="AC59" s="1154"/>
    </row>
    <row r="60" spans="2:29" ht="14.5" customHeight="1" x14ac:dyDescent="0.3">
      <c r="B60" s="1062" t="s">
        <v>668</v>
      </c>
      <c r="C60" s="1063"/>
      <c r="D60" s="1067" t="s">
        <v>401</v>
      </c>
      <c r="E60" s="1068"/>
      <c r="F60" s="1068"/>
      <c r="G60" s="1068"/>
      <c r="H60" s="1068"/>
      <c r="I60" s="1068"/>
      <c r="J60" s="1068"/>
      <c r="K60" s="1068"/>
      <c r="L60" s="1068"/>
      <c r="M60" s="1068"/>
      <c r="N60" s="1068"/>
      <c r="O60" s="1069"/>
      <c r="P60" s="1096" t="s">
        <v>402</v>
      </c>
      <c r="Q60" s="1097"/>
      <c r="R60" s="1097"/>
      <c r="S60" s="1097"/>
      <c r="T60" s="1097"/>
      <c r="U60" s="1097"/>
      <c r="V60" s="1097"/>
      <c r="W60" s="1097"/>
      <c r="X60" s="1097"/>
      <c r="Y60" s="1097"/>
      <c r="Z60" s="1097"/>
      <c r="AA60" s="1097"/>
      <c r="AB60" s="1097"/>
      <c r="AC60" s="1098"/>
    </row>
    <row r="61" spans="2:29" x14ac:dyDescent="0.3">
      <c r="B61" s="1062"/>
      <c r="C61" s="1063"/>
      <c r="D61" s="537">
        <v>2018</v>
      </c>
      <c r="E61" s="1057">
        <v>2019</v>
      </c>
      <c r="F61" s="1058"/>
      <c r="G61" s="1058"/>
      <c r="H61" s="1059"/>
      <c r="I61" s="1057">
        <v>2020</v>
      </c>
      <c r="J61" s="1058"/>
      <c r="K61" s="1058"/>
      <c r="L61" s="1059"/>
      <c r="M61" s="1057">
        <v>2021</v>
      </c>
      <c r="N61" s="1058"/>
      <c r="O61" s="1059"/>
      <c r="P61" s="570">
        <v>2021</v>
      </c>
      <c r="Q61" s="1064">
        <v>2022</v>
      </c>
      <c r="R61" s="1065"/>
      <c r="S61" s="1065"/>
      <c r="T61" s="1066"/>
      <c r="U61" s="1064">
        <v>2023</v>
      </c>
      <c r="V61" s="1065"/>
      <c r="W61" s="1065"/>
      <c r="X61" s="1065"/>
      <c r="Y61" s="1064">
        <v>2024</v>
      </c>
      <c r="Z61" s="1065"/>
      <c r="AA61" s="1065"/>
      <c r="AB61" s="1066"/>
      <c r="AC61" s="334">
        <v>2025</v>
      </c>
    </row>
    <row r="62" spans="2:29" x14ac:dyDescent="0.3">
      <c r="B62" s="1100"/>
      <c r="C62" s="1101"/>
      <c r="D62" s="167" t="s">
        <v>403</v>
      </c>
      <c r="E62" s="167" t="s">
        <v>404</v>
      </c>
      <c r="F62" s="148" t="s">
        <v>405</v>
      </c>
      <c r="G62" s="148" t="s">
        <v>290</v>
      </c>
      <c r="H62" s="155" t="s">
        <v>403</v>
      </c>
      <c r="I62" s="149" t="s">
        <v>404</v>
      </c>
      <c r="J62" s="149" t="s">
        <v>405</v>
      </c>
      <c r="K62" s="149" t="s">
        <v>290</v>
      </c>
      <c r="L62" s="149" t="s">
        <v>403</v>
      </c>
      <c r="M62" s="162" t="s">
        <v>404</v>
      </c>
      <c r="N62" s="149" t="s">
        <v>405</v>
      </c>
      <c r="O62" s="155" t="s">
        <v>290</v>
      </c>
      <c r="P62" s="431" t="s">
        <v>403</v>
      </c>
      <c r="Q62" s="429" t="s">
        <v>404</v>
      </c>
      <c r="R62" s="430" t="s">
        <v>405</v>
      </c>
      <c r="S62" s="430" t="s">
        <v>290</v>
      </c>
      <c r="T62" s="430" t="s">
        <v>403</v>
      </c>
      <c r="U62" s="429" t="s">
        <v>404</v>
      </c>
      <c r="V62" s="430" t="s">
        <v>405</v>
      </c>
      <c r="W62" s="430" t="s">
        <v>290</v>
      </c>
      <c r="X62" s="430" t="s">
        <v>403</v>
      </c>
      <c r="Y62" s="429" t="s">
        <v>404</v>
      </c>
      <c r="Z62" s="394" t="s">
        <v>405</v>
      </c>
      <c r="AA62" s="430" t="s">
        <v>290</v>
      </c>
      <c r="AB62" s="431" t="s">
        <v>403</v>
      </c>
      <c r="AC62" s="71" t="s">
        <v>404</v>
      </c>
    </row>
    <row r="63" spans="2:29" x14ac:dyDescent="0.3">
      <c r="B63" s="41" t="s">
        <v>669</v>
      </c>
      <c r="D63" s="582"/>
      <c r="E63" s="773"/>
      <c r="F63" s="773"/>
      <c r="G63" s="773"/>
      <c r="H63" s="773"/>
      <c r="I63" s="253">
        <f>(I64-AVERAGE($E64:$H64))</f>
        <v>2.5817499999999995</v>
      </c>
      <c r="J63" s="253">
        <f t="shared" ref="J63:O63" si="46">(J64-AVERAGE($E64:$H64))</f>
        <v>37.358750000000001</v>
      </c>
      <c r="K63" s="253">
        <f t="shared" si="46"/>
        <v>38.026749999999993</v>
      </c>
      <c r="L63" s="253">
        <f t="shared" si="46"/>
        <v>38.350750000000005</v>
      </c>
      <c r="M63" s="253">
        <f t="shared" si="46"/>
        <v>54.966750000000005</v>
      </c>
      <c r="N63" s="253">
        <f t="shared" si="46"/>
        <v>74.252749999999992</v>
      </c>
      <c r="O63" s="902">
        <f t="shared" si="46"/>
        <v>85.407749999999993</v>
      </c>
      <c r="P63" s="689">
        <v>50</v>
      </c>
      <c r="Q63" s="689">
        <v>25</v>
      </c>
      <c r="R63" s="951">
        <v>20</v>
      </c>
      <c r="S63" s="951">
        <v>5</v>
      </c>
      <c r="T63" s="951">
        <v>0</v>
      </c>
      <c r="U63" s="689"/>
      <c r="V63" s="689"/>
      <c r="W63" s="689"/>
      <c r="X63" s="689"/>
      <c r="Y63" s="689"/>
      <c r="Z63" s="689"/>
      <c r="AA63" s="689"/>
      <c r="AB63" s="689"/>
      <c r="AC63" s="562"/>
    </row>
    <row r="64" spans="2:29" x14ac:dyDescent="0.3">
      <c r="B64" s="41" t="s">
        <v>203</v>
      </c>
      <c r="C64" s="34" t="s">
        <v>670</v>
      </c>
      <c r="D64" s="146">
        <f>'Haver Pivoted'!GO66</f>
        <v>57.116</v>
      </c>
      <c r="E64" s="43">
        <f>'Haver Pivoted'!GP66</f>
        <v>55.898000000000003</v>
      </c>
      <c r="F64" s="43">
        <f>'Haver Pivoted'!GQ66</f>
        <v>54.478000000000002</v>
      </c>
      <c r="G64" s="43">
        <f>'Haver Pivoted'!GR66</f>
        <v>54.216000000000001</v>
      </c>
      <c r="H64" s="43">
        <f>'Haver Pivoted'!GS66</f>
        <v>54.152999999999999</v>
      </c>
      <c r="I64" s="43">
        <f>'Haver Pivoted'!GT66</f>
        <v>57.268000000000001</v>
      </c>
      <c r="J64" s="43">
        <f>'Haver Pivoted'!GU66</f>
        <v>92.045000000000002</v>
      </c>
      <c r="K64" s="43">
        <f>'Haver Pivoted'!GV66</f>
        <v>92.712999999999994</v>
      </c>
      <c r="L64" s="43">
        <f>'Haver Pivoted'!GW66</f>
        <v>93.037000000000006</v>
      </c>
      <c r="M64" s="43">
        <f>'Haver Pivoted'!GX66</f>
        <v>109.65300000000001</v>
      </c>
      <c r="N64" s="43">
        <f>'Haver Pivoted'!GY66</f>
        <v>128.93899999999999</v>
      </c>
      <c r="O64" s="275">
        <f>'Haver Pivoted'!GZ66</f>
        <v>140.09399999999999</v>
      </c>
      <c r="P64" s="430"/>
      <c r="Q64" s="430"/>
      <c r="R64" s="430"/>
      <c r="S64" s="430"/>
      <c r="T64" s="430"/>
      <c r="U64" s="430"/>
      <c r="V64" s="430"/>
      <c r="W64" s="430"/>
      <c r="X64" s="430"/>
      <c r="Y64" s="430"/>
      <c r="Z64" s="430"/>
      <c r="AA64" s="430"/>
      <c r="AB64" s="430"/>
      <c r="AC64" s="431"/>
    </row>
    <row r="65" spans="2:29" x14ac:dyDescent="0.3">
      <c r="B65" s="138" t="s">
        <v>671</v>
      </c>
      <c r="C65" s="42"/>
      <c r="D65" s="147"/>
      <c r="E65" s="145"/>
      <c r="F65" s="145"/>
      <c r="G65" s="145"/>
      <c r="H65" s="145"/>
      <c r="I65" s="145"/>
      <c r="J65" s="145">
        <f t="shared" ref="J65:O65" si="47">J64-$H64</f>
        <v>37.892000000000003</v>
      </c>
      <c r="K65" s="145">
        <f t="shared" si="47"/>
        <v>38.559999999999995</v>
      </c>
      <c r="L65" s="145">
        <f t="shared" si="47"/>
        <v>38.884000000000007</v>
      </c>
      <c r="M65" s="145">
        <f t="shared" si="47"/>
        <v>55.500000000000007</v>
      </c>
      <c r="N65" s="145">
        <f t="shared" si="47"/>
        <v>74.786000000000001</v>
      </c>
      <c r="O65" s="174">
        <f t="shared" si="47"/>
        <v>85.941000000000003</v>
      </c>
      <c r="P65" s="59"/>
      <c r="Q65" s="59"/>
      <c r="R65" s="59"/>
      <c r="S65" s="59"/>
      <c r="T65" s="59"/>
      <c r="U65" s="59"/>
      <c r="V65" s="59"/>
      <c r="W65" s="59"/>
      <c r="X65" s="59"/>
      <c r="Y65" s="59"/>
      <c r="Z65" s="59"/>
      <c r="AA65" s="59"/>
      <c r="AB65" s="59"/>
      <c r="AC65" s="60"/>
    </row>
    <row r="66" spans="2:29" ht="14.15" customHeight="1" x14ac:dyDescent="0.3">
      <c r="B66" s="561"/>
      <c r="C66" s="561"/>
      <c r="D66" s="368"/>
      <c r="E66" s="368"/>
      <c r="F66" s="368"/>
      <c r="G66" s="368"/>
      <c r="H66" s="368"/>
      <c r="I66" s="368"/>
      <c r="J66" s="368"/>
      <c r="K66" s="368"/>
      <c r="L66" s="368"/>
      <c r="M66" s="368"/>
      <c r="N66" s="368"/>
      <c r="O66" s="368"/>
      <c r="P66" s="368"/>
      <c r="Q66" s="368"/>
      <c r="R66" s="368"/>
      <c r="S66" s="368"/>
      <c r="T66" s="368"/>
      <c r="U66" s="368"/>
      <c r="V66" s="368"/>
      <c r="W66" s="368"/>
      <c r="X66" s="368"/>
      <c r="Y66" s="368"/>
    </row>
    <row r="67" spans="2:29" ht="14.15" customHeight="1" x14ac:dyDescent="0.3">
      <c r="B67" s="368"/>
      <c r="C67" s="368"/>
      <c r="D67" s="368"/>
      <c r="E67" s="368"/>
      <c r="F67" s="368"/>
      <c r="G67" s="368"/>
      <c r="H67" s="368"/>
      <c r="I67" s="368"/>
      <c r="J67" s="368"/>
      <c r="K67" s="368"/>
      <c r="L67" s="368"/>
      <c r="M67" s="368"/>
      <c r="N67" s="368"/>
      <c r="O67" s="368"/>
      <c r="P67" s="368"/>
      <c r="Q67" s="368"/>
      <c r="R67" s="368"/>
      <c r="S67" s="368"/>
      <c r="T67" s="368"/>
      <c r="U67" s="368"/>
      <c r="V67" s="368"/>
      <c r="W67" s="368"/>
      <c r="X67" s="368"/>
      <c r="Y67" s="368"/>
    </row>
    <row r="68" spans="2:29" ht="14.15" customHeight="1" x14ac:dyDescent="0.3">
      <c r="B68" s="368"/>
      <c r="C68" s="368"/>
      <c r="D68" s="368"/>
      <c r="E68" s="368"/>
      <c r="F68" s="368"/>
      <c r="G68" s="368"/>
      <c r="H68" s="368"/>
      <c r="I68" s="368"/>
      <c r="J68" s="368"/>
      <c r="K68" s="368"/>
      <c r="L68" s="368"/>
      <c r="M68" s="368"/>
      <c r="N68" s="368"/>
      <c r="O68" s="368"/>
      <c r="P68" s="368"/>
      <c r="Q68" s="368"/>
      <c r="R68" s="368"/>
      <c r="S68" s="368"/>
      <c r="T68" s="368"/>
      <c r="U68" s="368"/>
      <c r="V68" s="368"/>
      <c r="W68" s="368"/>
      <c r="X68" s="368"/>
      <c r="Y68" s="368"/>
    </row>
    <row r="69" spans="2:29" x14ac:dyDescent="0.3">
      <c r="D69" s="410"/>
      <c r="E69" s="410"/>
      <c r="F69" s="410"/>
      <c r="G69" s="410"/>
      <c r="H69" s="410"/>
      <c r="I69" s="410"/>
      <c r="J69" s="410"/>
      <c r="K69" s="410"/>
      <c r="L69" s="410"/>
      <c r="M69" s="410"/>
      <c r="N69" s="410"/>
      <c r="O69" s="410"/>
      <c r="P69" s="409"/>
    </row>
    <row r="70" spans="2:29" ht="14.5" x14ac:dyDescent="0.35">
      <c r="B70" s="665"/>
      <c r="D70" s="666"/>
      <c r="E70"/>
      <c r="F70"/>
      <c r="G70"/>
      <c r="H70"/>
      <c r="I70"/>
      <c r="J70"/>
      <c r="K70"/>
      <c r="L70"/>
      <c r="M70"/>
      <c r="N70"/>
      <c r="O70" s="409"/>
      <c r="P70" s="409"/>
    </row>
    <row r="71" spans="2:29" ht="14.5" x14ac:dyDescent="0.35">
      <c r="B71"/>
      <c r="D71" s="666"/>
      <c r="E71"/>
      <c r="F71"/>
      <c r="G71"/>
      <c r="H71"/>
      <c r="I71"/>
      <c r="J71"/>
      <c r="K71"/>
      <c r="L71"/>
      <c r="M71"/>
      <c r="N71"/>
    </row>
    <row r="72" spans="2:29" ht="14.5" x14ac:dyDescent="0.35">
      <c r="B72"/>
      <c r="D72" s="666"/>
      <c r="E72"/>
      <c r="F72"/>
      <c r="G72"/>
      <c r="H72"/>
      <c r="I72"/>
      <c r="J72"/>
      <c r="K72"/>
      <c r="L72"/>
      <c r="M72"/>
      <c r="N72"/>
    </row>
    <row r="73" spans="2:29" ht="14.15" customHeight="1" x14ac:dyDescent="0.35">
      <c r="B73"/>
      <c r="C73" s="25"/>
      <c r="D73" s="666"/>
      <c r="E73"/>
      <c r="F73"/>
      <c r="G73"/>
      <c r="H73"/>
      <c r="I73"/>
      <c r="J73"/>
      <c r="K73"/>
      <c r="L73"/>
      <c r="M73"/>
      <c r="N73"/>
      <c r="O73" s="25"/>
      <c r="P73" s="25"/>
      <c r="Q73" s="25"/>
      <c r="R73" s="25"/>
      <c r="S73" s="25"/>
      <c r="T73" s="25"/>
      <c r="U73" s="25"/>
      <c r="V73" s="25"/>
      <c r="W73" s="25"/>
      <c r="X73" s="25"/>
    </row>
    <row r="74" spans="2:29" ht="14.15" customHeight="1" x14ac:dyDescent="0.35">
      <c r="B74"/>
      <c r="C74" s="25"/>
      <c r="D74" s="666"/>
      <c r="E74"/>
      <c r="F74"/>
      <c r="G74"/>
      <c r="H74"/>
      <c r="I74"/>
      <c r="J74"/>
      <c r="K74"/>
      <c r="L74"/>
      <c r="M74"/>
      <c r="N74"/>
      <c r="O74" s="25"/>
      <c r="P74" s="25"/>
      <c r="Q74" s="25"/>
      <c r="R74" s="25"/>
      <c r="S74" s="25"/>
      <c r="T74" s="25"/>
      <c r="U74" s="25"/>
      <c r="V74" s="25"/>
      <c r="W74" s="25"/>
      <c r="X74" s="25"/>
    </row>
    <row r="75" spans="2:29" ht="14.15" customHeight="1" x14ac:dyDescent="0.35">
      <c r="B75"/>
      <c r="C75" s="25"/>
      <c r="D75" s="666"/>
      <c r="E75"/>
      <c r="F75"/>
      <c r="G75"/>
      <c r="H75"/>
      <c r="I75"/>
      <c r="J75"/>
      <c r="K75"/>
      <c r="L75"/>
      <c r="M75"/>
      <c r="N75"/>
      <c r="O75" s="25"/>
      <c r="P75" s="25"/>
      <c r="Q75" s="25"/>
      <c r="R75" s="25"/>
      <c r="S75" s="25"/>
      <c r="T75" s="25"/>
      <c r="U75" s="25"/>
      <c r="V75" s="25"/>
      <c r="W75" s="25"/>
      <c r="X75" s="25"/>
    </row>
    <row r="76" spans="2:29" ht="14.5" x14ac:dyDescent="0.35">
      <c r="B76"/>
      <c r="D76" s="666"/>
      <c r="E76"/>
      <c r="F76"/>
      <c r="G76"/>
      <c r="H76"/>
      <c r="I76"/>
      <c r="J76"/>
      <c r="K76"/>
      <c r="L76"/>
      <c r="M76"/>
      <c r="N76"/>
    </row>
    <row r="77" spans="2:29" ht="14.5" x14ac:dyDescent="0.35">
      <c r="B77"/>
      <c r="D77" s="666"/>
      <c r="E77"/>
      <c r="F77"/>
      <c r="G77"/>
      <c r="H77"/>
      <c r="I77"/>
      <c r="J77"/>
      <c r="K77"/>
      <c r="L77"/>
      <c r="M77"/>
      <c r="N77"/>
    </row>
    <row r="78" spans="2:29" ht="14.5" x14ac:dyDescent="0.35">
      <c r="B78"/>
      <c r="D78" s="666"/>
      <c r="E78"/>
      <c r="F78"/>
      <c r="G78"/>
      <c r="H78"/>
      <c r="I78"/>
      <c r="J78"/>
      <c r="K78"/>
      <c r="L78"/>
      <c r="M78"/>
      <c r="N78"/>
    </row>
    <row r="79" spans="2:29" ht="14.5" x14ac:dyDescent="0.35">
      <c r="B79"/>
      <c r="D79" s="666"/>
      <c r="E79"/>
      <c r="F79"/>
      <c r="G79"/>
      <c r="H79"/>
      <c r="I79"/>
      <c r="J79"/>
      <c r="K79"/>
      <c r="L79"/>
      <c r="M79"/>
      <c r="N79"/>
    </row>
    <row r="80" spans="2:29" ht="14.5" x14ac:dyDescent="0.35">
      <c r="B80"/>
      <c r="D80" s="666"/>
      <c r="E80"/>
      <c r="F80"/>
      <c r="G80"/>
      <c r="H80"/>
      <c r="I80"/>
      <c r="J80"/>
      <c r="K80"/>
      <c r="L80"/>
      <c r="M80"/>
      <c r="N80"/>
    </row>
    <row r="81" spans="2:14" ht="14.5" x14ac:dyDescent="0.35">
      <c r="B81"/>
      <c r="D81" s="666"/>
      <c r="E81"/>
      <c r="F81"/>
      <c r="G81"/>
      <c r="H81"/>
      <c r="I81"/>
      <c r="J81"/>
      <c r="K81"/>
      <c r="L81"/>
      <c r="M81"/>
      <c r="N81"/>
    </row>
    <row r="82" spans="2:14" ht="14.5" x14ac:dyDescent="0.35">
      <c r="B82"/>
      <c r="D82" s="666"/>
      <c r="E82"/>
      <c r="F82"/>
      <c r="G82"/>
      <c r="H82"/>
      <c r="I82"/>
      <c r="J82"/>
      <c r="K82"/>
      <c r="L82"/>
      <c r="M82"/>
      <c r="N82"/>
    </row>
    <row r="83" spans="2:14" ht="14.5" x14ac:dyDescent="0.35">
      <c r="B83"/>
      <c r="D83" s="666"/>
      <c r="E83"/>
      <c r="F83"/>
      <c r="G83"/>
      <c r="H83"/>
      <c r="I83"/>
      <c r="J83"/>
      <c r="K83"/>
      <c r="L83"/>
      <c r="M83"/>
      <c r="N83"/>
    </row>
    <row r="84" spans="2:14" ht="14.5" x14ac:dyDescent="0.35">
      <c r="B84"/>
      <c r="D84" s="666"/>
      <c r="E84"/>
      <c r="F84"/>
      <c r="G84"/>
      <c r="H84"/>
      <c r="I84"/>
      <c r="J84"/>
      <c r="K84"/>
      <c r="L84"/>
      <c r="M84"/>
      <c r="N84"/>
    </row>
    <row r="85" spans="2:14" ht="14.5" x14ac:dyDescent="0.35">
      <c r="B85"/>
      <c r="D85" s="666"/>
      <c r="E85"/>
      <c r="F85"/>
      <c r="G85"/>
      <c r="H85"/>
      <c r="I85"/>
      <c r="J85"/>
      <c r="K85"/>
      <c r="L85"/>
      <c r="M85"/>
      <c r="N85"/>
    </row>
    <row r="88" spans="2:14" x14ac:dyDescent="0.3">
      <c r="J88" s="509"/>
      <c r="K88" s="509"/>
      <c r="L88" s="509"/>
      <c r="M88" s="509"/>
      <c r="N88" s="509"/>
    </row>
    <row r="92" spans="2:14" x14ac:dyDescent="0.3">
      <c r="D92" s="410"/>
      <c r="E92" s="410"/>
      <c r="F92" s="410"/>
      <c r="G92" s="410"/>
      <c r="H92" s="410"/>
      <c r="I92" s="410"/>
      <c r="J92" s="410"/>
      <c r="K92" s="410"/>
      <c r="L92" s="410"/>
      <c r="M92" s="410"/>
      <c r="N92" s="410"/>
    </row>
    <row r="93" spans="2:14" ht="14.5" x14ac:dyDescent="0.35">
      <c r="B93" s="665"/>
      <c r="D93" s="666"/>
      <c r="E93"/>
      <c r="F93"/>
      <c r="G93"/>
      <c r="H93"/>
      <c r="I93"/>
      <c r="J93"/>
      <c r="K93"/>
      <c r="L93"/>
      <c r="M93"/>
      <c r="N93"/>
    </row>
    <row r="94" spans="2:14" ht="14.5" x14ac:dyDescent="0.35">
      <c r="B94"/>
      <c r="D94" s="666"/>
      <c r="E94"/>
      <c r="F94"/>
      <c r="G94"/>
      <c r="H94"/>
      <c r="I94"/>
      <c r="J94"/>
      <c r="K94"/>
      <c r="L94"/>
      <c r="M94"/>
      <c r="N94"/>
    </row>
    <row r="95" spans="2:14" ht="14.5" x14ac:dyDescent="0.35">
      <c r="B95"/>
      <c r="D95" s="666"/>
      <c r="E95"/>
      <c r="F95"/>
      <c r="G95"/>
      <c r="H95"/>
      <c r="I95"/>
      <c r="J95"/>
      <c r="K95"/>
      <c r="L95"/>
      <c r="M95"/>
      <c r="N95"/>
    </row>
    <row r="96" spans="2:14" ht="14.5" x14ac:dyDescent="0.35">
      <c r="B96"/>
      <c r="C96" s="25"/>
      <c r="D96" s="666"/>
      <c r="E96"/>
      <c r="F96"/>
      <c r="G96"/>
      <c r="H96"/>
      <c r="I96"/>
      <c r="J96"/>
      <c r="K96"/>
      <c r="L96"/>
      <c r="M96"/>
      <c r="N96"/>
    </row>
    <row r="97" spans="2:14" ht="14.5" x14ac:dyDescent="0.35">
      <c r="B97"/>
      <c r="C97" s="25"/>
      <c r="D97" s="666"/>
      <c r="E97"/>
      <c r="F97"/>
      <c r="G97"/>
      <c r="H97"/>
      <c r="I97"/>
      <c r="J97"/>
      <c r="K97"/>
      <c r="L97"/>
      <c r="M97"/>
      <c r="N97"/>
    </row>
    <row r="98" spans="2:14" ht="14.5" x14ac:dyDescent="0.35">
      <c r="B98"/>
      <c r="C98" s="25"/>
      <c r="D98" s="666"/>
      <c r="E98"/>
      <c r="F98"/>
      <c r="G98"/>
      <c r="H98"/>
      <c r="I98"/>
      <c r="J98"/>
      <c r="K98"/>
      <c r="L98"/>
      <c r="M98"/>
      <c r="N98"/>
    </row>
    <row r="99" spans="2:14" ht="14.5" x14ac:dyDescent="0.35">
      <c r="B99"/>
      <c r="D99" s="666"/>
      <c r="E99"/>
      <c r="F99"/>
      <c r="G99"/>
      <c r="H99"/>
      <c r="I99"/>
      <c r="J99"/>
      <c r="K99"/>
      <c r="L99"/>
      <c r="M99"/>
      <c r="N99"/>
    </row>
    <row r="100" spans="2:14" ht="14.5" x14ac:dyDescent="0.35">
      <c r="B100"/>
      <c r="D100" s="666"/>
      <c r="E100"/>
      <c r="F100"/>
      <c r="G100"/>
      <c r="H100"/>
      <c r="I100"/>
      <c r="J100"/>
      <c r="K100"/>
      <c r="L100"/>
      <c r="M100"/>
      <c r="N100"/>
    </row>
    <row r="101" spans="2:14" ht="14.5" x14ac:dyDescent="0.35">
      <c r="B101"/>
      <c r="D101" s="666"/>
      <c r="E101"/>
      <c r="F101"/>
      <c r="G101"/>
      <c r="H101"/>
      <c r="I101"/>
      <c r="J101"/>
      <c r="K101"/>
      <c r="L101"/>
      <c r="M101"/>
      <c r="N101"/>
    </row>
    <row r="102" spans="2:14" ht="14.5" x14ac:dyDescent="0.35">
      <c r="B102"/>
      <c r="D102" s="666"/>
      <c r="E102"/>
      <c r="F102"/>
      <c r="G102"/>
      <c r="H102"/>
      <c r="I102"/>
      <c r="J102"/>
      <c r="K102"/>
      <c r="L102"/>
      <c r="M102"/>
      <c r="N102"/>
    </row>
    <row r="103" spans="2:14" ht="14.5" x14ac:dyDescent="0.35">
      <c r="B103"/>
      <c r="D103" s="666"/>
      <c r="E103"/>
      <c r="F103"/>
      <c r="G103"/>
      <c r="H103"/>
      <c r="I103"/>
      <c r="J103"/>
      <c r="K103"/>
      <c r="L103"/>
      <c r="M103"/>
      <c r="N103"/>
    </row>
    <row r="104" spans="2:14" ht="14.5" x14ac:dyDescent="0.35">
      <c r="B104"/>
      <c r="D104" s="666"/>
      <c r="E104"/>
      <c r="F104"/>
      <c r="G104"/>
      <c r="H104"/>
      <c r="I104"/>
      <c r="J104"/>
      <c r="K104"/>
      <c r="L104"/>
      <c r="M104"/>
      <c r="N104"/>
    </row>
    <row r="105" spans="2:14" ht="14.5" x14ac:dyDescent="0.35">
      <c r="B105"/>
      <c r="D105" s="666"/>
      <c r="E105"/>
      <c r="F105"/>
      <c r="G105"/>
      <c r="H105"/>
      <c r="I105"/>
      <c r="J105"/>
      <c r="K105"/>
      <c r="L105"/>
      <c r="M105"/>
      <c r="N105"/>
    </row>
    <row r="106" spans="2:14" ht="14.5" x14ac:dyDescent="0.35">
      <c r="B106"/>
      <c r="D106" s="666"/>
      <c r="E106"/>
      <c r="F106"/>
      <c r="G106"/>
      <c r="H106"/>
      <c r="I106"/>
      <c r="J106"/>
      <c r="K106"/>
      <c r="L106"/>
      <c r="M106"/>
      <c r="N106"/>
    </row>
    <row r="107" spans="2:14" ht="14.5" x14ac:dyDescent="0.35">
      <c r="B107"/>
      <c r="D107" s="666"/>
      <c r="E107"/>
      <c r="F107"/>
      <c r="G107"/>
      <c r="H107"/>
      <c r="I107"/>
      <c r="J107"/>
      <c r="K107"/>
      <c r="L107"/>
      <c r="M107"/>
      <c r="N107"/>
    </row>
    <row r="108" spans="2:14" ht="14.5" x14ac:dyDescent="0.35">
      <c r="B108"/>
      <c r="D108" s="666"/>
      <c r="E108"/>
      <c r="F108"/>
      <c r="G108"/>
      <c r="H108"/>
      <c r="I108"/>
      <c r="J108"/>
      <c r="K108"/>
      <c r="L108"/>
      <c r="M108"/>
      <c r="N108"/>
    </row>
    <row r="109" spans="2:14" ht="14.5" x14ac:dyDescent="0.35">
      <c r="E109"/>
      <c r="F109"/>
      <c r="G109"/>
      <c r="H109"/>
      <c r="I109"/>
      <c r="J109"/>
      <c r="K109"/>
      <c r="L109"/>
      <c r="M109"/>
      <c r="N109"/>
    </row>
    <row r="110" spans="2:14" ht="14.5" x14ac:dyDescent="0.35">
      <c r="E110"/>
      <c r="F110"/>
      <c r="G110"/>
      <c r="H110"/>
      <c r="I110"/>
      <c r="J110"/>
      <c r="K110"/>
      <c r="L110"/>
      <c r="M110"/>
      <c r="N110"/>
    </row>
    <row r="111" spans="2:14" ht="14.5" x14ac:dyDescent="0.35">
      <c r="E111"/>
      <c r="F111"/>
      <c r="G111"/>
      <c r="H111"/>
      <c r="I111"/>
      <c r="J111"/>
      <c r="K111"/>
      <c r="L111"/>
      <c r="M111"/>
      <c r="N111"/>
    </row>
    <row r="112" spans="2:14" ht="14.5" x14ac:dyDescent="0.35">
      <c r="E112"/>
    </row>
  </sheetData>
  <mergeCells count="34">
    <mergeCell ref="B1:AC1"/>
    <mergeCell ref="B2:AC6"/>
    <mergeCell ref="B59:AC59"/>
    <mergeCell ref="B56:AC56"/>
    <mergeCell ref="E61:H61"/>
    <mergeCell ref="I61:L61"/>
    <mergeCell ref="B47:C49"/>
    <mergeCell ref="E48:H48"/>
    <mergeCell ref="I48:L48"/>
    <mergeCell ref="B60:C62"/>
    <mergeCell ref="B33:C33"/>
    <mergeCell ref="B11:C11"/>
    <mergeCell ref="B28:C28"/>
    <mergeCell ref="M61:O61"/>
    <mergeCell ref="D8:O8"/>
    <mergeCell ref="P8:AC8"/>
    <mergeCell ref="Q61:T61"/>
    <mergeCell ref="U61:X61"/>
    <mergeCell ref="Y61:AB61"/>
    <mergeCell ref="Y48:AB48"/>
    <mergeCell ref="M9:O9"/>
    <mergeCell ref="D47:O47"/>
    <mergeCell ref="P47:AC47"/>
    <mergeCell ref="I9:L9"/>
    <mergeCell ref="Q9:T9"/>
    <mergeCell ref="U9:X9"/>
    <mergeCell ref="Y9:AB9"/>
    <mergeCell ref="M48:O48"/>
    <mergeCell ref="E9:H9"/>
    <mergeCell ref="B8:C10"/>
    <mergeCell ref="D60:O60"/>
    <mergeCell ref="P60:AC60"/>
    <mergeCell ref="Q48:T48"/>
    <mergeCell ref="U48:X48"/>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abSelected="1" topLeftCell="C7" zoomScale="93" zoomScaleNormal="88" workbookViewId="0">
      <selection activeCell="O22" sqref="O22"/>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055" t="s">
        <v>79</v>
      </c>
      <c r="E1" s="1055"/>
      <c r="F1" s="1055"/>
      <c r="G1" s="1055"/>
      <c r="H1" s="1055"/>
      <c r="I1" s="1055"/>
      <c r="J1" s="1055"/>
      <c r="K1" s="1055"/>
      <c r="L1" s="1055"/>
      <c r="M1" s="1055"/>
      <c r="N1" s="1055"/>
      <c r="O1" s="1055"/>
      <c r="P1" s="1055"/>
      <c r="Q1" s="1055"/>
      <c r="R1" s="1055"/>
      <c r="S1" s="1055"/>
      <c r="T1" s="1055"/>
      <c r="U1" s="1055"/>
      <c r="V1" s="1055"/>
      <c r="W1" s="1055"/>
      <c r="X1" s="1055"/>
      <c r="Y1" s="1055"/>
      <c r="Z1" s="1055"/>
      <c r="AA1" s="1055"/>
      <c r="AB1" s="1055"/>
      <c r="AC1" s="1055"/>
    </row>
    <row r="2" spans="4:56" ht="14.15" customHeight="1" x14ac:dyDescent="0.3">
      <c r="D2" s="1074" t="s">
        <v>672</v>
      </c>
      <c r="E2" s="1074"/>
      <c r="F2" s="1074"/>
      <c r="G2" s="1074"/>
      <c r="H2" s="1074"/>
      <c r="I2" s="1074"/>
      <c r="J2" s="1074"/>
      <c r="K2" s="1074"/>
      <c r="L2" s="1074"/>
      <c r="M2" s="1074"/>
      <c r="N2" s="1074"/>
      <c r="O2" s="1074"/>
      <c r="P2" s="1074"/>
      <c r="Q2" s="1074"/>
      <c r="R2" s="1074"/>
      <c r="S2" s="1074"/>
      <c r="T2" s="1074"/>
      <c r="U2" s="1074"/>
      <c r="V2" s="1074"/>
      <c r="W2" s="1074"/>
      <c r="X2" s="1074"/>
      <c r="Y2" s="1074"/>
      <c r="Z2" s="1074"/>
      <c r="AA2" s="1074"/>
      <c r="AB2" s="1074"/>
      <c r="AC2" s="1074"/>
    </row>
    <row r="3" spans="4:56" ht="28.5" customHeight="1" x14ac:dyDescent="0.3">
      <c r="D3" s="1074"/>
      <c r="E3" s="1074"/>
      <c r="F3" s="1074"/>
      <c r="G3" s="1074"/>
      <c r="H3" s="1074"/>
      <c r="I3" s="1074"/>
      <c r="J3" s="1074"/>
      <c r="K3" s="1074"/>
      <c r="L3" s="1074"/>
      <c r="M3" s="1074"/>
      <c r="N3" s="1074"/>
      <c r="O3" s="1074"/>
      <c r="P3" s="1074"/>
      <c r="Q3" s="1074"/>
      <c r="R3" s="1074"/>
      <c r="S3" s="1074"/>
      <c r="T3" s="1074"/>
      <c r="U3" s="1074"/>
      <c r="V3" s="1074"/>
      <c r="W3" s="1074"/>
      <c r="X3" s="1074"/>
      <c r="Y3" s="1074"/>
      <c r="Z3" s="1074"/>
      <c r="AA3" s="1074"/>
      <c r="AB3" s="1074"/>
      <c r="AC3" s="1074"/>
    </row>
    <row r="4" spans="4:56" x14ac:dyDescent="0.3">
      <c r="D4" s="782" t="s">
        <v>465</v>
      </c>
    </row>
    <row r="5" spans="4:56" x14ac:dyDescent="0.3">
      <c r="D5" s="1060" t="s">
        <v>558</v>
      </c>
      <c r="E5" s="1061"/>
      <c r="F5" s="1168" t="s">
        <v>401</v>
      </c>
      <c r="G5" s="1169"/>
      <c r="H5" s="1169"/>
      <c r="I5" s="1169"/>
      <c r="J5" s="1169"/>
      <c r="K5" s="1169"/>
      <c r="L5" s="1169"/>
      <c r="M5" s="1170"/>
      <c r="N5" s="1170"/>
      <c r="O5" s="1077"/>
      <c r="P5" s="1096" t="s">
        <v>402</v>
      </c>
      <c r="Q5" s="1097"/>
      <c r="R5" s="1097"/>
      <c r="S5" s="1097"/>
      <c r="T5" s="1097"/>
      <c r="U5" s="1097"/>
      <c r="V5" s="1097"/>
      <c r="W5" s="1097"/>
      <c r="X5" s="1097"/>
      <c r="Y5" s="1097"/>
      <c r="Z5" s="1097"/>
      <c r="AA5" s="1097"/>
      <c r="AB5" s="1097"/>
      <c r="AC5" s="1098"/>
      <c r="AD5" s="165"/>
      <c r="AE5" s="165"/>
      <c r="AF5" s="165"/>
      <c r="AG5" s="165"/>
      <c r="AH5" s="165"/>
      <c r="AI5" s="165"/>
      <c r="AJ5" s="165"/>
      <c r="AK5" s="165"/>
      <c r="AL5" s="165"/>
      <c r="AM5" s="165"/>
      <c r="AN5" s="165"/>
      <c r="AO5" s="165"/>
      <c r="AP5" s="165"/>
      <c r="AQ5" s="165"/>
      <c r="AR5" s="165"/>
      <c r="AS5" s="165"/>
      <c r="AT5" s="165"/>
      <c r="AU5" s="165"/>
      <c r="AV5" s="165"/>
      <c r="AW5" s="165"/>
      <c r="AX5" s="165"/>
      <c r="AY5" s="165"/>
      <c r="AZ5" s="165"/>
      <c r="BA5" s="165"/>
      <c r="BB5" s="165"/>
      <c r="BC5" s="165"/>
      <c r="BD5" s="165"/>
    </row>
    <row r="6" spans="4:56" x14ac:dyDescent="0.3">
      <c r="D6" s="1062"/>
      <c r="E6" s="1121"/>
      <c r="F6" s="1057">
        <v>2019</v>
      </c>
      <c r="G6" s="1058"/>
      <c r="H6" s="1059"/>
      <c r="I6" s="1058">
        <v>2020</v>
      </c>
      <c r="J6" s="1058"/>
      <c r="K6" s="1058"/>
      <c r="L6" s="1058"/>
      <c r="M6" s="1057">
        <v>2021</v>
      </c>
      <c r="N6" s="1058"/>
      <c r="O6" s="1059"/>
      <c r="P6" s="963">
        <v>2021</v>
      </c>
      <c r="Q6" s="1064">
        <v>2022</v>
      </c>
      <c r="R6" s="1065"/>
      <c r="S6" s="1065"/>
      <c r="T6" s="1066"/>
      <c r="U6" s="1148">
        <v>2023</v>
      </c>
      <c r="V6" s="1149"/>
      <c r="W6" s="1149"/>
      <c r="X6" s="1149"/>
      <c r="Y6" s="1064">
        <v>2024</v>
      </c>
      <c r="Z6" s="1065"/>
      <c r="AA6" s="1065"/>
      <c r="AB6" s="1065"/>
      <c r="AC6" s="334">
        <v>2025</v>
      </c>
      <c r="AD6" s="152"/>
      <c r="AE6" s="152"/>
      <c r="AF6" s="152"/>
      <c r="AG6" s="209"/>
      <c r="AH6" s="209"/>
      <c r="AI6" s="209"/>
      <c r="AJ6" s="209"/>
      <c r="AK6" s="209"/>
      <c r="AL6" s="209"/>
      <c r="AM6" s="209"/>
      <c r="AN6" s="209"/>
      <c r="AO6" s="209"/>
      <c r="AP6" s="209"/>
      <c r="AQ6" s="209"/>
      <c r="AR6" s="209"/>
      <c r="AS6" s="209"/>
      <c r="AT6" s="209"/>
      <c r="AU6" s="209"/>
      <c r="AV6" s="209"/>
      <c r="AW6" s="209"/>
      <c r="AX6" s="209"/>
      <c r="AY6" s="209"/>
      <c r="AZ6" s="209"/>
      <c r="BA6" s="209"/>
      <c r="BB6" s="209"/>
      <c r="BC6" s="209"/>
    </row>
    <row r="7" spans="4:56" x14ac:dyDescent="0.3">
      <c r="D7" s="1100"/>
      <c r="E7" s="1122"/>
      <c r="F7" s="167" t="s">
        <v>405</v>
      </c>
      <c r="G7" s="148" t="s">
        <v>290</v>
      </c>
      <c r="H7" s="155" t="s">
        <v>403</v>
      </c>
      <c r="I7" s="149" t="s">
        <v>404</v>
      </c>
      <c r="J7" s="149" t="s">
        <v>405</v>
      </c>
      <c r="K7" s="149" t="s">
        <v>290</v>
      </c>
      <c r="L7" s="149" t="s">
        <v>403</v>
      </c>
      <c r="M7" s="162" t="s">
        <v>404</v>
      </c>
      <c r="N7" s="149" t="s">
        <v>405</v>
      </c>
      <c r="O7" s="155" t="s">
        <v>290</v>
      </c>
      <c r="P7" s="60" t="s">
        <v>403</v>
      </c>
      <c r="Q7" s="58" t="s">
        <v>404</v>
      </c>
      <c r="R7" s="59" t="s">
        <v>405</v>
      </c>
      <c r="S7" s="59" t="s">
        <v>290</v>
      </c>
      <c r="T7" s="59" t="s">
        <v>403</v>
      </c>
      <c r="U7" s="58" t="s">
        <v>404</v>
      </c>
      <c r="V7" s="59" t="s">
        <v>405</v>
      </c>
      <c r="W7" s="59" t="s">
        <v>290</v>
      </c>
      <c r="X7" s="59" t="s">
        <v>403</v>
      </c>
      <c r="Y7" s="58" t="s">
        <v>404</v>
      </c>
      <c r="Z7" s="457" t="s">
        <v>405</v>
      </c>
      <c r="AA7" s="59" t="s">
        <v>290</v>
      </c>
      <c r="AB7" s="59" t="s">
        <v>403</v>
      </c>
      <c r="AC7" s="61" t="s">
        <v>404</v>
      </c>
      <c r="AD7" s="160"/>
      <c r="AE7" s="160"/>
      <c r="AF7" s="160"/>
      <c r="AG7" s="160"/>
      <c r="AH7" s="160"/>
      <c r="AI7" s="160"/>
      <c r="AJ7" s="160"/>
      <c r="AK7" s="160"/>
      <c r="AL7" s="160"/>
      <c r="AM7" s="160"/>
      <c r="AN7" s="160"/>
      <c r="AO7" s="160"/>
      <c r="AP7" s="160"/>
      <c r="AQ7" s="160"/>
      <c r="AR7" s="160"/>
      <c r="AS7" s="160"/>
      <c r="AT7" s="160"/>
      <c r="AU7" s="160"/>
      <c r="AV7" s="160"/>
      <c r="AW7" s="160"/>
      <c r="AX7" s="160"/>
      <c r="AY7" s="160"/>
      <c r="AZ7" s="160"/>
      <c r="BA7" s="160"/>
      <c r="BB7" s="160"/>
      <c r="BC7" s="160"/>
    </row>
    <row r="8" spans="4:56" x14ac:dyDescent="0.3">
      <c r="D8" s="277" t="s">
        <v>638</v>
      </c>
      <c r="E8" s="96"/>
      <c r="F8" s="783"/>
      <c r="G8" s="784"/>
      <c r="H8" s="785"/>
      <c r="I8" s="785"/>
      <c r="J8" s="785"/>
      <c r="K8" s="785"/>
      <c r="L8" s="785"/>
      <c r="M8" s="785"/>
      <c r="N8" s="785"/>
      <c r="O8" s="786"/>
      <c r="P8" s="323"/>
      <c r="Q8" s="324"/>
      <c r="R8" s="324"/>
      <c r="S8" s="323"/>
      <c r="T8" s="324"/>
      <c r="U8" s="324"/>
      <c r="V8" s="324"/>
      <c r="W8" s="323"/>
      <c r="X8" s="324"/>
      <c r="Y8" s="324"/>
      <c r="Z8" s="324"/>
      <c r="AA8" s="324"/>
      <c r="AB8" s="324"/>
      <c r="AC8" s="964"/>
      <c r="AD8" s="153"/>
      <c r="AE8" s="153"/>
      <c r="AF8" s="153"/>
      <c r="AG8" s="153"/>
      <c r="AH8" s="153"/>
      <c r="AI8" s="153"/>
      <c r="AJ8" s="153"/>
      <c r="AK8" s="153"/>
      <c r="AL8" s="153"/>
      <c r="AM8" s="153"/>
      <c r="AN8" s="153"/>
      <c r="AO8" s="153"/>
      <c r="AP8" s="153"/>
      <c r="AQ8" s="153"/>
      <c r="AR8" s="153"/>
      <c r="AS8" s="153"/>
      <c r="AT8" s="153"/>
      <c r="AU8" s="153"/>
      <c r="AV8" s="153"/>
      <c r="AW8" s="153"/>
      <c r="AX8" s="153"/>
      <c r="AY8" s="153"/>
      <c r="AZ8" s="153"/>
      <c r="BA8" s="153"/>
      <c r="BB8" s="153"/>
      <c r="BC8" s="153"/>
    </row>
    <row r="9" spans="4:56" s="141" customFormat="1" ht="14.5" x14ac:dyDescent="0.35">
      <c r="D9" s="87" t="s">
        <v>673</v>
      </c>
      <c r="E9" s="593"/>
      <c r="F9" s="787">
        <f t="shared" ref="F9:X9" si="0">SUM(F10:F12)</f>
        <v>3273.3999999999996</v>
      </c>
      <c r="G9" s="598">
        <f t="shared" si="0"/>
        <v>3290</v>
      </c>
      <c r="H9" s="598">
        <f t="shared" si="0"/>
        <v>3332.9</v>
      </c>
      <c r="I9" s="598">
        <f t="shared" si="0"/>
        <v>3380.8</v>
      </c>
      <c r="J9" s="598">
        <f t="shared" si="0"/>
        <v>3111.4</v>
      </c>
      <c r="K9" s="598">
        <f t="shared" si="0"/>
        <v>3257.3</v>
      </c>
      <c r="L9" s="598">
        <f t="shared" si="0"/>
        <v>3379.5</v>
      </c>
      <c r="M9" s="598">
        <f t="shared" si="0"/>
        <v>3536</v>
      </c>
      <c r="N9" s="598">
        <f t="shared" si="0"/>
        <v>3648.3</v>
      </c>
      <c r="O9" s="965">
        <f t="shared" si="0"/>
        <v>3739.4999999999995</v>
      </c>
      <c r="P9" s="331">
        <f t="shared" si="0"/>
        <v>3790.3567636578086</v>
      </c>
      <c r="Q9" s="331">
        <f t="shared" si="0"/>
        <v>3785.9222713714485</v>
      </c>
      <c r="R9" s="331">
        <f t="shared" si="0"/>
        <v>3836.0261744822378</v>
      </c>
      <c r="S9" s="331">
        <f t="shared" si="0"/>
        <v>3882.096262937343</v>
      </c>
      <c r="T9" s="331">
        <f t="shared" si="0"/>
        <v>3925.0470587742493</v>
      </c>
      <c r="U9" s="331">
        <f t="shared" si="0"/>
        <v>3959.4970733399186</v>
      </c>
      <c r="V9" s="331">
        <f t="shared" si="0"/>
        <v>3998.2650613759206</v>
      </c>
      <c r="W9" s="331">
        <f t="shared" si="0"/>
        <v>4036.7059599652966</v>
      </c>
      <c r="X9" s="331">
        <f t="shared" si="0"/>
        <v>4074.3305460849683</v>
      </c>
      <c r="Y9" s="331">
        <f t="shared" ref="Y9" si="1">SUM(Y10:Y12)</f>
        <v>4110.6880372649321</v>
      </c>
      <c r="Z9" s="331">
        <f t="shared" ref="Z9" si="2">SUM(Z10:Z12)</f>
        <v>4146.6966412214333</v>
      </c>
      <c r="AA9" s="331">
        <f t="shared" ref="AA9" si="3">SUM(AA10:AA12)</f>
        <v>4184.3468116836821</v>
      </c>
      <c r="AB9" s="331">
        <f t="shared" ref="AB9" si="4">SUM(AB10:AB12)</f>
        <v>4222.0255613752315</v>
      </c>
      <c r="AC9" s="966">
        <f t="shared" ref="AC9" si="5">SUM(AC10:AC12)</f>
        <v>4260.7927835440778</v>
      </c>
      <c r="AD9" s="332"/>
      <c r="AE9" s="332"/>
      <c r="AF9" s="332"/>
      <c r="AG9" s="332"/>
      <c r="AH9" s="332"/>
      <c r="AI9" s="332"/>
      <c r="AJ9" s="332"/>
      <c r="AK9" s="332"/>
      <c r="AL9" s="332"/>
      <c r="AM9" s="332"/>
      <c r="AN9" s="332"/>
      <c r="AO9" s="332"/>
      <c r="AP9" s="332"/>
      <c r="AQ9" s="332"/>
      <c r="AR9" s="332"/>
      <c r="AS9" s="332"/>
      <c r="AT9" s="332"/>
      <c r="AU9" s="332"/>
      <c r="AV9" s="332"/>
      <c r="AW9" s="332"/>
      <c r="AX9" s="332"/>
      <c r="AY9" s="332"/>
      <c r="AZ9" s="332"/>
      <c r="BA9" s="332"/>
      <c r="BB9" s="332"/>
      <c r="BC9" s="332"/>
    </row>
    <row r="10" spans="4:56" x14ac:dyDescent="0.3">
      <c r="D10" s="144" t="s">
        <v>674</v>
      </c>
      <c r="E10" s="261" t="s">
        <v>158</v>
      </c>
      <c r="F10" s="602">
        <f>'Haver Pivoted'!GQ27</f>
        <v>1701.9</v>
      </c>
      <c r="G10" s="599">
        <f>'Haver Pivoted'!GR27</f>
        <v>1707.8</v>
      </c>
      <c r="H10" s="599">
        <f>'Haver Pivoted'!GS27</f>
        <v>1728.6</v>
      </c>
      <c r="I10" s="599">
        <f>'Haver Pivoted'!GT27</f>
        <v>1737.9</v>
      </c>
      <c r="J10" s="599">
        <f>'Haver Pivoted'!GU27</f>
        <v>1581.5</v>
      </c>
      <c r="K10" s="599">
        <f>'Haver Pivoted'!GV27</f>
        <v>1662.2</v>
      </c>
      <c r="L10" s="599">
        <f>'Haver Pivoted'!GW27</f>
        <v>1736.9</v>
      </c>
      <c r="M10" s="599">
        <f>'Haver Pivoted'!GX27</f>
        <v>1851.9</v>
      </c>
      <c r="N10" s="599">
        <f>'Haver Pivoted'!GY27</f>
        <v>1928.3</v>
      </c>
      <c r="O10" s="962">
        <f>'Haver Pivoted'!GZ27</f>
        <v>1994.3</v>
      </c>
      <c r="P10" s="675">
        <f t="shared" ref="P10" si="6">O10*P71/O71</f>
        <v>2017.5889020399636</v>
      </c>
      <c r="Q10" s="675">
        <f>Q71*I63</f>
        <v>2005.8432875182873</v>
      </c>
      <c r="R10" s="675">
        <f t="shared" ref="R10:T10" si="7">Q10*R71/Q71</f>
        <v>2033.8068793152124</v>
      </c>
      <c r="S10" s="675">
        <f t="shared" si="7"/>
        <v>2059.506162572829</v>
      </c>
      <c r="T10" s="675">
        <f t="shared" si="7"/>
        <v>2083.3742017658683</v>
      </c>
      <c r="U10" s="675">
        <f>U71*J63</f>
        <v>2105.8811811811811</v>
      </c>
      <c r="V10" s="675">
        <f t="shared" ref="V10:X10" si="8">U10*V71/U71</f>
        <v>2127.7076307076309</v>
      </c>
      <c r="W10" s="675">
        <f t="shared" si="8"/>
        <v>2148.8906701573374</v>
      </c>
      <c r="X10" s="675">
        <f t="shared" si="8"/>
        <v>2169.0467281383949</v>
      </c>
      <c r="Y10" s="675">
        <f>Y71*K63</f>
        <v>2189.0666801416801</v>
      </c>
      <c r="Z10" s="675">
        <f t="shared" ref="Z10:AB10" si="9">Y10*Z71/Y71</f>
        <v>2207.9854110520773</v>
      </c>
      <c r="AA10" s="675">
        <f t="shared" si="9"/>
        <v>2228.1043492210156</v>
      </c>
      <c r="AB10" s="325">
        <f t="shared" si="9"/>
        <v>2248.582112240445</v>
      </c>
      <c r="AC10" s="967">
        <f>AC71*L63</f>
        <v>2270.0126171042834</v>
      </c>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row>
    <row r="11" spans="4:56" x14ac:dyDescent="0.3">
      <c r="D11" s="144" t="s">
        <v>675</v>
      </c>
      <c r="E11" s="97" t="s">
        <v>164</v>
      </c>
      <c r="F11" s="602">
        <f>'Haver Pivoted'!GQ30</f>
        <v>1399.3</v>
      </c>
      <c r="G11" s="599">
        <f>'Haver Pivoted'!GR30</f>
        <v>1406.9</v>
      </c>
      <c r="H11" s="599">
        <f>'Haver Pivoted'!GS30</f>
        <v>1426.4</v>
      </c>
      <c r="I11" s="599">
        <f>'Haver Pivoted'!GT30</f>
        <v>1457.1</v>
      </c>
      <c r="J11" s="599">
        <f>'Haver Pivoted'!GU30</f>
        <v>1391.6</v>
      </c>
      <c r="K11" s="599">
        <f>'Haver Pivoted'!GV30</f>
        <v>1443.8</v>
      </c>
      <c r="L11" s="599">
        <f>'Haver Pivoted'!GW30</f>
        <v>1486</v>
      </c>
      <c r="M11" s="599">
        <f>'Haver Pivoted'!GX30</f>
        <v>1517.9</v>
      </c>
      <c r="N11" s="599">
        <f>'Haver Pivoted'!GY30</f>
        <v>1542.2</v>
      </c>
      <c r="O11" s="962">
        <f>'Haver Pivoted'!GZ30</f>
        <v>1572.1</v>
      </c>
      <c r="P11" s="675">
        <f t="shared" ref="P11:P13" si="10">O11*P74/O74</f>
        <v>1597.129995085995</v>
      </c>
      <c r="Q11" s="675">
        <f>Q74*I64</f>
        <v>1602.7701580126493</v>
      </c>
      <c r="R11" s="675">
        <f t="shared" ref="R11:T13" si="11">Q11*R74/Q74</f>
        <v>1622.6442633676327</v>
      </c>
      <c r="S11" s="675">
        <f t="shared" si="11"/>
        <v>1640.5309581871177</v>
      </c>
      <c r="T11" s="675">
        <f t="shared" si="11"/>
        <v>1657.3475088721034</v>
      </c>
      <c r="U11" s="675">
        <f>U74*J64</f>
        <v>1672.9410376890901</v>
      </c>
      <c r="V11" s="675">
        <f t="shared" ref="V11:X13" si="12">U11*V74/U74</f>
        <v>1688.0759333055773</v>
      </c>
      <c r="W11" s="675">
        <f t="shared" si="12"/>
        <v>1703.5165843890643</v>
      </c>
      <c r="X11" s="675">
        <f t="shared" si="12"/>
        <v>1719.2629909395512</v>
      </c>
      <c r="Y11" s="675">
        <f>Y74*K64</f>
        <v>1733.9851166755886</v>
      </c>
      <c r="Z11" s="675">
        <f t="shared" ref="Z11:AB13" si="13">Y11*Z74/Y74</f>
        <v>1749.4257677590758</v>
      </c>
      <c r="AA11" s="675">
        <f t="shared" si="13"/>
        <v>1765.2486131763123</v>
      </c>
      <c r="AB11" s="325">
        <f t="shared" si="13"/>
        <v>1780.8574297666494</v>
      </c>
      <c r="AC11" s="967">
        <f>AC74*L64</f>
        <v>1796.4815341303361</v>
      </c>
      <c r="AD11" s="153"/>
      <c r="AE11" s="153"/>
      <c r="AF11" s="153"/>
      <c r="AG11" s="153"/>
      <c r="AH11" s="153"/>
      <c r="AI11" s="153"/>
      <c r="AJ11" s="153"/>
      <c r="AK11" s="153"/>
      <c r="AL11" s="153"/>
      <c r="AM11" s="153"/>
      <c r="AN11" s="153"/>
      <c r="AO11" s="153"/>
      <c r="AP11" s="153"/>
      <c r="AQ11" s="153"/>
      <c r="AR11" s="153"/>
      <c r="AS11" s="153"/>
      <c r="AT11" s="153"/>
      <c r="AU11" s="153"/>
      <c r="AV11" s="153"/>
      <c r="AW11" s="153"/>
      <c r="AX11" s="153"/>
      <c r="AY11" s="153"/>
      <c r="AZ11" s="153"/>
      <c r="BA11" s="153"/>
      <c r="BB11" s="153"/>
      <c r="BC11" s="153"/>
    </row>
    <row r="12" spans="4:56" x14ac:dyDescent="0.3">
      <c r="D12" s="144" t="s">
        <v>676</v>
      </c>
      <c r="E12" s="261" t="s">
        <v>160</v>
      </c>
      <c r="F12" s="602">
        <f>'Haver Pivoted'!GQ28</f>
        <v>172.2</v>
      </c>
      <c r="G12" s="599">
        <f>'Haver Pivoted'!GR28</f>
        <v>175.3</v>
      </c>
      <c r="H12" s="599">
        <f>'Haver Pivoted'!GS28</f>
        <v>177.9</v>
      </c>
      <c r="I12" s="599">
        <f>'Haver Pivoted'!GT28</f>
        <v>185.8</v>
      </c>
      <c r="J12" s="599">
        <f>'Haver Pivoted'!GU28</f>
        <v>138.30000000000001</v>
      </c>
      <c r="K12" s="599">
        <f>'Haver Pivoted'!GV28</f>
        <v>151.30000000000001</v>
      </c>
      <c r="L12" s="599">
        <f>'Haver Pivoted'!GW28</f>
        <v>156.6</v>
      </c>
      <c r="M12" s="599">
        <f>'Haver Pivoted'!GX28</f>
        <v>166.2</v>
      </c>
      <c r="N12" s="599">
        <f>'Haver Pivoted'!GY28</f>
        <v>177.8</v>
      </c>
      <c r="O12" s="962">
        <f>'Haver Pivoted'!GZ28</f>
        <v>173.1</v>
      </c>
      <c r="P12" s="675">
        <f t="shared" si="10"/>
        <v>175.63786653185036</v>
      </c>
      <c r="Q12" s="675">
        <f>Q75*I65</f>
        <v>177.30882584051193</v>
      </c>
      <c r="R12" s="675">
        <f t="shared" si="11"/>
        <v>179.57503179939275</v>
      </c>
      <c r="S12" s="675">
        <f t="shared" si="11"/>
        <v>182.05914217739672</v>
      </c>
      <c r="T12" s="675">
        <f t="shared" si="11"/>
        <v>184.32534813627754</v>
      </c>
      <c r="U12" s="675">
        <f>U75*J65</f>
        <v>180.67485446964741</v>
      </c>
      <c r="V12" s="675">
        <f t="shared" si="12"/>
        <v>182.48149736271273</v>
      </c>
      <c r="W12" s="675">
        <f t="shared" si="12"/>
        <v>184.29870541889539</v>
      </c>
      <c r="X12" s="675">
        <f t="shared" si="12"/>
        <v>186.02082700702198</v>
      </c>
      <c r="Y12" s="675">
        <f>Y75*K65</f>
        <v>187.63624044766337</v>
      </c>
      <c r="Z12" s="675">
        <f t="shared" si="13"/>
        <v>189.28546241028027</v>
      </c>
      <c r="AA12" s="675">
        <f t="shared" si="13"/>
        <v>190.99384928635433</v>
      </c>
      <c r="AB12" s="325">
        <f t="shared" si="13"/>
        <v>192.58601936813761</v>
      </c>
      <c r="AC12" s="967">
        <f>AC75*L65</f>
        <v>194.29863230945855</v>
      </c>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row>
    <row r="13" spans="4:56" s="141" customFormat="1" ht="14.5" x14ac:dyDescent="0.35">
      <c r="D13" s="87" t="s">
        <v>677</v>
      </c>
      <c r="E13" s="594" t="s">
        <v>162</v>
      </c>
      <c r="F13" s="788">
        <f>'Haver Pivoted'!GQ29</f>
        <v>218.9</v>
      </c>
      <c r="G13" s="492">
        <f>'Haver Pivoted'!GR29</f>
        <v>206.5</v>
      </c>
      <c r="H13" s="492">
        <f>'Haver Pivoted'!GS29</f>
        <v>231.4</v>
      </c>
      <c r="I13" s="492">
        <f>'Haver Pivoted'!GT29</f>
        <v>166.7</v>
      </c>
      <c r="J13" s="492">
        <f>'Haver Pivoted'!GU29</f>
        <v>167.4</v>
      </c>
      <c r="K13" s="492">
        <f>'Haver Pivoted'!GV29</f>
        <v>211.7</v>
      </c>
      <c r="L13" s="492">
        <f>'Haver Pivoted'!GW29</f>
        <v>225.1</v>
      </c>
      <c r="M13" s="492">
        <f>'Haver Pivoted'!GX29</f>
        <v>246.4</v>
      </c>
      <c r="N13" s="492">
        <f>'Haver Pivoted'!GY29</f>
        <v>275.10000000000002</v>
      </c>
      <c r="O13" s="1188">
        <v>290.01506024096392</v>
      </c>
      <c r="P13" s="675">
        <f t="shared" si="10"/>
        <v>293.3295180722892</v>
      </c>
      <c r="Q13" s="675">
        <f>Q76*I66</f>
        <v>344.48724035608313</v>
      </c>
      <c r="R13" s="675">
        <f t="shared" si="11"/>
        <v>350.43471810089022</v>
      </c>
      <c r="S13" s="675">
        <f t="shared" si="11"/>
        <v>352.06735905044513</v>
      </c>
      <c r="T13" s="675">
        <f t="shared" si="11"/>
        <v>351.83412462908012</v>
      </c>
      <c r="U13" s="675">
        <f>U76*J66</f>
        <v>350.08486646884273</v>
      </c>
      <c r="V13" s="675">
        <f t="shared" si="12"/>
        <v>347.05281899109792</v>
      </c>
      <c r="W13" s="675">
        <f t="shared" si="12"/>
        <v>345.18694362017806</v>
      </c>
      <c r="X13" s="675">
        <f t="shared" si="12"/>
        <v>345.18694362017806</v>
      </c>
      <c r="Y13" s="675">
        <f>Y76*K66</f>
        <v>344.67382789317509</v>
      </c>
      <c r="Z13" s="675">
        <f t="shared" si="13"/>
        <v>346.36477744807127</v>
      </c>
      <c r="AA13" s="675">
        <f t="shared" si="13"/>
        <v>347.79916913946596</v>
      </c>
      <c r="AB13" s="325">
        <f t="shared" si="13"/>
        <v>349.7700000000001</v>
      </c>
      <c r="AC13" s="967">
        <f>AC76*L66</f>
        <v>350.71459940652824</v>
      </c>
      <c r="AD13" s="332"/>
      <c r="AE13" s="332"/>
      <c r="AF13" s="332"/>
      <c r="AG13" s="332"/>
      <c r="AH13" s="332"/>
      <c r="AI13" s="332"/>
      <c r="AJ13" s="332"/>
      <c r="AK13" s="332"/>
      <c r="AL13" s="332"/>
      <c r="AM13" s="332"/>
      <c r="AN13" s="332"/>
      <c r="AO13" s="332"/>
      <c r="AP13" s="332"/>
      <c r="AQ13" s="332"/>
      <c r="AR13" s="332"/>
      <c r="AS13" s="332"/>
      <c r="AT13" s="332"/>
      <c r="AU13" s="332"/>
      <c r="AV13" s="332"/>
      <c r="AW13" s="332"/>
      <c r="AX13" s="332"/>
      <c r="AY13" s="332"/>
      <c r="AZ13" s="332"/>
      <c r="BA13" s="332"/>
      <c r="BB13" s="332"/>
      <c r="BC13" s="332"/>
    </row>
    <row r="14" spans="4:56" x14ac:dyDescent="0.3">
      <c r="D14" s="277"/>
      <c r="E14" s="96"/>
      <c r="F14" s="591"/>
      <c r="G14" s="596"/>
      <c r="H14" s="597"/>
      <c r="I14" s="597"/>
      <c r="J14" s="597"/>
      <c r="K14" s="597"/>
      <c r="L14" s="597"/>
      <c r="M14" s="597"/>
      <c r="N14" s="596"/>
      <c r="O14" s="969"/>
      <c r="P14" s="326"/>
      <c r="Q14" s="327"/>
      <c r="R14" s="326"/>
      <c r="S14" s="326"/>
      <c r="T14" s="327"/>
      <c r="U14" s="328"/>
      <c r="V14" s="326"/>
      <c r="W14" s="326"/>
      <c r="X14" s="326"/>
      <c r="Y14" s="326"/>
      <c r="Z14" s="326"/>
      <c r="AA14" s="326"/>
      <c r="AB14" s="326"/>
      <c r="AC14" s="970"/>
      <c r="AD14" s="153"/>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c r="BC14" s="153"/>
    </row>
    <row r="15" spans="4:56" x14ac:dyDescent="0.3">
      <c r="D15" s="278" t="s">
        <v>649</v>
      </c>
      <c r="E15" s="97"/>
      <c r="F15" s="600"/>
      <c r="G15" s="597"/>
      <c r="H15" s="596"/>
      <c r="I15" s="596"/>
      <c r="J15" s="596"/>
      <c r="K15" s="596"/>
      <c r="L15" s="596"/>
      <c r="M15" s="596"/>
      <c r="N15" s="596"/>
      <c r="O15" s="969"/>
      <c r="P15" s="324"/>
      <c r="Q15" s="324"/>
      <c r="R15" s="324"/>
      <c r="S15" s="324"/>
      <c r="T15" s="324"/>
      <c r="U15" s="324"/>
      <c r="V15" s="324"/>
      <c r="W15" s="324"/>
      <c r="X15" s="324"/>
      <c r="Y15" s="324"/>
      <c r="Z15" s="324"/>
      <c r="AA15" s="324"/>
      <c r="AB15" s="324"/>
      <c r="AC15" s="964"/>
    </row>
    <row r="16" spans="4:56" s="141" customFormat="1" ht="14.5" x14ac:dyDescent="0.35">
      <c r="D16" s="314" t="s">
        <v>673</v>
      </c>
      <c r="E16" s="490"/>
      <c r="F16" s="788">
        <f t="shared" ref="F16:X16" si="14">SUM(F17:F19)</f>
        <v>1890.1</v>
      </c>
      <c r="G16" s="492">
        <f t="shared" si="14"/>
        <v>1889.7999999999997</v>
      </c>
      <c r="H16" s="492">
        <f t="shared" si="14"/>
        <v>1893.3000000000002</v>
      </c>
      <c r="I16" s="492">
        <f t="shared" si="14"/>
        <v>1915.1999999999998</v>
      </c>
      <c r="J16" s="492">
        <f t="shared" si="14"/>
        <v>1858.8000000000002</v>
      </c>
      <c r="K16" s="492">
        <f t="shared" si="14"/>
        <v>1932.2</v>
      </c>
      <c r="L16" s="492">
        <f t="shared" si="14"/>
        <v>1943.7</v>
      </c>
      <c r="M16" s="492">
        <f t="shared" si="14"/>
        <v>1995.3000000000002</v>
      </c>
      <c r="N16" s="492">
        <f t="shared" si="14"/>
        <v>2066.8000000000002</v>
      </c>
      <c r="O16" s="968">
        <f t="shared" si="14"/>
        <v>2105.9</v>
      </c>
      <c r="P16" s="330">
        <f>SUM(P17:P19)</f>
        <v>2120.9227646076561</v>
      </c>
      <c r="Q16" s="330">
        <f t="shared" si="14"/>
        <v>2150.1214626082142</v>
      </c>
      <c r="R16" s="330">
        <f t="shared" si="14"/>
        <v>2178.3025304043881</v>
      </c>
      <c r="S16" s="330">
        <f t="shared" si="14"/>
        <v>2207.6291426343887</v>
      </c>
      <c r="T16" s="330">
        <f t="shared" si="14"/>
        <v>2234.5192049980928</v>
      </c>
      <c r="U16" s="330">
        <f t="shared" si="14"/>
        <v>2258.6479016494136</v>
      </c>
      <c r="V16" s="330">
        <f t="shared" si="14"/>
        <v>2281.4446722707116</v>
      </c>
      <c r="W16" s="330">
        <f t="shared" si="14"/>
        <v>2304.1429547281373</v>
      </c>
      <c r="X16" s="330">
        <f t="shared" si="14"/>
        <v>2325.6941437487076</v>
      </c>
      <c r="Y16" s="330">
        <f t="shared" ref="Y16" si="15">SUM(Y17:Y19)</f>
        <v>2346.2482634367179</v>
      </c>
      <c r="Z16" s="330">
        <f t="shared" ref="Z16" si="16">SUM(Z17:Z19)</f>
        <v>2366.7752749938418</v>
      </c>
      <c r="AA16" s="330">
        <f t="shared" ref="AA16" si="17">SUM(AA17:AA19)</f>
        <v>2388.1951121347661</v>
      </c>
      <c r="AB16" s="330">
        <f t="shared" ref="AB16" si="18">SUM(AB17:AB19)</f>
        <v>2408.6962876467583</v>
      </c>
      <c r="AC16" s="971">
        <f t="shared" ref="AC16" si="19">SUM(AC17:AC19)</f>
        <v>2430.550117671296</v>
      </c>
    </row>
    <row r="17" spans="4:40" x14ac:dyDescent="0.3">
      <c r="D17" s="144" t="s">
        <v>678</v>
      </c>
      <c r="E17" s="97" t="s">
        <v>679</v>
      </c>
      <c r="F17" s="602">
        <f>'Haver Pivoted'!GQ33</f>
        <v>520.9</v>
      </c>
      <c r="G17" s="599">
        <f>'Haver Pivoted'!GR33</f>
        <v>497.4</v>
      </c>
      <c r="H17" s="599">
        <f>'Haver Pivoted'!GS33</f>
        <v>494.7</v>
      </c>
      <c r="I17" s="599">
        <f>'Haver Pivoted'!GT33</f>
        <v>503.8</v>
      </c>
      <c r="J17" s="599">
        <f>'Haver Pivoted'!GU33</f>
        <v>517.5</v>
      </c>
      <c r="K17" s="599">
        <f>'Haver Pivoted'!GV33</f>
        <v>519.6</v>
      </c>
      <c r="L17" s="599">
        <f>'Haver Pivoted'!GW33</f>
        <v>522.79999999999995</v>
      </c>
      <c r="M17" s="599">
        <f>'Haver Pivoted'!GX33</f>
        <v>560.20000000000005</v>
      </c>
      <c r="N17" s="599">
        <f>'Haver Pivoted'!GY33</f>
        <v>586.4</v>
      </c>
      <c r="O17" s="962">
        <f>'Haver Pivoted'!GZ33</f>
        <v>597.70000000000005</v>
      </c>
      <c r="P17" s="329">
        <f t="shared" ref="P17:AC17" si="20">P96*P71</f>
        <v>602.47189037156625</v>
      </c>
      <c r="Q17" s="329">
        <f t="shared" si="20"/>
        <v>611.03943129934669</v>
      </c>
      <c r="R17" s="329">
        <f t="shared" si="20"/>
        <v>619.55797177307466</v>
      </c>
      <c r="S17" s="329">
        <f t="shared" si="20"/>
        <v>627.38673662437247</v>
      </c>
      <c r="T17" s="329">
        <f t="shared" si="20"/>
        <v>634.65765015261206</v>
      </c>
      <c r="U17" s="329">
        <f t="shared" si="20"/>
        <v>641.51394445425422</v>
      </c>
      <c r="V17" s="329">
        <f t="shared" si="20"/>
        <v>648.1629291425977</v>
      </c>
      <c r="W17" s="329">
        <f t="shared" si="20"/>
        <v>654.61591201473152</v>
      </c>
      <c r="X17" s="329">
        <f t="shared" si="20"/>
        <v>660.75604583406903</v>
      </c>
      <c r="Y17" s="329">
        <f t="shared" si="20"/>
        <v>666.85471773074698</v>
      </c>
      <c r="Z17" s="329">
        <f t="shared" si="20"/>
        <v>672.61792498045054</v>
      </c>
      <c r="AA17" s="329">
        <f t="shared" si="20"/>
        <v>678.74675100269917</v>
      </c>
      <c r="AB17" s="329">
        <f t="shared" si="20"/>
        <v>684.98488573014163</v>
      </c>
      <c r="AC17" s="972">
        <f t="shared" si="20"/>
        <v>691.51325391620207</v>
      </c>
    </row>
    <row r="18" spans="4:40" x14ac:dyDescent="0.3">
      <c r="D18" s="144" t="s">
        <v>675</v>
      </c>
      <c r="E18" s="97" t="s">
        <v>680</v>
      </c>
      <c r="F18" s="602">
        <f>'Haver Pivoted'!GQ36</f>
        <v>20.5</v>
      </c>
      <c r="G18" s="599">
        <f>'Haver Pivoted'!GR36</f>
        <v>20.3</v>
      </c>
      <c r="H18" s="599">
        <f>'Haver Pivoted'!GS36</f>
        <v>20.2</v>
      </c>
      <c r="I18" s="599">
        <f>'Haver Pivoted'!GT36</f>
        <v>20.100000000000001</v>
      </c>
      <c r="J18" s="599">
        <f>'Haver Pivoted'!GU36</f>
        <v>19.100000000000001</v>
      </c>
      <c r="K18" s="599">
        <f>'Haver Pivoted'!GV36</f>
        <v>19.899999999999999</v>
      </c>
      <c r="L18" s="599">
        <f>'Haver Pivoted'!GW36</f>
        <v>20.5</v>
      </c>
      <c r="M18" s="599">
        <f>'Haver Pivoted'!GX36</f>
        <v>21.2</v>
      </c>
      <c r="N18" s="599">
        <f>'Haver Pivoted'!GY36</f>
        <v>21.9</v>
      </c>
      <c r="O18" s="962">
        <f>'Haver Pivoted'!GZ36</f>
        <v>22.4</v>
      </c>
      <c r="P18" s="329">
        <f t="shared" ref="P18:AC18" si="21">P97*P74</f>
        <v>22.420170996446448</v>
      </c>
      <c r="Q18" s="329">
        <f t="shared" si="21"/>
        <v>22.739002875761301</v>
      </c>
      <c r="R18" s="329">
        <f t="shared" si="21"/>
        <v>23.020963041141783</v>
      </c>
      <c r="S18" s="329">
        <f t="shared" si="21"/>
        <v>23.274727189984215</v>
      </c>
      <c r="T18" s="329">
        <f t="shared" si="21"/>
        <v>23.513308868383085</v>
      </c>
      <c r="U18" s="329">
        <f t="shared" si="21"/>
        <v>23.73453915198931</v>
      </c>
      <c r="V18" s="329">
        <f t="shared" si="21"/>
        <v>23.949262662548293</v>
      </c>
      <c r="W18" s="329">
        <f t="shared" si="21"/>
        <v>24.168324021805436</v>
      </c>
      <c r="X18" s="329">
        <f t="shared" si="21"/>
        <v>24.391723229760739</v>
      </c>
      <c r="Y18" s="329">
        <f t="shared" si="21"/>
        <v>24.600590644577203</v>
      </c>
      <c r="Z18" s="329">
        <f t="shared" si="21"/>
        <v>24.819652003834346</v>
      </c>
      <c r="AA18" s="329">
        <f t="shared" si="21"/>
        <v>25.044135673964192</v>
      </c>
      <c r="AB18" s="329">
        <f t="shared" si="21"/>
        <v>25.265582850005323</v>
      </c>
      <c r="AC18" s="972">
        <f t="shared" si="21"/>
        <v>25.487246918481365</v>
      </c>
    </row>
    <row r="19" spans="4:40" x14ac:dyDescent="0.3">
      <c r="D19" s="144" t="s">
        <v>676</v>
      </c>
      <c r="E19" s="97" t="s">
        <v>681</v>
      </c>
      <c r="F19" s="602">
        <f>'Haver Pivoted'!GQ34</f>
        <v>1348.7</v>
      </c>
      <c r="G19" s="599">
        <f>'Haver Pivoted'!GR34</f>
        <v>1372.1</v>
      </c>
      <c r="H19" s="599">
        <f>'Haver Pivoted'!GS34</f>
        <v>1378.4</v>
      </c>
      <c r="I19" s="599">
        <f>'Haver Pivoted'!GT34</f>
        <v>1391.3</v>
      </c>
      <c r="J19" s="599">
        <f>'Haver Pivoted'!GU34</f>
        <v>1322.2</v>
      </c>
      <c r="K19" s="599">
        <f>'Haver Pivoted'!GV34</f>
        <v>1392.7</v>
      </c>
      <c r="L19" s="599">
        <f>'Haver Pivoted'!GW34</f>
        <v>1400.4</v>
      </c>
      <c r="M19" s="599">
        <f>'Haver Pivoted'!GX34</f>
        <v>1413.9</v>
      </c>
      <c r="N19" s="599">
        <f>'Haver Pivoted'!GY34</f>
        <v>1458.5</v>
      </c>
      <c r="O19" s="962">
        <f>'Haver Pivoted'!GZ34</f>
        <v>1485.8</v>
      </c>
      <c r="P19" s="329">
        <f t="shared" ref="P19:AC19" si="22">P98*P75</f>
        <v>1496.0307032396431</v>
      </c>
      <c r="Q19" s="329">
        <f t="shared" si="22"/>
        <v>1516.3430284331062</v>
      </c>
      <c r="R19" s="329">
        <f t="shared" si="22"/>
        <v>1535.7235955901717</v>
      </c>
      <c r="S19" s="329">
        <f t="shared" si="22"/>
        <v>1556.9676788200322</v>
      </c>
      <c r="T19" s="329">
        <f t="shared" si="22"/>
        <v>1576.3482459770978</v>
      </c>
      <c r="U19" s="329">
        <f t="shared" si="22"/>
        <v>1593.39941804317</v>
      </c>
      <c r="V19" s="329">
        <f t="shared" si="22"/>
        <v>1609.3324804655654</v>
      </c>
      <c r="W19" s="329">
        <f t="shared" si="22"/>
        <v>1625.3587186916004</v>
      </c>
      <c r="X19" s="329">
        <f t="shared" si="22"/>
        <v>1640.5463746848777</v>
      </c>
      <c r="Y19" s="329">
        <f t="shared" si="22"/>
        <v>1654.792955061394</v>
      </c>
      <c r="Z19" s="329">
        <f t="shared" si="22"/>
        <v>1669.337698009557</v>
      </c>
      <c r="AA19" s="329">
        <f t="shared" si="22"/>
        <v>1684.4042254581027</v>
      </c>
      <c r="AB19" s="329">
        <f t="shared" si="22"/>
        <v>1698.4458190666114</v>
      </c>
      <c r="AC19" s="972">
        <f t="shared" si="22"/>
        <v>1713.5496168366128</v>
      </c>
    </row>
    <row r="20" spans="4:40" s="141" customFormat="1" ht="14.5" x14ac:dyDescent="0.35">
      <c r="D20" s="333" t="s">
        <v>677</v>
      </c>
      <c r="E20" s="595" t="s">
        <v>682</v>
      </c>
      <c r="F20" s="789">
        <f>'Haver Pivoted'!GQ35</f>
        <v>72.8</v>
      </c>
      <c r="G20" s="592">
        <f>'Haver Pivoted'!GR35</f>
        <v>73.099999999999994</v>
      </c>
      <c r="H20" s="592">
        <f>'Haver Pivoted'!GS35</f>
        <v>72.400000000000006</v>
      </c>
      <c r="I20" s="592">
        <f>'Haver Pivoted'!GT35</f>
        <v>66.5</v>
      </c>
      <c r="J20" s="592">
        <f>'Haver Pivoted'!GU35</f>
        <v>61.9</v>
      </c>
      <c r="K20" s="592">
        <f>'Haver Pivoted'!GV35</f>
        <v>76.8</v>
      </c>
      <c r="L20" s="592">
        <f>'Haver Pivoted'!GW35</f>
        <v>78.8</v>
      </c>
      <c r="M20" s="592">
        <f>'Haver Pivoted'!GX35</f>
        <v>85.5</v>
      </c>
      <c r="N20" s="592">
        <f>'Haver Pivoted'!GY35</f>
        <v>91.9</v>
      </c>
      <c r="O20" s="1187">
        <v>119.87954743783622</v>
      </c>
      <c r="P20" s="751">
        <f>P99*P76</f>
        <v>169.23178899387719</v>
      </c>
      <c r="Q20" s="751">
        <f t="shared" ref="Q20:AC20" si="23">Q99*Q76</f>
        <v>166.13848610432476</v>
      </c>
      <c r="R20" s="751">
        <f t="shared" si="23"/>
        <v>169.00682151100062</v>
      </c>
      <c r="S20" s="751">
        <f t="shared" si="23"/>
        <v>169.79420770106853</v>
      </c>
      <c r="T20" s="751">
        <f t="shared" si="23"/>
        <v>169.68172395963026</v>
      </c>
      <c r="U20" s="751">
        <f t="shared" si="23"/>
        <v>168.83809589884322</v>
      </c>
      <c r="V20" s="751">
        <f t="shared" si="23"/>
        <v>167.37580726014573</v>
      </c>
      <c r="W20" s="751">
        <f t="shared" si="23"/>
        <v>166.47593732863956</v>
      </c>
      <c r="X20" s="751">
        <f t="shared" si="23"/>
        <v>166.47593732863956</v>
      </c>
      <c r="Y20" s="751">
        <f t="shared" si="23"/>
        <v>166.22847309747536</v>
      </c>
      <c r="Z20" s="751">
        <f t="shared" si="23"/>
        <v>167.04398022290283</v>
      </c>
      <c r="AA20" s="751">
        <f t="shared" si="23"/>
        <v>167.7357552327482</v>
      </c>
      <c r="AB20" s="751">
        <f t="shared" si="23"/>
        <v>168.68624284790158</v>
      </c>
      <c r="AC20" s="752">
        <f t="shared" si="23"/>
        <v>169.14180200072656</v>
      </c>
    </row>
    <row r="21" spans="4:40" s="141" customFormat="1" ht="14.5" x14ac:dyDescent="0.35">
      <c r="D21" s="489"/>
      <c r="E21" s="490"/>
      <c r="F21" s="491"/>
      <c r="G21" s="491"/>
      <c r="H21" s="492"/>
      <c r="I21" s="492"/>
      <c r="J21" s="492"/>
      <c r="K21" s="492"/>
      <c r="L21" s="492"/>
      <c r="M21" s="492"/>
      <c r="N21" s="492"/>
      <c r="O21" s="492"/>
      <c r="P21" s="492"/>
      <c r="Q21" s="492"/>
      <c r="R21" s="492"/>
      <c r="S21" s="492"/>
      <c r="T21" s="492"/>
      <c r="U21" s="492"/>
      <c r="V21" s="492"/>
      <c r="W21" s="492"/>
      <c r="X21" s="492"/>
      <c r="Y21" s="492"/>
    </row>
    <row r="22" spans="4:40" ht="41.5" customHeight="1" x14ac:dyDescent="0.35">
      <c r="D22"/>
      <c r="E22"/>
      <c r="F22" s="370"/>
      <c r="G22" s="370"/>
      <c r="H22" s="315"/>
      <c r="I22" s="315"/>
      <c r="J22" s="315"/>
      <c r="K22" s="315"/>
      <c r="L22" s="315"/>
      <c r="M22" s="39"/>
      <c r="N22" s="39"/>
      <c r="AD22" s="315"/>
      <c r="AE22" s="315"/>
      <c r="AF22" s="315"/>
      <c r="AG22" s="315"/>
      <c r="AH22" s="315"/>
      <c r="AI22" s="315"/>
      <c r="AJ22" s="315"/>
      <c r="AK22" s="315"/>
      <c r="AL22"/>
      <c r="AM22" s="315"/>
      <c r="AN22" s="315"/>
    </row>
    <row r="23" spans="4:40" ht="30.65" customHeight="1" x14ac:dyDescent="0.3">
      <c r="D23" s="973" t="s">
        <v>683</v>
      </c>
      <c r="E23" s="691">
        <v>2018</v>
      </c>
      <c r="F23" s="737">
        <v>2019</v>
      </c>
      <c r="G23" s="737">
        <v>2020</v>
      </c>
      <c r="H23" s="974">
        <v>2021</v>
      </c>
      <c r="I23" s="975">
        <v>2022</v>
      </c>
      <c r="J23" s="975">
        <v>2023</v>
      </c>
      <c r="K23" s="975">
        <v>2024</v>
      </c>
      <c r="L23" s="645">
        <v>2025</v>
      </c>
      <c r="N23" s="676"/>
      <c r="O23" s="173"/>
    </row>
    <row r="24" spans="4:40" s="52" customFormat="1" ht="16.5" customHeight="1" x14ac:dyDescent="0.3">
      <c r="D24" s="723" t="s">
        <v>684</v>
      </c>
      <c r="E24" s="714">
        <v>1683.5</v>
      </c>
      <c r="F24" s="715">
        <v>1717.9</v>
      </c>
      <c r="G24" s="721">
        <v>1609</v>
      </c>
      <c r="H24" s="716">
        <v>1951.672</v>
      </c>
      <c r="I24" s="716">
        <v>2327.7150000000001</v>
      </c>
      <c r="J24" s="716">
        <v>2333.6329999999998</v>
      </c>
      <c r="K24" s="716">
        <v>2353.3359999999998</v>
      </c>
      <c r="L24" s="717">
        <v>2383.1750000000002</v>
      </c>
      <c r="M24" s="746" t="s">
        <v>685</v>
      </c>
      <c r="N24" s="554"/>
      <c r="O24" s="280"/>
      <c r="P24" s="551"/>
      <c r="Q24" s="551"/>
      <c r="R24" s="551"/>
      <c r="S24" s="551"/>
      <c r="T24" s="551"/>
      <c r="U24" s="551"/>
      <c r="V24" s="551"/>
      <c r="W24" s="551"/>
      <c r="X24" s="527"/>
      <c r="Y24" s="527"/>
      <c r="Z24" s="552"/>
    </row>
    <row r="25" spans="4:40" s="52" customFormat="1" ht="16.5" customHeight="1" x14ac:dyDescent="0.3">
      <c r="D25" s="723" t="s">
        <v>686</v>
      </c>
      <c r="E25" s="718">
        <v>1170.7</v>
      </c>
      <c r="F25" s="528">
        <v>1243.4000000000001</v>
      </c>
      <c r="G25" s="976">
        <v>1310</v>
      </c>
      <c r="H25" s="359">
        <v>1345.5429999999999</v>
      </c>
      <c r="I25" s="359">
        <v>1391.2439999999999</v>
      </c>
      <c r="J25" s="359">
        <v>1503.952</v>
      </c>
      <c r="K25" s="359">
        <v>1549.5619999999999</v>
      </c>
      <c r="L25" s="360">
        <v>1588.4880000000001</v>
      </c>
      <c r="M25" s="527"/>
      <c r="N25" s="527"/>
      <c r="O25" s="280"/>
      <c r="P25" s="551"/>
      <c r="Q25" s="551"/>
      <c r="R25" s="551"/>
      <c r="S25" s="551"/>
      <c r="T25" s="551"/>
      <c r="U25" s="551"/>
      <c r="V25" s="551"/>
      <c r="W25" s="551"/>
      <c r="X25" s="527"/>
      <c r="Y25" s="527"/>
      <c r="Z25" s="552"/>
    </row>
    <row r="26" spans="4:40" s="52" customFormat="1" x14ac:dyDescent="0.3">
      <c r="D26" s="41" t="s">
        <v>687</v>
      </c>
      <c r="E26" s="508">
        <f>E27+E28</f>
        <v>136.30000000000001</v>
      </c>
      <c r="F26" s="299">
        <f t="shared" ref="F26:G26" si="24">F27+F28</f>
        <v>170.6</v>
      </c>
      <c r="G26" s="930">
        <f t="shared" si="24"/>
        <v>156</v>
      </c>
      <c r="H26" s="359">
        <f>H27+H28</f>
        <v>156</v>
      </c>
      <c r="I26" s="359">
        <f>I27+I28</f>
        <v>174</v>
      </c>
      <c r="J26" s="359">
        <f>J27+J28</f>
        <v>177</v>
      </c>
      <c r="K26" s="359">
        <f>K27+K28</f>
        <v>181</v>
      </c>
      <c r="L26" s="360">
        <f>L27+L28</f>
        <v>181</v>
      </c>
      <c r="N26" s="181"/>
      <c r="P26" s="555"/>
      <c r="Q26" s="555"/>
      <c r="R26" s="555"/>
      <c r="S26" s="555"/>
      <c r="T26" s="555"/>
      <c r="U26" s="555"/>
      <c r="V26" s="555"/>
      <c r="W26" s="555"/>
    </row>
    <row r="27" spans="4:40" s="52" customFormat="1" ht="16.5" customHeight="1" x14ac:dyDescent="0.3">
      <c r="D27" s="144" t="s">
        <v>688</v>
      </c>
      <c r="E27" s="718">
        <v>95</v>
      </c>
      <c r="F27" s="528">
        <v>99.8</v>
      </c>
      <c r="G27" s="976">
        <v>87</v>
      </c>
      <c r="H27" s="711">
        <v>75</v>
      </c>
      <c r="I27" s="711">
        <v>86</v>
      </c>
      <c r="J27" s="711">
        <v>88</v>
      </c>
      <c r="K27" s="711">
        <v>91</v>
      </c>
      <c r="L27" s="977">
        <v>91</v>
      </c>
      <c r="M27" s="527"/>
      <c r="N27" s="527"/>
      <c r="O27" s="553"/>
      <c r="P27" s="551"/>
      <c r="Q27" s="551"/>
      <c r="R27" s="551"/>
      <c r="S27" s="551"/>
      <c r="T27" s="551"/>
      <c r="U27" s="551"/>
      <c r="V27" s="551"/>
      <c r="W27" s="551"/>
      <c r="X27" s="527"/>
      <c r="Y27" s="527"/>
      <c r="Z27" s="552"/>
    </row>
    <row r="28" spans="4:40" s="52" customFormat="1" ht="16.5" customHeight="1" x14ac:dyDescent="0.3">
      <c r="D28" s="144" t="s">
        <v>689</v>
      </c>
      <c r="E28" s="718">
        <v>41.3</v>
      </c>
      <c r="F28" s="528">
        <v>70.8</v>
      </c>
      <c r="G28" s="976">
        <v>69</v>
      </c>
      <c r="H28" s="711">
        <v>81</v>
      </c>
      <c r="I28" s="711">
        <v>88</v>
      </c>
      <c r="J28" s="711">
        <v>89</v>
      </c>
      <c r="K28" s="711">
        <v>90</v>
      </c>
      <c r="L28" s="977">
        <v>90</v>
      </c>
      <c r="M28" s="527"/>
      <c r="N28" s="527"/>
      <c r="O28" s="553"/>
      <c r="P28" s="551"/>
      <c r="Q28" s="551"/>
      <c r="R28" s="551"/>
      <c r="S28" s="551"/>
      <c r="T28" s="551"/>
      <c r="U28" s="551"/>
      <c r="V28" s="551"/>
      <c r="W28" s="551"/>
      <c r="X28" s="527"/>
      <c r="Y28" s="527"/>
      <c r="Z28" s="552"/>
    </row>
    <row r="29" spans="4:40" ht="16.5" customHeight="1" x14ac:dyDescent="0.3">
      <c r="D29" s="724" t="s">
        <v>149</v>
      </c>
      <c r="E29" s="719">
        <v>204.7</v>
      </c>
      <c r="F29" s="720">
        <v>230.2</v>
      </c>
      <c r="G29" s="722">
        <v>212</v>
      </c>
      <c r="H29" s="712">
        <v>238.38800000000001</v>
      </c>
      <c r="I29" s="712">
        <v>316.697</v>
      </c>
      <c r="J29" s="712">
        <v>379.19200000000001</v>
      </c>
      <c r="K29" s="712">
        <v>389.55099999999999</v>
      </c>
      <c r="L29" s="713">
        <v>402.43099999999998</v>
      </c>
      <c r="M29" s="316"/>
      <c r="N29" s="316"/>
      <c r="O29" s="209"/>
      <c r="P29" s="528"/>
      <c r="Q29" s="528"/>
      <c r="R29" s="528"/>
      <c r="S29" s="528"/>
      <c r="T29" s="528"/>
      <c r="U29" s="528"/>
      <c r="V29" s="528"/>
      <c r="W29" s="528"/>
      <c r="X29" s="316"/>
      <c r="Y29" s="316"/>
      <c r="Z29" s="281"/>
    </row>
    <row r="30" spans="4:40" ht="16.5" customHeight="1" x14ac:dyDescent="0.3">
      <c r="D30" s="280"/>
      <c r="E30" s="318"/>
      <c r="F30" s="318"/>
      <c r="G30" s="316"/>
      <c r="H30" s="316"/>
      <c r="I30" s="316"/>
      <c r="J30" s="316"/>
      <c r="K30" s="316"/>
      <c r="L30" s="316"/>
      <c r="M30" s="316"/>
      <c r="N30" s="316"/>
      <c r="O30" s="316"/>
      <c r="P30" s="316"/>
      <c r="Q30" s="316"/>
      <c r="R30" s="316"/>
      <c r="S30" s="316"/>
      <c r="T30" s="316"/>
      <c r="U30" s="316"/>
      <c r="V30" s="316"/>
      <c r="W30" s="316"/>
      <c r="X30" s="316"/>
      <c r="Y30" s="316"/>
      <c r="Z30" s="281"/>
    </row>
    <row r="31" spans="4:40" x14ac:dyDescent="0.3">
      <c r="D31" s="346" t="s">
        <v>690</v>
      </c>
      <c r="E31" s="691">
        <v>2018</v>
      </c>
      <c r="F31" s="692">
        <v>2019</v>
      </c>
      <c r="G31" s="693">
        <v>2020</v>
      </c>
      <c r="H31" s="694">
        <v>2021</v>
      </c>
      <c r="I31" s="694">
        <v>2022</v>
      </c>
      <c r="J31" s="694">
        <v>2023</v>
      </c>
      <c r="K31" s="694">
        <v>2024</v>
      </c>
      <c r="L31" s="695">
        <v>2025</v>
      </c>
      <c r="O31" s="34" t="s">
        <v>691</v>
      </c>
    </row>
    <row r="32" spans="4:40" ht="14.5" customHeight="1" x14ac:dyDescent="0.3">
      <c r="D32" s="371" t="s">
        <v>684</v>
      </c>
      <c r="E32" s="43">
        <v>1622</v>
      </c>
      <c r="F32" s="43">
        <v>1687</v>
      </c>
      <c r="G32" s="317">
        <v>1695</v>
      </c>
      <c r="H32" s="696">
        <f>AVERAGE(L10:O10)</f>
        <v>1877.8500000000001</v>
      </c>
      <c r="I32" s="697">
        <f>AVERAGE(P10:S10)</f>
        <v>2029.1863078615729</v>
      </c>
      <c r="J32" s="697">
        <f>AVERAGE(T10:W10)</f>
        <v>2116.4634209530045</v>
      </c>
      <c r="K32" s="697">
        <f>AVERAGE(X10:AA10)</f>
        <v>2198.5507921382919</v>
      </c>
      <c r="L32" s="698"/>
    </row>
    <row r="33" spans="4:20" x14ac:dyDescent="0.3">
      <c r="D33" s="371" t="s">
        <v>692</v>
      </c>
      <c r="E33" s="43">
        <v>1332</v>
      </c>
      <c r="F33" s="43">
        <v>1388</v>
      </c>
      <c r="G33" s="317">
        <v>1414</v>
      </c>
      <c r="H33" s="677">
        <f>AVERAGE(L11:O11)</f>
        <v>1529.5500000000002</v>
      </c>
      <c r="I33" s="678">
        <f>AVERAGE(P11:S11)</f>
        <v>1615.7688436633487</v>
      </c>
      <c r="J33" s="678">
        <f>AVERAGE(T11:W11)</f>
        <v>1680.4702660639589</v>
      </c>
      <c r="K33" s="678">
        <f>AVERAGE(X11:AA11)</f>
        <v>1741.9806221376321</v>
      </c>
      <c r="L33" s="978"/>
      <c r="N33" s="386"/>
      <c r="O33" s="1165"/>
      <c r="P33" s="1165"/>
      <c r="Q33" s="1165"/>
      <c r="R33" s="1165"/>
    </row>
    <row r="34" spans="4:20" x14ac:dyDescent="0.3">
      <c r="D34" s="371" t="s">
        <v>148</v>
      </c>
      <c r="E34" s="43">
        <v>150</v>
      </c>
      <c r="F34" s="43">
        <v>175</v>
      </c>
      <c r="G34" s="275">
        <v>160</v>
      </c>
      <c r="H34" s="677">
        <f>AVERAGE(L12:O12)</f>
        <v>168.42499999999998</v>
      </c>
      <c r="I34" s="678">
        <f>AVERAGE(P12:S12)</f>
        <v>178.64521658728796</v>
      </c>
      <c r="J34" s="678">
        <f>AVERAGE(T12:W12)</f>
        <v>182.94510134688329</v>
      </c>
      <c r="K34" s="678">
        <f>AVERAGE(X12:AA12)</f>
        <v>188.48409478783</v>
      </c>
      <c r="L34" s="978"/>
      <c r="N34" s="386"/>
      <c r="O34" s="1165" t="s">
        <v>693</v>
      </c>
      <c r="P34" s="1165"/>
      <c r="Q34" s="1165"/>
      <c r="R34" s="1165"/>
    </row>
    <row r="35" spans="4:20" x14ac:dyDescent="0.3">
      <c r="D35" s="348" t="s">
        <v>379</v>
      </c>
      <c r="E35" s="145">
        <v>208</v>
      </c>
      <c r="F35" s="145">
        <v>219</v>
      </c>
      <c r="G35" s="319">
        <v>197</v>
      </c>
      <c r="H35" s="699">
        <f>AVERAGE(L13:O13)</f>
        <v>259.15376506024097</v>
      </c>
      <c r="I35" s="700">
        <f>AVERAGE(P13:S13)</f>
        <v>335.07970889492697</v>
      </c>
      <c r="J35" s="700">
        <f>AVERAGE(T13:W13)</f>
        <v>348.53968842729967</v>
      </c>
      <c r="K35" s="700">
        <f>AVERAGE(X13:AA13)</f>
        <v>346.00617952522259</v>
      </c>
      <c r="L35" s="701"/>
      <c r="N35" s="386"/>
      <c r="O35" s="276" t="s">
        <v>694</v>
      </c>
      <c r="P35" s="276" t="s">
        <v>695</v>
      </c>
      <c r="Q35" s="276" t="s">
        <v>696</v>
      </c>
      <c r="R35" s="276" t="s">
        <v>697</v>
      </c>
    </row>
    <row r="36" spans="4:20" ht="14.5" x14ac:dyDescent="0.35">
      <c r="D36" s="320"/>
      <c r="E36" s="43"/>
      <c r="F36" s="43"/>
      <c r="G36" s="43"/>
      <c r="N36" s="34" t="s">
        <v>698</v>
      </c>
      <c r="O36">
        <v>2291.1</v>
      </c>
      <c r="P36">
        <v>2308.4</v>
      </c>
      <c r="Q36">
        <v>2338.6999999999998</v>
      </c>
      <c r="R36">
        <v>2350.6</v>
      </c>
    </row>
    <row r="37" spans="4:20" x14ac:dyDescent="0.3">
      <c r="D37" s="55" t="s">
        <v>699</v>
      </c>
      <c r="E37" s="43"/>
      <c r="F37" s="43"/>
      <c r="G37" s="43"/>
      <c r="P37" s="34">
        <f>P36/O36</f>
        <v>1.0075509580550828</v>
      </c>
      <c r="Q37" s="34">
        <f>Q36/P36</f>
        <v>1.0131259747010914</v>
      </c>
      <c r="R37" s="34">
        <f>R36/Q36</f>
        <v>1.0050882969170907</v>
      </c>
    </row>
    <row r="38" spans="4:20" x14ac:dyDescent="0.3">
      <c r="D38" s="979" t="s">
        <v>700</v>
      </c>
      <c r="E38" s="692">
        <v>2018</v>
      </c>
      <c r="F38" s="692">
        <v>2019</v>
      </c>
      <c r="G38" s="693">
        <v>2020</v>
      </c>
      <c r="H38" s="708">
        <v>2021</v>
      </c>
      <c r="I38" s="709">
        <v>2022</v>
      </c>
      <c r="J38" s="709">
        <v>2023</v>
      </c>
      <c r="K38" s="709">
        <v>2024</v>
      </c>
      <c r="L38" s="710">
        <v>2025</v>
      </c>
    </row>
    <row r="39" spans="4:20" x14ac:dyDescent="0.3">
      <c r="D39" s="371" t="s">
        <v>684</v>
      </c>
      <c r="E39" s="295">
        <f t="shared" ref="E39:G41" si="25">E32/E24</f>
        <v>0.96346896346896349</v>
      </c>
      <c r="F39" s="295">
        <f t="shared" si="25"/>
        <v>0.98201292275452579</v>
      </c>
      <c r="G39" s="295">
        <f t="shared" si="25"/>
        <v>1.0534493474207582</v>
      </c>
      <c r="H39" s="703">
        <f t="shared" ref="H39:K39" si="26">H32/H24</f>
        <v>0.96217499661828432</v>
      </c>
      <c r="I39" s="704">
        <f t="shared" si="26"/>
        <v>0.87175032504476402</v>
      </c>
      <c r="J39" s="704">
        <f t="shared" si="26"/>
        <v>0.90693927492155135</v>
      </c>
      <c r="K39" s="704">
        <f t="shared" si="26"/>
        <v>0.934227323313922</v>
      </c>
      <c r="L39" s="779"/>
      <c r="T39" s="173"/>
    </row>
    <row r="40" spans="4:20" x14ac:dyDescent="0.3">
      <c r="D40" s="371" t="s">
        <v>692</v>
      </c>
      <c r="E40" s="295">
        <f t="shared" si="25"/>
        <v>1.1377808148970701</v>
      </c>
      <c r="F40" s="295">
        <f t="shared" si="25"/>
        <v>1.1162940324915553</v>
      </c>
      <c r="G40" s="295">
        <f t="shared" si="25"/>
        <v>1.0793893129770993</v>
      </c>
      <c r="H40" s="705">
        <f t="shared" ref="H40:K40" si="27">H33/H25</f>
        <v>1.1367529688757627</v>
      </c>
      <c r="I40" s="702">
        <f t="shared" si="27"/>
        <v>1.1613842314240699</v>
      </c>
      <c r="J40" s="702">
        <f t="shared" si="27"/>
        <v>1.1173696142323417</v>
      </c>
      <c r="K40" s="702">
        <f t="shared" si="27"/>
        <v>1.1241761363131209</v>
      </c>
      <c r="L40" s="978"/>
    </row>
    <row r="41" spans="4:20" x14ac:dyDescent="0.3">
      <c r="D41" s="371" t="s">
        <v>148</v>
      </c>
      <c r="E41" s="295">
        <f t="shared" si="25"/>
        <v>1.1005135730007336</v>
      </c>
      <c r="F41" s="295">
        <f t="shared" si="25"/>
        <v>1.0257913247362251</v>
      </c>
      <c r="G41" s="295">
        <f t="shared" si="25"/>
        <v>1.0256410256410255</v>
      </c>
      <c r="H41" s="705">
        <f t="shared" ref="H41:K41" si="28">H34/H26</f>
        <v>1.0796474358974357</v>
      </c>
      <c r="I41" s="702">
        <f t="shared" si="28"/>
        <v>1.0266966470533792</v>
      </c>
      <c r="J41" s="702">
        <f t="shared" si="28"/>
        <v>1.0335881432027305</v>
      </c>
      <c r="K41" s="702">
        <f t="shared" si="28"/>
        <v>1.0413485899880111</v>
      </c>
      <c r="L41" s="978"/>
    </row>
    <row r="42" spans="4:20" x14ac:dyDescent="0.3">
      <c r="D42" s="348" t="s">
        <v>379</v>
      </c>
      <c r="E42" s="306">
        <f>E35/E29</f>
        <v>1.0161211529066927</v>
      </c>
      <c r="F42" s="306">
        <f>F35/F29</f>
        <v>0.95134665508253702</v>
      </c>
      <c r="G42" s="306">
        <f>G35/G29</f>
        <v>0.92924528301886788</v>
      </c>
      <c r="H42" s="706">
        <f t="shared" ref="H42:K42" si="29">H35/H29</f>
        <v>1.0871091038988581</v>
      </c>
      <c r="I42" s="707">
        <f t="shared" si="29"/>
        <v>1.0580450995586537</v>
      </c>
      <c r="J42" s="707">
        <f t="shared" si="29"/>
        <v>0.91916413961080312</v>
      </c>
      <c r="K42" s="707">
        <f t="shared" si="29"/>
        <v>0.88821792146656686</v>
      </c>
      <c r="L42" s="701"/>
    </row>
    <row r="44" spans="4:20" x14ac:dyDescent="0.3">
      <c r="D44" s="320"/>
      <c r="E44" s="43"/>
      <c r="F44" s="43"/>
      <c r="G44" s="43"/>
    </row>
    <row r="45" spans="4:20" x14ac:dyDescent="0.3">
      <c r="D45" s="34" t="s">
        <v>701</v>
      </c>
    </row>
    <row r="46" spans="4:20" x14ac:dyDescent="0.3">
      <c r="D46" s="346" t="s">
        <v>702</v>
      </c>
      <c r="E46" s="691">
        <v>2018</v>
      </c>
      <c r="F46" s="737">
        <v>2019</v>
      </c>
      <c r="G46" s="737">
        <v>2020</v>
      </c>
      <c r="H46" s="738">
        <v>2021</v>
      </c>
      <c r="I46" s="739">
        <v>2022</v>
      </c>
      <c r="J46" s="739">
        <v>2023</v>
      </c>
      <c r="K46" s="739">
        <v>2024</v>
      </c>
      <c r="L46" s="740">
        <v>2025</v>
      </c>
    </row>
    <row r="47" spans="4:20" x14ac:dyDescent="0.3">
      <c r="D47" s="747" t="s">
        <v>703</v>
      </c>
      <c r="E47" s="508">
        <v>14016.099999999999</v>
      </c>
      <c r="F47" s="299">
        <v>14604.2</v>
      </c>
      <c r="G47" s="376">
        <v>14711.300000000001</v>
      </c>
      <c r="H47" s="375">
        <v>15405.2</v>
      </c>
      <c r="I47" s="375">
        <v>16319.2</v>
      </c>
      <c r="J47" s="375">
        <v>17105.099999999999</v>
      </c>
      <c r="K47" s="375">
        <v>17768.5</v>
      </c>
      <c r="L47" s="321">
        <v>18434.599999999999</v>
      </c>
    </row>
    <row r="48" spans="4:20" x14ac:dyDescent="0.3">
      <c r="D48" s="747" t="s">
        <v>704</v>
      </c>
      <c r="E48" s="146">
        <v>8804</v>
      </c>
      <c r="F48" s="43">
        <v>9209</v>
      </c>
      <c r="G48" s="376">
        <v>9300</v>
      </c>
      <c r="H48" s="375">
        <v>9843</v>
      </c>
      <c r="I48" s="375">
        <v>10541</v>
      </c>
      <c r="J48" s="375">
        <v>10992</v>
      </c>
      <c r="K48" s="375">
        <v>11395</v>
      </c>
      <c r="L48" s="321">
        <v>11808</v>
      </c>
    </row>
    <row r="49" spans="4:25" x14ac:dyDescent="0.3">
      <c r="D49" s="747" t="s">
        <v>705</v>
      </c>
      <c r="E49" s="146">
        <v>13844</v>
      </c>
      <c r="F49" s="43">
        <v>14403</v>
      </c>
      <c r="G49" s="376">
        <v>14201</v>
      </c>
      <c r="H49" s="375">
        <v>15238</v>
      </c>
      <c r="I49" s="375">
        <v>16381</v>
      </c>
      <c r="J49" s="375">
        <v>17184</v>
      </c>
      <c r="K49" s="375">
        <v>17840</v>
      </c>
      <c r="L49" s="321">
        <v>18477</v>
      </c>
    </row>
    <row r="50" spans="4:25" x14ac:dyDescent="0.3">
      <c r="D50" s="748" t="s">
        <v>706</v>
      </c>
      <c r="E50" s="669">
        <v>2211</v>
      </c>
      <c r="F50" s="670">
        <v>2243</v>
      </c>
      <c r="G50" s="671">
        <v>2125</v>
      </c>
      <c r="H50" s="672">
        <v>2616</v>
      </c>
      <c r="I50" s="672">
        <v>2996</v>
      </c>
      <c r="J50" s="672">
        <v>2989</v>
      </c>
      <c r="K50" s="672">
        <v>2967</v>
      </c>
      <c r="L50" s="673">
        <v>3017</v>
      </c>
    </row>
    <row r="51" spans="4:25" s="52" customFormat="1" x14ac:dyDescent="0.3"/>
    <row r="53" spans="4:25" x14ac:dyDescent="0.3">
      <c r="D53" s="34" t="s">
        <v>707</v>
      </c>
    </row>
    <row r="54" spans="4:25" x14ac:dyDescent="0.3">
      <c r="D54" s="346" t="s">
        <v>708</v>
      </c>
      <c r="E54" s="252">
        <v>2018</v>
      </c>
      <c r="F54" s="556">
        <v>2019</v>
      </c>
      <c r="G54" s="556">
        <v>2020</v>
      </c>
      <c r="H54" s="733">
        <v>2021</v>
      </c>
      <c r="I54" s="557">
        <v>2022</v>
      </c>
      <c r="J54" s="557">
        <v>2023</v>
      </c>
      <c r="K54" s="557">
        <v>2024</v>
      </c>
      <c r="L54" s="734">
        <v>2025</v>
      </c>
    </row>
    <row r="55" spans="4:25" x14ac:dyDescent="0.3">
      <c r="D55" s="749" t="s">
        <v>684</v>
      </c>
      <c r="E55" s="741">
        <f>E24/E47</f>
        <v>0.12011187134794987</v>
      </c>
      <c r="F55" s="742">
        <f t="shared" ref="F55:L55" si="30">F24/F47</f>
        <v>0.11763054463784391</v>
      </c>
      <c r="G55" s="744">
        <f t="shared" si="30"/>
        <v>0.10937170746297063</v>
      </c>
      <c r="H55" s="667">
        <f t="shared" si="30"/>
        <v>0.12668916989068627</v>
      </c>
      <c r="I55" s="667">
        <f t="shared" si="30"/>
        <v>0.14263658757782244</v>
      </c>
      <c r="J55" s="667">
        <f t="shared" si="30"/>
        <v>0.1364290767081163</v>
      </c>
      <c r="K55" s="667">
        <f t="shared" si="30"/>
        <v>0.13244426935306863</v>
      </c>
      <c r="L55" s="736">
        <f t="shared" si="30"/>
        <v>0.12927728293534985</v>
      </c>
    </row>
    <row r="56" spans="4:25" x14ac:dyDescent="0.3">
      <c r="D56" s="749" t="s">
        <v>686</v>
      </c>
      <c r="E56" s="743">
        <f t="shared" ref="E56:L56" si="31">E25/E48</f>
        <v>0.13297364834166289</v>
      </c>
      <c r="F56" s="374">
        <f t="shared" si="31"/>
        <v>0.13502008904332718</v>
      </c>
      <c r="G56" s="980">
        <f t="shared" si="31"/>
        <v>0.14086021505376345</v>
      </c>
      <c r="H56" s="378">
        <f t="shared" si="31"/>
        <v>0.13670049781570659</v>
      </c>
      <c r="I56" s="378">
        <f t="shared" si="31"/>
        <v>0.13198406223318471</v>
      </c>
      <c r="J56" s="378">
        <f t="shared" si="31"/>
        <v>0.13682241630276565</v>
      </c>
      <c r="K56" s="378">
        <f t="shared" si="31"/>
        <v>0.13598613426941641</v>
      </c>
      <c r="L56" s="981">
        <f t="shared" si="31"/>
        <v>0.13452642276422766</v>
      </c>
    </row>
    <row r="57" spans="4:25" x14ac:dyDescent="0.3">
      <c r="D57" s="747" t="s">
        <v>709</v>
      </c>
      <c r="E57" s="743">
        <f t="shared" ref="E57:L57" si="32">E26/E49</f>
        <v>9.8454203987286912E-3</v>
      </c>
      <c r="F57" s="374">
        <f t="shared" si="32"/>
        <v>1.1844754565021176E-2</v>
      </c>
      <c r="G57" s="980">
        <f t="shared" si="32"/>
        <v>1.0985141891416098E-2</v>
      </c>
      <c r="H57" s="378">
        <f t="shared" si="32"/>
        <v>1.0237563984774906E-2</v>
      </c>
      <c r="I57" s="378">
        <f t="shared" si="32"/>
        <v>1.0622062145168183E-2</v>
      </c>
      <c r="J57" s="378">
        <f t="shared" si="32"/>
        <v>1.0300279329608938E-2</v>
      </c>
      <c r="K57" s="378">
        <f t="shared" si="32"/>
        <v>1.0145739910313901E-2</v>
      </c>
      <c r="L57" s="981">
        <f t="shared" si="32"/>
        <v>9.7959625480326887E-3</v>
      </c>
    </row>
    <row r="58" spans="4:25" x14ac:dyDescent="0.3">
      <c r="D58" s="750" t="s">
        <v>149</v>
      </c>
      <c r="E58" s="668">
        <f>E29/E50</f>
        <v>9.258254183627318E-2</v>
      </c>
      <c r="F58" s="289">
        <f t="shared" ref="F58:L58" si="33">F29/F50</f>
        <v>0.10263040570664288</v>
      </c>
      <c r="G58" s="745">
        <f t="shared" si="33"/>
        <v>9.9764705882352936E-2</v>
      </c>
      <c r="H58" s="291">
        <f t="shared" si="33"/>
        <v>9.112691131498471E-2</v>
      </c>
      <c r="I58" s="291">
        <f t="shared" si="33"/>
        <v>0.10570660881174899</v>
      </c>
      <c r="J58" s="291">
        <f t="shared" si="33"/>
        <v>0.12686249581799933</v>
      </c>
      <c r="K58" s="291">
        <f t="shared" si="33"/>
        <v>0.13129457364341085</v>
      </c>
      <c r="L58" s="292">
        <f t="shared" si="33"/>
        <v>0.13338780245276766</v>
      </c>
    </row>
    <row r="60" spans="4:25" x14ac:dyDescent="0.3">
      <c r="D60" s="34" t="s">
        <v>710</v>
      </c>
    </row>
    <row r="61" spans="4:25" x14ac:dyDescent="0.3">
      <c r="D61" s="782" t="s">
        <v>484</v>
      </c>
    </row>
    <row r="62" spans="4:25" x14ac:dyDescent="0.3">
      <c r="D62" s="346" t="s">
        <v>711</v>
      </c>
      <c r="E62" s="692">
        <v>2018</v>
      </c>
      <c r="F62" s="737">
        <v>2019</v>
      </c>
      <c r="G62" s="737">
        <v>2020</v>
      </c>
      <c r="H62" s="738">
        <v>2021</v>
      </c>
      <c r="I62" s="739">
        <v>2022</v>
      </c>
      <c r="J62" s="739">
        <v>2023</v>
      </c>
      <c r="K62" s="739">
        <v>2024</v>
      </c>
      <c r="L62" s="740">
        <v>2025</v>
      </c>
    </row>
    <row r="63" spans="4:25" ht="20.149999999999999" customHeight="1" x14ac:dyDescent="0.3">
      <c r="D63" s="372" t="s">
        <v>684</v>
      </c>
      <c r="E63" s="741">
        <f t="shared" ref="E63:G66" si="34">E55*E39</f>
        <v>0.11572406018792676</v>
      </c>
      <c r="F63" s="742">
        <f t="shared" si="34"/>
        <v>0.11551471494501581</v>
      </c>
      <c r="G63" s="742">
        <f t="shared" si="34"/>
        <v>0.11521755385316049</v>
      </c>
      <c r="H63" s="735">
        <f>N82</f>
        <v>0.12373270706604039</v>
      </c>
      <c r="I63" s="667">
        <f>H63</f>
        <v>0.12373270706604039</v>
      </c>
      <c r="J63" s="667">
        <f t="shared" ref="J63:L63" si="35">I63</f>
        <v>0.12373270706604039</v>
      </c>
      <c r="K63" s="667">
        <f t="shared" si="35"/>
        <v>0.12373270706604039</v>
      </c>
      <c r="L63" s="736">
        <f t="shared" si="35"/>
        <v>0.12373270706604039</v>
      </c>
      <c r="M63" s="754"/>
      <c r="N63" s="753"/>
      <c r="O63" s="322"/>
      <c r="P63" s="322"/>
      <c r="Q63" s="322"/>
      <c r="R63" s="322"/>
      <c r="S63" s="322"/>
      <c r="T63" s="322"/>
      <c r="U63" s="322"/>
      <c r="V63" s="322"/>
      <c r="W63" s="322"/>
      <c r="X63" s="322"/>
      <c r="Y63" s="322"/>
    </row>
    <row r="64" spans="4:25" ht="18.649999999999999" customHeight="1" x14ac:dyDescent="0.3">
      <c r="D64" s="372" t="s">
        <v>686</v>
      </c>
      <c r="E64" s="743">
        <f t="shared" si="34"/>
        <v>0.15129486597001363</v>
      </c>
      <c r="F64" s="374">
        <f t="shared" si="34"/>
        <v>0.15072211966554458</v>
      </c>
      <c r="G64" s="374">
        <f t="shared" si="34"/>
        <v>0.1520430107526882</v>
      </c>
      <c r="H64" s="377">
        <f>N83</f>
        <v>0.15287773349987116</v>
      </c>
      <c r="I64" s="378">
        <f>H64</f>
        <v>0.15287773349987116</v>
      </c>
      <c r="J64" s="378">
        <f>I64</f>
        <v>0.15287773349987116</v>
      </c>
      <c r="K64" s="378">
        <f t="shared" ref="K64:L64" si="36">J64</f>
        <v>0.15287773349987116</v>
      </c>
      <c r="L64" s="981">
        <f t="shared" si="36"/>
        <v>0.15287773349987116</v>
      </c>
      <c r="M64" s="754"/>
      <c r="N64" s="753"/>
      <c r="O64" s="322"/>
      <c r="P64" s="322"/>
      <c r="Q64" s="322"/>
      <c r="R64" s="322"/>
      <c r="S64" s="322"/>
      <c r="T64" s="322"/>
      <c r="U64" s="322"/>
      <c r="V64" s="322"/>
      <c r="W64" s="322"/>
      <c r="X64" s="322"/>
      <c r="Y64" s="322"/>
    </row>
    <row r="65" spans="4:32" ht="19" customHeight="1" x14ac:dyDescent="0.3">
      <c r="D65" s="371" t="s">
        <v>148</v>
      </c>
      <c r="E65" s="743">
        <f t="shared" si="34"/>
        <v>1.0835018780699219E-2</v>
      </c>
      <c r="F65" s="374">
        <f t="shared" si="34"/>
        <v>1.2150246476428523E-2</v>
      </c>
      <c r="G65" s="374">
        <f t="shared" si="34"/>
        <v>1.1266812196324201E-2</v>
      </c>
      <c r="H65" s="377">
        <f>N84</f>
        <v>1.1338056460715356E-2</v>
      </c>
      <c r="I65" s="378">
        <f>AVERAGE($F41:$G41)*I57</f>
        <v>1.0895220956157794E-2</v>
      </c>
      <c r="J65" s="378">
        <f>AVERAGE($F41:$G41)*J57</f>
        <v>1.056516311734094E-2</v>
      </c>
      <c r="K65" s="378">
        <f>J65</f>
        <v>1.056516311734094E-2</v>
      </c>
      <c r="L65" s="981">
        <f>K65</f>
        <v>1.056516311734094E-2</v>
      </c>
      <c r="M65" s="754"/>
      <c r="N65" s="753"/>
      <c r="O65" s="322"/>
      <c r="P65" s="322"/>
      <c r="Q65" s="322"/>
      <c r="R65" s="322"/>
      <c r="S65" s="322"/>
      <c r="T65" s="322"/>
      <c r="U65" s="322"/>
      <c r="V65" s="322"/>
      <c r="W65" s="322"/>
      <c r="X65" s="322"/>
      <c r="Y65" s="322"/>
    </row>
    <row r="66" spans="4:32" ht="19" customHeight="1" x14ac:dyDescent="0.3">
      <c r="D66" s="373" t="s">
        <v>149</v>
      </c>
      <c r="E66" s="668">
        <f t="shared" si="34"/>
        <v>9.4075079149706017E-2</v>
      </c>
      <c r="F66" s="289">
        <f t="shared" si="34"/>
        <v>9.7637093178778417E-2</v>
      </c>
      <c r="G66" s="289">
        <f t="shared" si="34"/>
        <v>9.2705882352941166E-2</v>
      </c>
      <c r="H66" s="290">
        <f>M85</f>
        <v>0.11817745803357314</v>
      </c>
      <c r="I66" s="291">
        <f>N85</f>
        <v>0.11661721068249259</v>
      </c>
      <c r="J66" s="291">
        <f>I66</f>
        <v>0.11661721068249259</v>
      </c>
      <c r="K66" s="291">
        <f>J66</f>
        <v>0.11661721068249259</v>
      </c>
      <c r="L66" s="292">
        <f>K66</f>
        <v>0.11661721068249259</v>
      </c>
      <c r="M66" s="754"/>
      <c r="N66" s="753"/>
      <c r="O66" s="322"/>
      <c r="P66" s="322"/>
      <c r="Q66" s="322"/>
      <c r="R66" s="322"/>
      <c r="S66" s="322"/>
      <c r="T66" s="322"/>
      <c r="U66" s="322"/>
      <c r="V66" s="322"/>
      <c r="W66" s="322"/>
      <c r="X66" s="322"/>
      <c r="Y66" s="322"/>
    </row>
    <row r="67" spans="4:32" x14ac:dyDescent="0.3">
      <c r="E67" s="674"/>
      <c r="F67" s="674"/>
      <c r="G67" s="674"/>
      <c r="H67" s="674"/>
      <c r="I67" s="674"/>
      <c r="J67" s="674"/>
      <c r="K67" s="674"/>
      <c r="L67" s="674"/>
    </row>
    <row r="68" spans="4:32" x14ac:dyDescent="0.3">
      <c r="D68" s="781" t="s">
        <v>497</v>
      </c>
      <c r="E68" s="322"/>
      <c r="F68" s="322"/>
      <c r="G68" s="322"/>
      <c r="H68" s="322"/>
      <c r="I68" s="322"/>
      <c r="J68" s="322"/>
      <c r="K68" s="322"/>
      <c r="L68" s="374"/>
      <c r="M68" s="322"/>
      <c r="N68" s="322"/>
      <c r="O68" s="322"/>
      <c r="P68" s="322"/>
      <c r="Q68" s="322"/>
      <c r="R68" s="322"/>
      <c r="S68" s="322"/>
      <c r="T68" s="322"/>
      <c r="U68" s="322"/>
      <c r="V68" s="322"/>
      <c r="W68" s="322"/>
      <c r="X68" s="322"/>
      <c r="Y68" s="322"/>
    </row>
    <row r="69" spans="4:32" ht="14.5" customHeight="1" x14ac:dyDescent="0.3">
      <c r="D69" s="1159" t="s">
        <v>712</v>
      </c>
      <c r="E69" s="1160"/>
      <c r="F69" s="1057">
        <v>2019</v>
      </c>
      <c r="G69" s="1058"/>
      <c r="H69" s="1059"/>
      <c r="I69" s="1058">
        <v>2020</v>
      </c>
      <c r="J69" s="1058"/>
      <c r="K69" s="1058"/>
      <c r="L69" s="1058"/>
      <c r="M69" s="1057">
        <v>2021</v>
      </c>
      <c r="N69" s="1058"/>
      <c r="O69" s="1059"/>
      <c r="P69" s="852">
        <v>2021</v>
      </c>
      <c r="Q69" s="1064">
        <v>2022</v>
      </c>
      <c r="R69" s="1065"/>
      <c r="S69" s="1065"/>
      <c r="T69" s="1066"/>
      <c r="U69" s="1148">
        <v>2023</v>
      </c>
      <c r="V69" s="1149"/>
      <c r="W69" s="1149"/>
      <c r="X69" s="1149"/>
      <c r="Y69" s="1064">
        <v>2024</v>
      </c>
      <c r="Z69" s="1065"/>
      <c r="AA69" s="1065"/>
      <c r="AB69" s="1065"/>
      <c r="AC69" s="334">
        <v>2025</v>
      </c>
    </row>
    <row r="70" spans="4:32" x14ac:dyDescent="0.3">
      <c r="D70" s="1166"/>
      <c r="E70" s="1167"/>
      <c r="F70" s="167" t="s">
        <v>405</v>
      </c>
      <c r="G70" s="148" t="s">
        <v>290</v>
      </c>
      <c r="H70" s="155" t="s">
        <v>403</v>
      </c>
      <c r="I70" s="149" t="s">
        <v>404</v>
      </c>
      <c r="J70" s="149" t="s">
        <v>405</v>
      </c>
      <c r="K70" s="149" t="s">
        <v>290</v>
      </c>
      <c r="L70" s="149" t="s">
        <v>403</v>
      </c>
      <c r="M70" s="162" t="s">
        <v>404</v>
      </c>
      <c r="N70" s="149" t="s">
        <v>405</v>
      </c>
      <c r="O70" s="155" t="s">
        <v>290</v>
      </c>
      <c r="P70" s="61" t="s">
        <v>403</v>
      </c>
      <c r="Q70" s="58" t="s">
        <v>404</v>
      </c>
      <c r="R70" s="59" t="s">
        <v>405</v>
      </c>
      <c r="S70" s="59" t="s">
        <v>290</v>
      </c>
      <c r="T70" s="59" t="s">
        <v>403</v>
      </c>
      <c r="U70" s="58" t="s">
        <v>404</v>
      </c>
      <c r="V70" s="59" t="s">
        <v>405</v>
      </c>
      <c r="W70" s="59" t="s">
        <v>290</v>
      </c>
      <c r="X70" s="59" t="s">
        <v>403</v>
      </c>
      <c r="Y70" s="58" t="s">
        <v>404</v>
      </c>
      <c r="Z70" s="457" t="s">
        <v>405</v>
      </c>
      <c r="AA70" s="59" t="s">
        <v>290</v>
      </c>
      <c r="AB70" s="59" t="s">
        <v>403</v>
      </c>
      <c r="AC70" s="61" t="s">
        <v>404</v>
      </c>
    </row>
    <row r="71" spans="4:32" x14ac:dyDescent="0.3">
      <c r="D71" s="982" t="s">
        <v>703</v>
      </c>
      <c r="E71" s="560"/>
      <c r="F71" s="755">
        <f>F72+F73</f>
        <v>14660.3</v>
      </c>
      <c r="G71" s="756">
        <f t="shared" ref="G71:AC71" si="37">G72+G73</f>
        <v>14748</v>
      </c>
      <c r="H71" s="756">
        <f t="shared" si="37"/>
        <v>14896.1</v>
      </c>
      <c r="I71" s="756">
        <f t="shared" si="37"/>
        <v>15018.7</v>
      </c>
      <c r="J71" s="756">
        <f t="shared" si="37"/>
        <v>14127</v>
      </c>
      <c r="K71" s="756">
        <f t="shared" si="37"/>
        <v>14803.099999999999</v>
      </c>
      <c r="L71" s="756">
        <f t="shared" si="37"/>
        <v>15014.2</v>
      </c>
      <c r="M71" s="756">
        <f t="shared" si="37"/>
        <v>15152.900000000001</v>
      </c>
      <c r="N71" s="756">
        <f t="shared" si="37"/>
        <v>15654.4</v>
      </c>
      <c r="O71" s="757">
        <f t="shared" si="37"/>
        <v>15799.3</v>
      </c>
      <c r="P71" s="767">
        <f t="shared" si="37"/>
        <v>15983.8</v>
      </c>
      <c r="Q71" s="767">
        <f t="shared" si="37"/>
        <v>16211.099999999999</v>
      </c>
      <c r="R71" s="767">
        <f t="shared" si="37"/>
        <v>16437.099999999999</v>
      </c>
      <c r="S71" s="767">
        <f t="shared" si="37"/>
        <v>16644.8</v>
      </c>
      <c r="T71" s="767">
        <f t="shared" si="37"/>
        <v>16837.7</v>
      </c>
      <c r="U71" s="767">
        <f t="shared" si="37"/>
        <v>17019.599999999999</v>
      </c>
      <c r="V71" s="767">
        <f t="shared" si="37"/>
        <v>17196</v>
      </c>
      <c r="W71" s="767">
        <f t="shared" si="37"/>
        <v>17367.2</v>
      </c>
      <c r="X71" s="767">
        <f t="shared" si="37"/>
        <v>17530.099999999999</v>
      </c>
      <c r="Y71" s="767">
        <f t="shared" si="37"/>
        <v>17691.900000000001</v>
      </c>
      <c r="Z71" s="767">
        <f t="shared" si="37"/>
        <v>17844.8</v>
      </c>
      <c r="AA71" s="767">
        <f t="shared" si="37"/>
        <v>18007.400000000001</v>
      </c>
      <c r="AB71" s="767">
        <f t="shared" si="37"/>
        <v>18172.900000000001</v>
      </c>
      <c r="AC71" s="768">
        <f t="shared" si="37"/>
        <v>18346.099999999999</v>
      </c>
    </row>
    <row r="72" spans="4:32" ht="28" x14ac:dyDescent="0.3">
      <c r="D72" s="114" t="s">
        <v>713</v>
      </c>
      <c r="E72" s="559" t="s">
        <v>714</v>
      </c>
      <c r="F72" s="508">
        <v>9274.9</v>
      </c>
      <c r="G72" s="299">
        <v>9311.2999999999993</v>
      </c>
      <c r="H72" s="299">
        <v>9422.5</v>
      </c>
      <c r="I72" s="299">
        <v>9526.1</v>
      </c>
      <c r="J72" s="299">
        <v>8908.7999999999993</v>
      </c>
      <c r="K72" s="299">
        <v>9343.2999999999993</v>
      </c>
      <c r="L72" s="299">
        <v>9546</v>
      </c>
      <c r="M72" s="299">
        <v>9702.2000000000007</v>
      </c>
      <c r="N72" s="299">
        <v>9950.4</v>
      </c>
      <c r="O72" s="930">
        <v>10175.1</v>
      </c>
      <c r="P72" s="359">
        <v>10336.6</v>
      </c>
      <c r="Q72" s="359">
        <v>10484.299999999999</v>
      </c>
      <c r="R72" s="359">
        <v>10614</v>
      </c>
      <c r="S72" s="359">
        <v>10730.6</v>
      </c>
      <c r="T72" s="359">
        <v>10841</v>
      </c>
      <c r="U72" s="359">
        <v>10942.9</v>
      </c>
      <c r="V72" s="359">
        <v>11042.2</v>
      </c>
      <c r="W72" s="359">
        <v>11143.2</v>
      </c>
      <c r="X72" s="359">
        <v>11246.1</v>
      </c>
      <c r="Y72" s="359">
        <v>11342.3</v>
      </c>
      <c r="Z72" s="359">
        <v>11443.3</v>
      </c>
      <c r="AA72" s="359">
        <v>11546.8</v>
      </c>
      <c r="AB72" s="359">
        <v>11648.9</v>
      </c>
      <c r="AC72" s="360">
        <v>11751.1</v>
      </c>
    </row>
    <row r="73" spans="4:32" ht="28" x14ac:dyDescent="0.3">
      <c r="D73" s="114" t="s">
        <v>715</v>
      </c>
      <c r="E73" s="559"/>
      <c r="F73" s="508">
        <v>5385.4</v>
      </c>
      <c r="G73" s="299">
        <v>5436.7</v>
      </c>
      <c r="H73" s="299">
        <v>5473.6</v>
      </c>
      <c r="I73" s="299">
        <v>5492.6</v>
      </c>
      <c r="J73" s="299">
        <v>5218.2</v>
      </c>
      <c r="K73" s="299">
        <v>5459.8</v>
      </c>
      <c r="L73" s="299">
        <v>5468.2</v>
      </c>
      <c r="M73" s="299">
        <v>5450.7</v>
      </c>
      <c r="N73" s="299">
        <v>5704</v>
      </c>
      <c r="O73" s="930">
        <v>5624.2</v>
      </c>
      <c r="P73" s="359">
        <v>5647.2</v>
      </c>
      <c r="Q73" s="359">
        <v>5726.8</v>
      </c>
      <c r="R73" s="359">
        <v>5823.1</v>
      </c>
      <c r="S73" s="359">
        <v>5914.2</v>
      </c>
      <c r="T73" s="359">
        <v>5996.7</v>
      </c>
      <c r="U73" s="359">
        <v>6076.7</v>
      </c>
      <c r="V73" s="359">
        <v>6153.8</v>
      </c>
      <c r="W73" s="359">
        <v>6224</v>
      </c>
      <c r="X73" s="359">
        <v>6284</v>
      </c>
      <c r="Y73" s="359">
        <v>6349.6</v>
      </c>
      <c r="Z73" s="359">
        <v>6401.5</v>
      </c>
      <c r="AA73" s="359">
        <v>6460.6</v>
      </c>
      <c r="AB73" s="359">
        <v>6524</v>
      </c>
      <c r="AC73" s="360">
        <v>6595</v>
      </c>
    </row>
    <row r="74" spans="4:32" s="52" customFormat="1" x14ac:dyDescent="0.3">
      <c r="D74" s="163" t="s">
        <v>704</v>
      </c>
      <c r="E74" s="559"/>
      <c r="F74" s="758"/>
      <c r="G74" s="235"/>
      <c r="H74" s="759"/>
      <c r="I74" s="759"/>
      <c r="J74" s="759"/>
      <c r="K74" s="759"/>
      <c r="L74" s="299"/>
      <c r="M74" s="299">
        <v>9702</v>
      </c>
      <c r="N74" s="299">
        <v>9950</v>
      </c>
      <c r="O74" s="930">
        <v>10175</v>
      </c>
      <c r="P74" s="359">
        <v>10337</v>
      </c>
      <c r="Q74" s="359">
        <v>10484</v>
      </c>
      <c r="R74" s="359">
        <v>10614</v>
      </c>
      <c r="S74" s="359">
        <v>10731</v>
      </c>
      <c r="T74" s="359">
        <v>10841</v>
      </c>
      <c r="U74" s="359">
        <v>10943</v>
      </c>
      <c r="V74" s="359">
        <v>11042</v>
      </c>
      <c r="W74" s="359">
        <v>11143</v>
      </c>
      <c r="X74" s="359">
        <v>11246</v>
      </c>
      <c r="Y74" s="359">
        <v>11342.3</v>
      </c>
      <c r="Z74" s="359">
        <v>11443.3</v>
      </c>
      <c r="AA74" s="359">
        <v>11546.8</v>
      </c>
      <c r="AB74" s="359">
        <v>11648.9</v>
      </c>
      <c r="AC74" s="360">
        <v>11751.1</v>
      </c>
    </row>
    <row r="75" spans="4:32" s="52" customFormat="1" x14ac:dyDescent="0.3">
      <c r="D75" s="163" t="s">
        <v>705</v>
      </c>
      <c r="E75" s="235"/>
      <c r="F75" s="760"/>
      <c r="G75" s="761"/>
      <c r="H75" s="759"/>
      <c r="I75" s="759"/>
      <c r="J75" s="759"/>
      <c r="K75" s="759"/>
      <c r="L75" s="759"/>
      <c r="M75" s="759">
        <v>15041</v>
      </c>
      <c r="N75" s="759">
        <v>15551</v>
      </c>
      <c r="O75" s="376">
        <v>15824</v>
      </c>
      <c r="P75" s="769">
        <v>16056</v>
      </c>
      <c r="Q75" s="769">
        <v>16274</v>
      </c>
      <c r="R75" s="769">
        <v>16482</v>
      </c>
      <c r="S75" s="769">
        <v>16710</v>
      </c>
      <c r="T75" s="769">
        <v>16918</v>
      </c>
      <c r="U75" s="769">
        <v>17101</v>
      </c>
      <c r="V75" s="769">
        <v>17272</v>
      </c>
      <c r="W75" s="769">
        <v>17444</v>
      </c>
      <c r="X75" s="769">
        <v>17607</v>
      </c>
      <c r="Y75" s="769">
        <v>17759.900000000001</v>
      </c>
      <c r="Z75" s="359">
        <v>17916</v>
      </c>
      <c r="AA75" s="359">
        <v>18077.7</v>
      </c>
      <c r="AB75" s="359">
        <v>18228.400000000001</v>
      </c>
      <c r="AC75" s="360">
        <v>18390.5</v>
      </c>
    </row>
    <row r="76" spans="4:32" s="52" customFormat="1" x14ac:dyDescent="0.3">
      <c r="D76" s="762" t="s">
        <v>716</v>
      </c>
      <c r="E76" s="763"/>
      <c r="F76" s="764"/>
      <c r="G76" s="765"/>
      <c r="H76" s="670"/>
      <c r="I76" s="670"/>
      <c r="J76" s="670"/>
      <c r="K76" s="670"/>
      <c r="L76" s="273"/>
      <c r="M76" s="273">
        <v>2374</v>
      </c>
      <c r="N76" s="273">
        <v>2822</v>
      </c>
      <c r="O76" s="771">
        <v>2975</v>
      </c>
      <c r="P76" s="644">
        <v>3009</v>
      </c>
      <c r="Q76" s="644">
        <v>2954</v>
      </c>
      <c r="R76" s="644">
        <v>3005</v>
      </c>
      <c r="S76" s="644">
        <v>3019</v>
      </c>
      <c r="T76" s="644">
        <v>3017</v>
      </c>
      <c r="U76" s="644">
        <v>3002</v>
      </c>
      <c r="V76" s="644">
        <v>2976</v>
      </c>
      <c r="W76" s="644">
        <v>2960</v>
      </c>
      <c r="X76" s="644">
        <v>2960</v>
      </c>
      <c r="Y76" s="644">
        <v>2955.6</v>
      </c>
      <c r="Z76" s="644">
        <v>2970.1</v>
      </c>
      <c r="AA76" s="644">
        <v>2982.4</v>
      </c>
      <c r="AB76" s="644">
        <v>2999.3</v>
      </c>
      <c r="AC76" s="770">
        <v>3007.4</v>
      </c>
    </row>
    <row r="77" spans="4:32" s="52" customFormat="1" x14ac:dyDescent="0.3">
      <c r="D77" s="93"/>
      <c r="E77" s="780"/>
      <c r="F77" s="761"/>
      <c r="G77" s="761"/>
      <c r="H77" s="759"/>
      <c r="I77" s="759"/>
      <c r="J77" s="759"/>
      <c r="K77" s="759"/>
      <c r="L77" s="299"/>
      <c r="M77" s="299"/>
      <c r="N77" s="299"/>
      <c r="O77" s="299"/>
      <c r="P77" s="299"/>
      <c r="Q77" s="299"/>
      <c r="R77" s="299"/>
      <c r="S77" s="299"/>
      <c r="T77" s="299"/>
      <c r="U77" s="299"/>
      <c r="V77" s="299"/>
      <c r="W77" s="299"/>
      <c r="X77" s="299"/>
      <c r="Y77" s="299"/>
      <c r="Z77" s="299"/>
      <c r="AA77" s="299"/>
      <c r="AB77" s="299"/>
      <c r="AC77" s="299"/>
    </row>
    <row r="78" spans="4:32" x14ac:dyDescent="0.3">
      <c r="D78" s="52"/>
    </row>
    <row r="79" spans="4:32" ht="14.5" customHeight="1" x14ac:dyDescent="0.3">
      <c r="D79" s="1159" t="s">
        <v>717</v>
      </c>
      <c r="E79" s="1160"/>
      <c r="F79" s="1057">
        <v>2019</v>
      </c>
      <c r="G79" s="1058"/>
      <c r="H79" s="1059"/>
      <c r="I79" s="1058">
        <v>2020</v>
      </c>
      <c r="J79" s="1058"/>
      <c r="K79" s="1058"/>
      <c r="L79" s="1058"/>
      <c r="M79" s="1057">
        <v>2021</v>
      </c>
      <c r="N79" s="1058"/>
      <c r="O79" s="1059"/>
      <c r="P79" s="852">
        <v>2021</v>
      </c>
      <c r="Q79" s="1064">
        <v>2022</v>
      </c>
      <c r="R79" s="1065"/>
      <c r="S79" s="1065"/>
      <c r="T79" s="1066"/>
      <c r="U79" s="1148">
        <v>2023</v>
      </c>
      <c r="V79" s="1149"/>
      <c r="W79" s="1149"/>
      <c r="X79" s="1149"/>
      <c r="Y79" s="1064">
        <v>2024</v>
      </c>
      <c r="Z79" s="1065"/>
      <c r="AA79" s="1065"/>
      <c r="AB79" s="1065"/>
      <c r="AC79" s="334">
        <v>2025</v>
      </c>
      <c r="AD79" s="53"/>
      <c r="AE79" s="53"/>
      <c r="AF79" s="53"/>
    </row>
    <row r="80" spans="4:32" x14ac:dyDescent="0.3">
      <c r="D80" s="1161"/>
      <c r="E80" s="1162"/>
      <c r="F80" s="167" t="s">
        <v>405</v>
      </c>
      <c r="G80" s="148" t="s">
        <v>290</v>
      </c>
      <c r="H80" s="155" t="s">
        <v>403</v>
      </c>
      <c r="I80" s="149" t="s">
        <v>404</v>
      </c>
      <c r="J80" s="149" t="s">
        <v>405</v>
      </c>
      <c r="K80" s="149" t="s">
        <v>290</v>
      </c>
      <c r="L80" s="149" t="s">
        <v>403</v>
      </c>
      <c r="M80" s="162" t="s">
        <v>404</v>
      </c>
      <c r="N80" s="149" t="s">
        <v>405</v>
      </c>
      <c r="O80" s="155" t="s">
        <v>290</v>
      </c>
      <c r="P80" s="61" t="s">
        <v>403</v>
      </c>
      <c r="Q80" s="58" t="s">
        <v>404</v>
      </c>
      <c r="R80" s="59" t="s">
        <v>405</v>
      </c>
      <c r="S80" s="59" t="s">
        <v>290</v>
      </c>
      <c r="T80" s="59" t="s">
        <v>403</v>
      </c>
      <c r="U80" s="58" t="s">
        <v>404</v>
      </c>
      <c r="V80" s="59" t="s">
        <v>405</v>
      </c>
      <c r="W80" s="59" t="s">
        <v>290</v>
      </c>
      <c r="X80" s="59" t="s">
        <v>403</v>
      </c>
      <c r="Y80" s="58" t="s">
        <v>404</v>
      </c>
      <c r="Z80" s="457" t="s">
        <v>405</v>
      </c>
      <c r="AA80" s="59" t="s">
        <v>290</v>
      </c>
      <c r="AB80" s="59" t="s">
        <v>403</v>
      </c>
      <c r="AC80" s="61" t="s">
        <v>404</v>
      </c>
    </row>
    <row r="81" spans="4:30" x14ac:dyDescent="0.3">
      <c r="D81" s="1163" t="s">
        <v>718</v>
      </c>
      <c r="E81" s="1164"/>
      <c r="F81" s="909"/>
      <c r="G81" s="772"/>
      <c r="H81" s="773"/>
      <c r="I81" s="773"/>
      <c r="J81" s="773"/>
      <c r="K81" s="773"/>
      <c r="L81" s="773"/>
      <c r="M81" s="773"/>
      <c r="N81" s="773"/>
      <c r="O81" s="774"/>
      <c r="P81" s="689"/>
      <c r="Q81" s="689"/>
      <c r="R81" s="689"/>
      <c r="S81" s="689"/>
      <c r="T81" s="689"/>
      <c r="U81" s="689"/>
      <c r="V81" s="689"/>
      <c r="W81" s="689"/>
      <c r="X81" s="689"/>
      <c r="Y81" s="689"/>
      <c r="Z81" s="689"/>
      <c r="AA81" s="689"/>
      <c r="AB81" s="689"/>
      <c r="AC81" s="562"/>
    </row>
    <row r="82" spans="4:30" x14ac:dyDescent="0.3">
      <c r="D82" s="144" t="s">
        <v>674</v>
      </c>
      <c r="F82" s="910"/>
      <c r="G82" s="294"/>
      <c r="H82" s="294">
        <f t="shared" ref="H82:N82" si="38">H10/H87</f>
        <v>0.11691183930201886</v>
      </c>
      <c r="I82" s="294">
        <f t="shared" si="38"/>
        <v>0.11632374399271765</v>
      </c>
      <c r="J82" s="294">
        <f t="shared" si="38"/>
        <v>0.11234318837285294</v>
      </c>
      <c r="K82" s="294">
        <f t="shared" si="38"/>
        <v>0.11273203252694187</v>
      </c>
      <c r="L82" s="294">
        <f t="shared" si="38"/>
        <v>0.11471728519817445</v>
      </c>
      <c r="M82" s="294">
        <f t="shared" si="38"/>
        <v>0.12169301738753303</v>
      </c>
      <c r="N82" s="294">
        <f t="shared" si="38"/>
        <v>0.12373270706604039</v>
      </c>
      <c r="O82" s="983">
        <f>O10/O87</f>
        <v>0.12576621345508665</v>
      </c>
      <c r="P82" s="430"/>
      <c r="Q82" s="430"/>
      <c r="R82" s="430"/>
      <c r="S82" s="430"/>
      <c r="T82" s="430"/>
      <c r="U82" s="430"/>
      <c r="V82" s="430"/>
      <c r="W82" s="430"/>
      <c r="X82" s="430"/>
      <c r="Y82" s="430"/>
      <c r="Z82" s="430"/>
      <c r="AA82" s="430"/>
      <c r="AB82" s="430"/>
      <c r="AC82" s="431"/>
    </row>
    <row r="83" spans="4:30" x14ac:dyDescent="0.3">
      <c r="D83" s="144" t="s">
        <v>675</v>
      </c>
      <c r="F83" s="910"/>
      <c r="G83" s="294"/>
      <c r="H83" s="294">
        <f t="shared" ref="H83:N84" si="39">H11/H92</f>
        <v>0.15050223685321179</v>
      </c>
      <c r="I83" s="294">
        <f t="shared" si="39"/>
        <v>0.15157126064930876</v>
      </c>
      <c r="J83" s="294">
        <f t="shared" si="39"/>
        <v>0.15486484381085924</v>
      </c>
      <c r="K83" s="294">
        <f t="shared" si="39"/>
        <v>0.15330544288475015</v>
      </c>
      <c r="L83" s="294">
        <f t="shared" si="39"/>
        <v>0.15177048544085955</v>
      </c>
      <c r="M83" s="294">
        <f t="shared" si="39"/>
        <v>0.15350775174199291</v>
      </c>
      <c r="N83" s="294">
        <f t="shared" si="39"/>
        <v>0.15287773349987116</v>
      </c>
      <c r="O83" s="983">
        <f t="shared" ref="O83" si="40">O11/O92</f>
        <v>0.15222169505310959</v>
      </c>
      <c r="P83" s="430"/>
      <c r="Q83" s="430"/>
      <c r="R83" s="430"/>
      <c r="S83" s="430"/>
      <c r="T83" s="430"/>
      <c r="U83" s="430"/>
      <c r="V83" s="430"/>
      <c r="W83" s="430"/>
      <c r="X83" s="430"/>
      <c r="Y83" s="430"/>
      <c r="Z83" s="430"/>
      <c r="AA83" s="430"/>
      <c r="AB83" s="430"/>
      <c r="AC83" s="431"/>
    </row>
    <row r="84" spans="4:30" x14ac:dyDescent="0.3">
      <c r="D84" s="144" t="s">
        <v>676</v>
      </c>
      <c r="F84" s="910"/>
      <c r="G84" s="294"/>
      <c r="H84" s="294">
        <f t="shared" si="39"/>
        <v>1.2140112870976327E-2</v>
      </c>
      <c r="I84" s="294">
        <f t="shared" si="39"/>
        <v>1.2867838023145487E-2</v>
      </c>
      <c r="J84" s="294">
        <f t="shared" si="39"/>
        <v>1.0646897156978221E-2</v>
      </c>
      <c r="K84" s="294">
        <f t="shared" si="39"/>
        <v>1.0585008884971108E-2</v>
      </c>
      <c r="L84" s="294">
        <f t="shared" si="39"/>
        <v>1.0824186458016532E-2</v>
      </c>
      <c r="M84" s="294">
        <f t="shared" si="39"/>
        <v>1.1076012635451236E-2</v>
      </c>
      <c r="N84" s="294">
        <f t="shared" si="39"/>
        <v>1.1338056460715356E-2</v>
      </c>
      <c r="O84" s="983">
        <f t="shared" ref="O84" si="41">O12/O93</f>
        <v>1.0855250780750272E-2</v>
      </c>
      <c r="P84" s="430"/>
      <c r="Q84" s="430"/>
      <c r="R84" s="430"/>
      <c r="S84" s="430"/>
      <c r="T84" s="430"/>
      <c r="U84" s="430"/>
      <c r="V84" s="430"/>
      <c r="W84" s="430"/>
      <c r="X84" s="430"/>
      <c r="Y84" s="430"/>
      <c r="Z84" s="430"/>
      <c r="AA84" s="430"/>
      <c r="AB84" s="430"/>
      <c r="AC84" s="431"/>
    </row>
    <row r="85" spans="4:30" x14ac:dyDescent="0.3">
      <c r="D85" s="92" t="s">
        <v>677</v>
      </c>
      <c r="F85" s="910"/>
      <c r="G85" s="294"/>
      <c r="H85" s="294">
        <f t="shared" ref="H85:O85" si="42">H13/H94</f>
        <v>0.12172540768016833</v>
      </c>
      <c r="I85" s="294">
        <f t="shared" si="42"/>
        <v>9.8615712257453844E-2</v>
      </c>
      <c r="J85" s="294">
        <f t="shared" si="42"/>
        <v>0.10910512937495927</v>
      </c>
      <c r="K85" s="294">
        <f t="shared" si="42"/>
        <v>0.10686521958606764</v>
      </c>
      <c r="L85" s="294">
        <f t="shared" si="42"/>
        <v>0.11540630607536528</v>
      </c>
      <c r="M85" s="294">
        <f t="shared" si="42"/>
        <v>0.11817745803357314</v>
      </c>
      <c r="N85" s="294">
        <f t="shared" si="42"/>
        <v>0.11661721068249259</v>
      </c>
      <c r="O85" s="294">
        <f t="shared" si="42"/>
        <v>0.13606148732862489</v>
      </c>
      <c r="P85" s="430"/>
      <c r="Q85" s="430"/>
      <c r="R85" s="430"/>
      <c r="S85" s="430"/>
      <c r="T85" s="430"/>
      <c r="U85" s="430"/>
      <c r="V85" s="430"/>
      <c r="W85" s="430"/>
      <c r="X85" s="430"/>
      <c r="Y85" s="430"/>
      <c r="Z85" s="430"/>
      <c r="AA85" s="430"/>
      <c r="AB85" s="430"/>
      <c r="AC85" s="431"/>
    </row>
    <row r="86" spans="4:30" x14ac:dyDescent="0.3">
      <c r="D86" s="558" t="s">
        <v>719</v>
      </c>
      <c r="F86" s="146"/>
      <c r="G86" s="43"/>
      <c r="H86" s="43"/>
      <c r="I86" s="43"/>
      <c r="J86" s="43"/>
      <c r="K86" s="43"/>
      <c r="L86" s="43"/>
      <c r="M86" s="43"/>
      <c r="N86" s="43"/>
      <c r="O86" s="275"/>
      <c r="P86" s="430"/>
      <c r="Q86" s="430"/>
      <c r="R86" s="430"/>
      <c r="S86" s="430"/>
      <c r="T86" s="430"/>
      <c r="U86" s="430"/>
      <c r="V86" s="430"/>
      <c r="W86" s="430"/>
      <c r="X86" s="430"/>
      <c r="Y86" s="430"/>
      <c r="Z86" s="430"/>
      <c r="AA86" s="430"/>
      <c r="AB86" s="430"/>
      <c r="AC86" s="431"/>
    </row>
    <row r="87" spans="4:30" x14ac:dyDescent="0.3">
      <c r="D87" s="163" t="s">
        <v>720</v>
      </c>
      <c r="F87" s="911">
        <f>SUM(F88:F91)</f>
        <v>14523.5</v>
      </c>
      <c r="G87" s="790">
        <f t="shared" ref="G87:O87" si="43">SUM(G88:G91)</f>
        <v>14614</v>
      </c>
      <c r="H87" s="790">
        <f t="shared" si="43"/>
        <v>14785.5</v>
      </c>
      <c r="I87" s="790">
        <f t="shared" si="43"/>
        <v>14940.199999999999</v>
      </c>
      <c r="J87" s="790">
        <f t="shared" si="43"/>
        <v>14077.4</v>
      </c>
      <c r="K87" s="790">
        <f t="shared" si="43"/>
        <v>14744.7</v>
      </c>
      <c r="L87" s="790">
        <f t="shared" si="43"/>
        <v>15140.7</v>
      </c>
      <c r="M87" s="790">
        <f t="shared" si="43"/>
        <v>15217.8</v>
      </c>
      <c r="N87" s="790">
        <f t="shared" si="43"/>
        <v>15584.4</v>
      </c>
      <c r="O87" s="984">
        <f t="shared" si="43"/>
        <v>15857.2</v>
      </c>
      <c r="P87" s="430"/>
      <c r="Q87" s="430"/>
      <c r="R87" s="430"/>
      <c r="S87" s="430"/>
      <c r="T87" s="430"/>
      <c r="U87" s="430"/>
      <c r="V87" s="430"/>
      <c r="W87" s="430"/>
      <c r="X87" s="430"/>
      <c r="Y87" s="430"/>
      <c r="Z87" s="430"/>
      <c r="AA87" s="430"/>
      <c r="AB87" s="430"/>
      <c r="AC87" s="431"/>
    </row>
    <row r="88" spans="4:30" x14ac:dyDescent="0.3">
      <c r="D88" s="766" t="s">
        <v>1235</v>
      </c>
      <c r="E88" s="34" t="s">
        <v>1231</v>
      </c>
      <c r="F88" s="508">
        <f>'Haver Pivoted'!GQ81</f>
        <v>9287.2000000000007</v>
      </c>
      <c r="G88" s="1019">
        <f>'Haver Pivoted'!GR81</f>
        <v>9338.7000000000007</v>
      </c>
      <c r="H88" s="1019">
        <f>'Haver Pivoted'!GS81</f>
        <v>9477.6</v>
      </c>
      <c r="I88" s="1019">
        <f>'Haver Pivoted'!GT81</f>
        <v>9613.2999999999993</v>
      </c>
      <c r="J88" s="1019">
        <f>'Haver Pivoted'!GU81</f>
        <v>8985.9</v>
      </c>
      <c r="K88" s="1019">
        <f>'Haver Pivoted'!GV81</f>
        <v>9417.7999999999993</v>
      </c>
      <c r="L88" s="1019">
        <f>'Haver Pivoted'!GW81</f>
        <v>9791.1</v>
      </c>
      <c r="M88" s="1019">
        <f>'Haver Pivoted'!GX81</f>
        <v>9888.1</v>
      </c>
      <c r="N88" s="1019">
        <f>'Haver Pivoted'!GY81</f>
        <v>10087.799999999999</v>
      </c>
      <c r="O88" s="1019">
        <f>'Haver Pivoted'!GZ81</f>
        <v>10327.700000000001</v>
      </c>
      <c r="P88" s="912"/>
      <c r="Q88" s="430"/>
      <c r="R88" s="430"/>
      <c r="S88" s="430"/>
      <c r="T88" s="430"/>
      <c r="U88" s="430"/>
      <c r="V88" s="430"/>
      <c r="W88" s="430"/>
      <c r="X88" s="430"/>
      <c r="Y88" s="430"/>
      <c r="Z88" s="430"/>
      <c r="AA88" s="430"/>
      <c r="AB88" s="430"/>
      <c r="AC88" s="431"/>
    </row>
    <row r="89" spans="4:30" x14ac:dyDescent="0.3">
      <c r="D89" s="766" t="s">
        <v>721</v>
      </c>
      <c r="E89" s="34" t="s">
        <v>1232</v>
      </c>
      <c r="F89" s="508">
        <f>'Haver Pivoted'!GQ82</f>
        <v>1572.8</v>
      </c>
      <c r="G89" s="1019">
        <f>'Haver Pivoted'!GR82</f>
        <v>1610.6</v>
      </c>
      <c r="H89" s="1019">
        <f>'Haver Pivoted'!GS82</f>
        <v>1626.8</v>
      </c>
      <c r="I89" s="1019">
        <f>'Haver Pivoted'!GT82</f>
        <v>1638.3</v>
      </c>
      <c r="J89" s="1019">
        <f>'Haver Pivoted'!GU82</f>
        <v>1471.1</v>
      </c>
      <c r="K89" s="1019">
        <f>'Haver Pivoted'!GV82</f>
        <v>1760.7</v>
      </c>
      <c r="L89" s="1019">
        <f>'Haver Pivoted'!GW82</f>
        <v>1730</v>
      </c>
      <c r="M89" s="1019">
        <f>'Haver Pivoted'!GX82</f>
        <v>1714</v>
      </c>
      <c r="N89" s="1019">
        <f>'Haver Pivoted'!GY82</f>
        <v>1848.2</v>
      </c>
      <c r="O89" s="1019">
        <f>'Haver Pivoted'!GZ82</f>
        <v>1850.6</v>
      </c>
      <c r="P89" s="430"/>
      <c r="Q89" s="430"/>
      <c r="R89" s="430"/>
      <c r="S89" s="430"/>
      <c r="T89" s="430"/>
      <c r="U89" s="430"/>
      <c r="V89" s="430"/>
      <c r="W89" s="430"/>
      <c r="X89" s="430"/>
      <c r="Y89" s="430"/>
      <c r="Z89" s="430"/>
      <c r="AA89" s="430"/>
      <c r="AB89" s="430"/>
      <c r="AC89" s="431"/>
    </row>
    <row r="90" spans="4:30" x14ac:dyDescent="0.3">
      <c r="D90" s="766" t="s">
        <v>722</v>
      </c>
      <c r="E90" s="34" t="s">
        <v>1242</v>
      </c>
      <c r="F90" s="508">
        <f>'Haver Pivoted'!GQ83</f>
        <v>691</v>
      </c>
      <c r="G90" s="1019">
        <f>'Haver Pivoted'!GR83</f>
        <v>691.5</v>
      </c>
      <c r="H90" s="1019">
        <f>'Haver Pivoted'!GS83</f>
        <v>699</v>
      </c>
      <c r="I90" s="1019">
        <f>'Haver Pivoted'!GT83</f>
        <v>712.2</v>
      </c>
      <c r="J90" s="1019">
        <f>'Haver Pivoted'!GU83</f>
        <v>709.5</v>
      </c>
      <c r="K90" s="1019">
        <f>'Haver Pivoted'!GV83</f>
        <v>714.5</v>
      </c>
      <c r="L90" s="1019">
        <f>'Haver Pivoted'!GW83</f>
        <v>710</v>
      </c>
      <c r="M90" s="1019">
        <f>'Haver Pivoted'!GX83</f>
        <v>716.9</v>
      </c>
      <c r="N90" s="1019">
        <f>'Haver Pivoted'!GY83</f>
        <v>716.3</v>
      </c>
      <c r="O90" s="1019">
        <f>'Haver Pivoted'!GZ83</f>
        <v>729.3</v>
      </c>
      <c r="P90" s="430"/>
      <c r="Q90" s="430"/>
      <c r="R90" s="430"/>
      <c r="S90" s="430"/>
      <c r="T90" s="430"/>
      <c r="U90" s="430"/>
      <c r="V90" s="430"/>
      <c r="W90" s="430"/>
      <c r="X90" s="430"/>
      <c r="Y90" s="430"/>
      <c r="Z90" s="430"/>
      <c r="AA90" s="430"/>
      <c r="AB90" s="430"/>
      <c r="AC90" s="431"/>
    </row>
    <row r="91" spans="4:30" x14ac:dyDescent="0.3">
      <c r="D91" s="766" t="s">
        <v>723</v>
      </c>
      <c r="E91" s="34" t="s">
        <v>1234</v>
      </c>
      <c r="F91" s="508">
        <f>'Haver Pivoted'!GQ84</f>
        <v>2972.5</v>
      </c>
      <c r="G91" s="1019">
        <f>'Haver Pivoted'!GR84</f>
        <v>2973.2</v>
      </c>
      <c r="H91" s="1019">
        <f>'Haver Pivoted'!GS84</f>
        <v>2982.1</v>
      </c>
      <c r="I91" s="1019">
        <f>'Haver Pivoted'!GT84</f>
        <v>2976.4</v>
      </c>
      <c r="J91" s="1019">
        <f>'Haver Pivoted'!GU84</f>
        <v>2910.9</v>
      </c>
      <c r="K91" s="1019">
        <f>'Haver Pivoted'!GV84</f>
        <v>2851.7</v>
      </c>
      <c r="L91" s="1019">
        <f>'Haver Pivoted'!GW84</f>
        <v>2909.6</v>
      </c>
      <c r="M91" s="1019">
        <f>'Haver Pivoted'!GX84</f>
        <v>2898.8</v>
      </c>
      <c r="N91" s="1019">
        <f>'Haver Pivoted'!GY84</f>
        <v>2932.1</v>
      </c>
      <c r="O91" s="1019">
        <f>'Haver Pivoted'!GZ84</f>
        <v>2949.6</v>
      </c>
      <c r="P91" s="430"/>
      <c r="Q91" s="430"/>
      <c r="R91" s="430"/>
      <c r="S91" s="430"/>
      <c r="T91" s="430"/>
      <c r="U91" s="430"/>
      <c r="V91" s="430"/>
      <c r="W91" s="430"/>
      <c r="X91" s="430"/>
      <c r="Y91" s="430"/>
      <c r="Z91" s="430"/>
      <c r="AA91" s="430"/>
      <c r="AB91" s="430"/>
      <c r="AC91" s="431"/>
    </row>
    <row r="92" spans="4:30" x14ac:dyDescent="0.3">
      <c r="D92" s="163" t="s">
        <v>704</v>
      </c>
      <c r="F92" s="911">
        <f>F88</f>
        <v>9287.2000000000007</v>
      </c>
      <c r="G92" s="1020">
        <f t="shared" ref="G92:O92" si="44">G88</f>
        <v>9338.7000000000007</v>
      </c>
      <c r="H92" s="1020">
        <f t="shared" si="44"/>
        <v>9477.6</v>
      </c>
      <c r="I92" s="1020">
        <f t="shared" si="44"/>
        <v>9613.2999999999993</v>
      </c>
      <c r="J92" s="1020">
        <f t="shared" si="44"/>
        <v>8985.9</v>
      </c>
      <c r="K92" s="1020">
        <f t="shared" si="44"/>
        <v>9417.7999999999993</v>
      </c>
      <c r="L92" s="1020">
        <f t="shared" si="44"/>
        <v>9791.1</v>
      </c>
      <c r="M92" s="1020">
        <f t="shared" si="44"/>
        <v>9888.1</v>
      </c>
      <c r="N92" s="1020">
        <f t="shared" si="44"/>
        <v>10087.799999999999</v>
      </c>
      <c r="O92" s="1020">
        <f t="shared" si="44"/>
        <v>10327.700000000001</v>
      </c>
      <c r="P92" s="430"/>
      <c r="Q92" s="430"/>
      <c r="R92" s="430"/>
      <c r="S92" s="430"/>
      <c r="T92" s="430"/>
      <c r="U92" s="430"/>
      <c r="V92" s="430"/>
      <c r="W92" s="430"/>
      <c r="X92" s="430"/>
      <c r="Y92" s="430"/>
      <c r="Z92" s="430"/>
      <c r="AA92" s="430"/>
      <c r="AB92" s="430"/>
      <c r="AC92" s="431"/>
    </row>
    <row r="93" spans="4:30" x14ac:dyDescent="0.3">
      <c r="D93" s="163" t="s">
        <v>705</v>
      </c>
      <c r="E93" s="34" t="s">
        <v>931</v>
      </c>
      <c r="F93" s="911">
        <f>'Haver Pivoted'!GQ5</f>
        <v>14375.7</v>
      </c>
      <c r="G93" s="1020">
        <f>'Haver Pivoted'!GR5</f>
        <v>14529.5</v>
      </c>
      <c r="H93" s="1020">
        <f>'Haver Pivoted'!GS5</f>
        <v>14653.9</v>
      </c>
      <c r="I93" s="1020">
        <f>'Haver Pivoted'!GT5</f>
        <v>14439.1</v>
      </c>
      <c r="J93" s="1020">
        <f>'Haver Pivoted'!GU5</f>
        <v>12989.7</v>
      </c>
      <c r="K93" s="1020">
        <f>'Haver Pivoted'!GV5</f>
        <v>14293.8</v>
      </c>
      <c r="L93" s="1020">
        <f>'Haver Pivoted'!GW5</f>
        <v>14467.6</v>
      </c>
      <c r="M93" s="1020">
        <f>'Haver Pivoted'!GX5</f>
        <v>15005.4</v>
      </c>
      <c r="N93" s="1020">
        <f>'Haver Pivoted'!GY5</f>
        <v>15681.7</v>
      </c>
      <c r="O93" s="1020">
        <f>'Haver Pivoted'!GZ5</f>
        <v>15946.2</v>
      </c>
      <c r="P93" s="430"/>
      <c r="Q93" s="430"/>
      <c r="R93" s="430"/>
      <c r="S93" s="430"/>
      <c r="T93" s="430"/>
      <c r="U93" s="430"/>
      <c r="V93" s="430"/>
      <c r="W93" s="430"/>
      <c r="X93" s="430"/>
      <c r="Y93" s="430"/>
      <c r="Z93" s="430"/>
      <c r="AA93" s="430"/>
      <c r="AB93" s="430"/>
      <c r="AC93" s="431"/>
    </row>
    <row r="94" spans="4:30" x14ac:dyDescent="0.3">
      <c r="D94" s="163" t="s">
        <v>724</v>
      </c>
      <c r="E94" s="34" t="s">
        <v>1233</v>
      </c>
      <c r="F94" s="911">
        <f>'Haver Pivoted'!GQ85</f>
        <v>1858.1</v>
      </c>
      <c r="G94" s="1020">
        <f>'Haver Pivoted'!GR85</f>
        <v>1859.3</v>
      </c>
      <c r="H94" s="1020">
        <f>'Haver Pivoted'!GS85</f>
        <v>1901</v>
      </c>
      <c r="I94" s="1020">
        <f>'Haver Pivoted'!GT85</f>
        <v>1690.4</v>
      </c>
      <c r="J94" s="1020">
        <f>'Haver Pivoted'!GU85</f>
        <v>1534.3</v>
      </c>
      <c r="K94" s="1020">
        <f>'Haver Pivoted'!GV85</f>
        <v>1981</v>
      </c>
      <c r="L94" s="1020">
        <f>'Haver Pivoted'!GW85</f>
        <v>1950.5</v>
      </c>
      <c r="M94" s="1020">
        <f>'Haver Pivoted'!GX85</f>
        <v>2085</v>
      </c>
      <c r="N94" s="1020">
        <f>'Haver Pivoted'!GY85</f>
        <v>2359</v>
      </c>
      <c r="O94" s="1020">
        <f>'Haver Pivoted'!GZ85</f>
        <v>2131.5</v>
      </c>
      <c r="P94" s="430"/>
      <c r="Q94" s="430"/>
      <c r="R94" s="430"/>
      <c r="S94" s="430"/>
      <c r="T94" s="430"/>
      <c r="U94" s="430"/>
      <c r="V94" s="430"/>
      <c r="W94" s="430"/>
      <c r="X94" s="430"/>
      <c r="Y94" s="430"/>
      <c r="Z94" s="430"/>
      <c r="AA94" s="430"/>
      <c r="AB94" s="430"/>
      <c r="AC94" s="431"/>
    </row>
    <row r="95" spans="4:30" x14ac:dyDescent="0.3">
      <c r="D95" s="558" t="s">
        <v>725</v>
      </c>
      <c r="F95" s="146"/>
      <c r="G95" s="1021"/>
      <c r="H95" s="1021"/>
      <c r="I95" s="1021"/>
      <c r="J95" s="1021"/>
      <c r="K95" s="1021"/>
      <c r="L95" s="1021"/>
      <c r="M95" s="1021"/>
      <c r="N95" s="1021"/>
      <c r="O95" s="275"/>
      <c r="P95" s="430"/>
      <c r="Q95" s="430"/>
      <c r="R95" s="430"/>
      <c r="S95" s="430"/>
      <c r="T95" s="430"/>
      <c r="U95" s="430"/>
      <c r="V95" s="430"/>
      <c r="W95" s="430"/>
      <c r="X95" s="430"/>
      <c r="Y95" s="430"/>
      <c r="Z95" s="430"/>
      <c r="AA95" s="430"/>
      <c r="AB95" s="430"/>
      <c r="AC95" s="431"/>
    </row>
    <row r="96" spans="4:30" x14ac:dyDescent="0.3">
      <c r="D96" s="747" t="s">
        <v>678</v>
      </c>
      <c r="F96" s="743">
        <f>F17/F87</f>
        <v>3.5866010259235033E-2</v>
      </c>
      <c r="G96" s="374">
        <f t="shared" ref="G96:O96" si="45">G17/G87</f>
        <v>3.4035856028465851E-2</v>
      </c>
      <c r="H96" s="374">
        <f t="shared" si="45"/>
        <v>3.3458455919651006E-2</v>
      </c>
      <c r="I96" s="374">
        <f t="shared" si="45"/>
        <v>3.3721101457811813E-2</v>
      </c>
      <c r="J96" s="374">
        <f t="shared" si="45"/>
        <v>3.6761049625641098E-2</v>
      </c>
      <c r="K96" s="374">
        <f t="shared" si="45"/>
        <v>3.5239781073877395E-2</v>
      </c>
      <c r="L96" s="374">
        <f t="shared" si="45"/>
        <v>3.4529447119353789E-2</v>
      </c>
      <c r="M96" s="374">
        <f t="shared" si="45"/>
        <v>3.6812154187858957E-2</v>
      </c>
      <c r="N96" s="374">
        <f t="shared" si="45"/>
        <v>3.7627370960704294E-2</v>
      </c>
      <c r="O96" s="983">
        <f t="shared" si="45"/>
        <v>3.7692656963398331E-2</v>
      </c>
      <c r="P96" s="775">
        <f t="shared" ref="P96:AC98" si="46">O96</f>
        <v>3.7692656963398331E-2</v>
      </c>
      <c r="Q96" s="775">
        <f t="shared" si="46"/>
        <v>3.7692656963398331E-2</v>
      </c>
      <c r="R96" s="775">
        <f t="shared" si="46"/>
        <v>3.7692656963398331E-2</v>
      </c>
      <c r="S96" s="775">
        <f t="shared" si="46"/>
        <v>3.7692656963398331E-2</v>
      </c>
      <c r="T96" s="775">
        <f t="shared" si="46"/>
        <v>3.7692656963398331E-2</v>
      </c>
      <c r="U96" s="775">
        <f t="shared" si="46"/>
        <v>3.7692656963398331E-2</v>
      </c>
      <c r="V96" s="775">
        <f t="shared" si="46"/>
        <v>3.7692656963398331E-2</v>
      </c>
      <c r="W96" s="775">
        <f t="shared" si="46"/>
        <v>3.7692656963398331E-2</v>
      </c>
      <c r="X96" s="775">
        <f t="shared" si="46"/>
        <v>3.7692656963398331E-2</v>
      </c>
      <c r="Y96" s="775">
        <f t="shared" si="46"/>
        <v>3.7692656963398331E-2</v>
      </c>
      <c r="Z96" s="775">
        <f t="shared" si="46"/>
        <v>3.7692656963398331E-2</v>
      </c>
      <c r="AA96" s="775">
        <f t="shared" si="46"/>
        <v>3.7692656963398331E-2</v>
      </c>
      <c r="AB96" s="775">
        <f t="shared" si="46"/>
        <v>3.7692656963398331E-2</v>
      </c>
      <c r="AC96" s="985">
        <f t="shared" si="46"/>
        <v>3.7692656963398331E-2</v>
      </c>
      <c r="AD96" s="778"/>
    </row>
    <row r="97" spans="4:30" x14ac:dyDescent="0.3">
      <c r="D97" s="747" t="s">
        <v>675</v>
      </c>
      <c r="F97" s="743">
        <f>F18/F92</f>
        <v>2.2073391334309586E-3</v>
      </c>
      <c r="G97" s="374">
        <f t="shared" ref="G97:M97" si="47">G18/G92</f>
        <v>2.1737500936961245E-3</v>
      </c>
      <c r="H97" s="374">
        <f t="shared" si="47"/>
        <v>2.1313412678315184E-3</v>
      </c>
      <c r="I97" s="374">
        <f t="shared" si="47"/>
        <v>2.0908532969947887E-3</v>
      </c>
      <c r="J97" s="374">
        <f t="shared" si="47"/>
        <v>2.1255522540869587E-3</v>
      </c>
      <c r="K97" s="374">
        <f t="shared" si="47"/>
        <v>2.1130200259083863E-3</v>
      </c>
      <c r="L97" s="374">
        <f t="shared" si="47"/>
        <v>2.0937381908059361E-3</v>
      </c>
      <c r="M97" s="374">
        <f t="shared" si="47"/>
        <v>2.1439912622242896E-3</v>
      </c>
      <c r="N97" s="374">
        <f>N18/N92</f>
        <v>2.1709391542258966E-3</v>
      </c>
      <c r="O97" s="983">
        <f>O18/O92</f>
        <v>2.1689243490806277E-3</v>
      </c>
      <c r="P97" s="775">
        <f t="shared" si="46"/>
        <v>2.1689243490806277E-3</v>
      </c>
      <c r="Q97" s="775">
        <f t="shared" si="46"/>
        <v>2.1689243490806277E-3</v>
      </c>
      <c r="R97" s="775">
        <f t="shared" si="46"/>
        <v>2.1689243490806277E-3</v>
      </c>
      <c r="S97" s="775">
        <f t="shared" si="46"/>
        <v>2.1689243490806277E-3</v>
      </c>
      <c r="T97" s="775">
        <f t="shared" si="46"/>
        <v>2.1689243490806277E-3</v>
      </c>
      <c r="U97" s="775">
        <f t="shared" si="46"/>
        <v>2.1689243490806277E-3</v>
      </c>
      <c r="V97" s="775">
        <f t="shared" si="46"/>
        <v>2.1689243490806277E-3</v>
      </c>
      <c r="W97" s="775">
        <f t="shared" si="46"/>
        <v>2.1689243490806277E-3</v>
      </c>
      <c r="X97" s="775">
        <f t="shared" si="46"/>
        <v>2.1689243490806277E-3</v>
      </c>
      <c r="Y97" s="775">
        <f t="shared" si="46"/>
        <v>2.1689243490806277E-3</v>
      </c>
      <c r="Z97" s="775">
        <f t="shared" si="46"/>
        <v>2.1689243490806277E-3</v>
      </c>
      <c r="AA97" s="775">
        <f t="shared" si="46"/>
        <v>2.1689243490806277E-3</v>
      </c>
      <c r="AB97" s="775">
        <f t="shared" si="46"/>
        <v>2.1689243490806277E-3</v>
      </c>
      <c r="AC97" s="985">
        <f t="shared" si="46"/>
        <v>2.1689243490806277E-3</v>
      </c>
      <c r="AD97" s="778"/>
    </row>
    <row r="98" spans="4:30" x14ac:dyDescent="0.3">
      <c r="D98" s="747" t="s">
        <v>676</v>
      </c>
      <c r="F98" s="743">
        <f>F19/F93</f>
        <v>9.3818040165000657E-2</v>
      </c>
      <c r="G98" s="374">
        <f t="shared" ref="G98:M98" si="48">G19/G93</f>
        <v>9.4435458893974325E-2</v>
      </c>
      <c r="H98" s="374">
        <f t="shared" si="48"/>
        <v>9.406369635387167E-2</v>
      </c>
      <c r="I98" s="374">
        <f t="shared" si="48"/>
        <v>9.635642110657866E-2</v>
      </c>
      <c r="J98" s="374">
        <f t="shared" si="48"/>
        <v>0.10178833999245555</v>
      </c>
      <c r="K98" s="374">
        <f t="shared" si="48"/>
        <v>9.7433852439519242E-2</v>
      </c>
      <c r="L98" s="374">
        <f t="shared" si="48"/>
        <v>9.6795598440653607E-2</v>
      </c>
      <c r="M98" s="374">
        <f t="shared" si="48"/>
        <v>9.4226078611699793E-2</v>
      </c>
      <c r="N98" s="374">
        <f>N19/N93</f>
        <v>9.3006498019985076E-2</v>
      </c>
      <c r="O98" s="983">
        <f>O19/O93</f>
        <v>9.3175803639738611E-2</v>
      </c>
      <c r="P98" s="775">
        <f t="shared" si="46"/>
        <v>9.3175803639738611E-2</v>
      </c>
      <c r="Q98" s="775">
        <f t="shared" si="46"/>
        <v>9.3175803639738611E-2</v>
      </c>
      <c r="R98" s="775">
        <f t="shared" si="46"/>
        <v>9.3175803639738611E-2</v>
      </c>
      <c r="S98" s="775">
        <f t="shared" si="46"/>
        <v>9.3175803639738611E-2</v>
      </c>
      <c r="T98" s="775">
        <f t="shared" si="46"/>
        <v>9.3175803639738611E-2</v>
      </c>
      <c r="U98" s="775">
        <f t="shared" si="46"/>
        <v>9.3175803639738611E-2</v>
      </c>
      <c r="V98" s="775">
        <f t="shared" si="46"/>
        <v>9.3175803639738611E-2</v>
      </c>
      <c r="W98" s="775">
        <f t="shared" si="46"/>
        <v>9.3175803639738611E-2</v>
      </c>
      <c r="X98" s="775">
        <f t="shared" si="46"/>
        <v>9.3175803639738611E-2</v>
      </c>
      <c r="Y98" s="775">
        <f t="shared" si="46"/>
        <v>9.3175803639738611E-2</v>
      </c>
      <c r="Z98" s="775">
        <f t="shared" si="46"/>
        <v>9.3175803639738611E-2</v>
      </c>
      <c r="AA98" s="775">
        <f t="shared" si="46"/>
        <v>9.3175803639738611E-2</v>
      </c>
      <c r="AB98" s="775">
        <f t="shared" si="46"/>
        <v>9.3175803639738611E-2</v>
      </c>
      <c r="AC98" s="985">
        <f t="shared" si="46"/>
        <v>9.3175803639738611E-2</v>
      </c>
      <c r="AD98" s="778"/>
    </row>
    <row r="99" spans="4:30" x14ac:dyDescent="0.3">
      <c r="D99" s="748" t="s">
        <v>726</v>
      </c>
      <c r="E99" s="42"/>
      <c r="F99" s="668">
        <f>F20/F94</f>
        <v>3.9179807330068352E-2</v>
      </c>
      <c r="G99" s="289">
        <f t="shared" ref="G99:L99" si="49">G20/G94</f>
        <v>3.9315871564567305E-2</v>
      </c>
      <c r="H99" s="289">
        <f t="shared" si="49"/>
        <v>3.8085218306154661E-2</v>
      </c>
      <c r="I99" s="289">
        <f>I20/I94</f>
        <v>3.9339801230477991E-2</v>
      </c>
      <c r="J99" s="289">
        <f t="shared" si="49"/>
        <v>4.0344130874014207E-2</v>
      </c>
      <c r="K99" s="289">
        <f t="shared" si="49"/>
        <v>3.8768298838970212E-2</v>
      </c>
      <c r="L99" s="289">
        <f t="shared" si="49"/>
        <v>4.039989746218918E-2</v>
      </c>
      <c r="M99" s="289">
        <f>M20/M94</f>
        <v>4.100719424460432E-2</v>
      </c>
      <c r="N99" s="289">
        <f t="shared" ref="N99:O99" si="50">N20/N94</f>
        <v>3.8957185247986435E-2</v>
      </c>
      <c r="O99" s="289">
        <f t="shared" si="50"/>
        <v>5.6241870719134987E-2</v>
      </c>
      <c r="P99" s="776">
        <f>O99</f>
        <v>5.6241870719134987E-2</v>
      </c>
      <c r="Q99" s="776">
        <f t="shared" ref="Q99:AC99" si="51">P99</f>
        <v>5.6241870719134987E-2</v>
      </c>
      <c r="R99" s="776">
        <f t="shared" si="51"/>
        <v>5.6241870719134987E-2</v>
      </c>
      <c r="S99" s="776">
        <f t="shared" si="51"/>
        <v>5.6241870719134987E-2</v>
      </c>
      <c r="T99" s="776">
        <f t="shared" si="51"/>
        <v>5.6241870719134987E-2</v>
      </c>
      <c r="U99" s="776">
        <f t="shared" si="51"/>
        <v>5.6241870719134987E-2</v>
      </c>
      <c r="V99" s="776">
        <f t="shared" si="51"/>
        <v>5.6241870719134987E-2</v>
      </c>
      <c r="W99" s="776">
        <f t="shared" si="51"/>
        <v>5.6241870719134987E-2</v>
      </c>
      <c r="X99" s="776">
        <f t="shared" si="51"/>
        <v>5.6241870719134987E-2</v>
      </c>
      <c r="Y99" s="776">
        <f t="shared" si="51"/>
        <v>5.6241870719134987E-2</v>
      </c>
      <c r="Z99" s="776">
        <f t="shared" si="51"/>
        <v>5.6241870719134987E-2</v>
      </c>
      <c r="AA99" s="776">
        <f t="shared" si="51"/>
        <v>5.6241870719134987E-2</v>
      </c>
      <c r="AB99" s="776">
        <f t="shared" si="51"/>
        <v>5.6241870719134987E-2</v>
      </c>
      <c r="AC99" s="777">
        <f t="shared" si="51"/>
        <v>5.6241870719134987E-2</v>
      </c>
      <c r="AD99" s="778"/>
    </row>
    <row r="101" spans="4:30" ht="18.649999999999999" customHeight="1" x14ac:dyDescent="0.3"/>
  </sheetData>
  <mergeCells count="28">
    <mergeCell ref="D2:AC3"/>
    <mergeCell ref="D1:AC1"/>
    <mergeCell ref="Y69:AB69"/>
    <mergeCell ref="Y6:AB6"/>
    <mergeCell ref="O34:R34"/>
    <mergeCell ref="D69:E70"/>
    <mergeCell ref="U6:X6"/>
    <mergeCell ref="F69:H69"/>
    <mergeCell ref="F6:H6"/>
    <mergeCell ref="I6:L6"/>
    <mergeCell ref="Q6:T6"/>
    <mergeCell ref="D5:E7"/>
    <mergeCell ref="M6:O6"/>
    <mergeCell ref="F5:O5"/>
    <mergeCell ref="P5:AC5"/>
    <mergeCell ref="D81:E81"/>
    <mergeCell ref="Q79:T79"/>
    <mergeCell ref="U79:X79"/>
    <mergeCell ref="O33:R33"/>
    <mergeCell ref="I69:L69"/>
    <mergeCell ref="Q69:T69"/>
    <mergeCell ref="U69:X69"/>
    <mergeCell ref="M69:O69"/>
    <mergeCell ref="Y79:AB79"/>
    <mergeCell ref="F79:H79"/>
    <mergeCell ref="I79:L79"/>
    <mergeCell ref="D79:E80"/>
    <mergeCell ref="M79:O79"/>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7"/>
  <sheetViews>
    <sheetView zoomScale="88" workbookViewId="0">
      <pane xSplit="1" ySplit="1" topLeftCell="GQ50" activePane="bottomRight" state="frozen"/>
      <selection pane="topRight" activeCell="B1" sqref="B1"/>
      <selection pane="bottomLeft" activeCell="A2" sqref="A2"/>
      <selection pane="bottomRight" activeCell="HO87" sqref="HO87"/>
    </sheetView>
  </sheetViews>
  <sheetFormatPr defaultColWidth="10.90625" defaultRowHeight="14.5" x14ac:dyDescent="0.35"/>
  <sheetData>
    <row r="1" spans="1:208" x14ac:dyDescent="0.35">
      <c r="A1" t="s">
        <v>222</v>
      </c>
      <c r="B1" t="s">
        <v>727</v>
      </c>
      <c r="C1" t="s">
        <v>728</v>
      </c>
      <c r="D1" t="s">
        <v>729</v>
      </c>
      <c r="E1" t="s">
        <v>730</v>
      </c>
      <c r="F1" t="s">
        <v>731</v>
      </c>
      <c r="G1" t="s">
        <v>732</v>
      </c>
      <c r="H1" t="s">
        <v>733</v>
      </c>
      <c r="I1" t="s">
        <v>734</v>
      </c>
      <c r="J1" t="s">
        <v>735</v>
      </c>
      <c r="K1" t="s">
        <v>736</v>
      </c>
      <c r="L1" t="s">
        <v>737</v>
      </c>
      <c r="M1" t="s">
        <v>738</v>
      </c>
      <c r="N1" t="s">
        <v>739</v>
      </c>
      <c r="O1" t="s">
        <v>740</v>
      </c>
      <c r="P1" t="s">
        <v>741</v>
      </c>
      <c r="Q1" t="s">
        <v>742</v>
      </c>
      <c r="R1" t="s">
        <v>743</v>
      </c>
      <c r="S1" t="s">
        <v>744</v>
      </c>
      <c r="T1" t="s">
        <v>745</v>
      </c>
      <c r="U1" t="s">
        <v>746</v>
      </c>
      <c r="V1" t="s">
        <v>747</v>
      </c>
      <c r="W1" t="s">
        <v>748</v>
      </c>
      <c r="X1" t="s">
        <v>749</v>
      </c>
      <c r="Y1" t="s">
        <v>750</v>
      </c>
      <c r="Z1" t="s">
        <v>751</v>
      </c>
      <c r="AA1" t="s">
        <v>752</v>
      </c>
      <c r="AB1" t="s">
        <v>753</v>
      </c>
      <c r="AC1" t="s">
        <v>754</v>
      </c>
      <c r="AD1" t="s">
        <v>755</v>
      </c>
      <c r="AE1" t="s">
        <v>756</v>
      </c>
      <c r="AF1" t="s">
        <v>757</v>
      </c>
      <c r="AG1" t="s">
        <v>758</v>
      </c>
      <c r="AH1" t="s">
        <v>759</v>
      </c>
      <c r="AI1" t="s">
        <v>760</v>
      </c>
      <c r="AJ1" t="s">
        <v>761</v>
      </c>
      <c r="AK1" t="s">
        <v>762</v>
      </c>
      <c r="AL1" t="s">
        <v>763</v>
      </c>
      <c r="AM1" t="s">
        <v>764</v>
      </c>
      <c r="AN1" t="s">
        <v>765</v>
      </c>
      <c r="AO1" t="s">
        <v>766</v>
      </c>
      <c r="AP1" t="s">
        <v>767</v>
      </c>
      <c r="AQ1" t="s">
        <v>768</v>
      </c>
      <c r="AR1" t="s">
        <v>769</v>
      </c>
      <c r="AS1" t="s">
        <v>770</v>
      </c>
      <c r="AT1" t="s">
        <v>771</v>
      </c>
      <c r="AU1" t="s">
        <v>772</v>
      </c>
      <c r="AV1" t="s">
        <v>773</v>
      </c>
      <c r="AW1" t="s">
        <v>774</v>
      </c>
      <c r="AX1" t="s">
        <v>775</v>
      </c>
      <c r="AY1" t="s">
        <v>776</v>
      </c>
      <c r="AZ1" t="s">
        <v>777</v>
      </c>
      <c r="BA1" t="s">
        <v>778</v>
      </c>
      <c r="BB1" t="s">
        <v>779</v>
      </c>
      <c r="BC1" t="s">
        <v>780</v>
      </c>
      <c r="BD1" t="s">
        <v>781</v>
      </c>
      <c r="BE1" t="s">
        <v>782</v>
      </c>
      <c r="BF1" t="s">
        <v>783</v>
      </c>
      <c r="BG1" t="s">
        <v>784</v>
      </c>
      <c r="BH1" t="s">
        <v>785</v>
      </c>
      <c r="BI1" t="s">
        <v>786</v>
      </c>
      <c r="BJ1" t="s">
        <v>787</v>
      </c>
      <c r="BK1" t="s">
        <v>788</v>
      </c>
      <c r="BL1" t="s">
        <v>789</v>
      </c>
      <c r="BM1" t="s">
        <v>790</v>
      </c>
      <c r="BN1" t="s">
        <v>791</v>
      </c>
      <c r="BO1" t="s">
        <v>792</v>
      </c>
      <c r="BP1" t="s">
        <v>793</v>
      </c>
      <c r="BQ1" t="s">
        <v>794</v>
      </c>
      <c r="BR1" t="s">
        <v>795</v>
      </c>
      <c r="BS1" t="s">
        <v>796</v>
      </c>
      <c r="BT1" t="s">
        <v>797</v>
      </c>
      <c r="BU1" t="s">
        <v>798</v>
      </c>
      <c r="BV1" t="s">
        <v>799</v>
      </c>
      <c r="BW1" t="s">
        <v>800</v>
      </c>
      <c r="BX1" t="s">
        <v>801</v>
      </c>
      <c r="BY1" t="s">
        <v>802</v>
      </c>
      <c r="BZ1" t="s">
        <v>803</v>
      </c>
      <c r="CA1" t="s">
        <v>804</v>
      </c>
      <c r="CB1" t="s">
        <v>805</v>
      </c>
      <c r="CC1" t="s">
        <v>806</v>
      </c>
      <c r="CD1" t="s">
        <v>807</v>
      </c>
      <c r="CE1" t="s">
        <v>808</v>
      </c>
      <c r="CF1" t="s">
        <v>809</v>
      </c>
      <c r="CG1" t="s">
        <v>810</v>
      </c>
      <c r="CH1" t="s">
        <v>811</v>
      </c>
      <c r="CI1" t="s">
        <v>812</v>
      </c>
      <c r="CJ1" t="s">
        <v>813</v>
      </c>
      <c r="CK1" t="s">
        <v>814</v>
      </c>
      <c r="CL1" t="s">
        <v>815</v>
      </c>
      <c r="CM1" t="s">
        <v>816</v>
      </c>
      <c r="CN1" t="s">
        <v>817</v>
      </c>
      <c r="CO1" t="s">
        <v>818</v>
      </c>
      <c r="CP1" t="s">
        <v>819</v>
      </c>
      <c r="CQ1" t="s">
        <v>820</v>
      </c>
      <c r="CR1" t="s">
        <v>821</v>
      </c>
      <c r="CS1" t="s">
        <v>822</v>
      </c>
      <c r="CT1" t="s">
        <v>823</v>
      </c>
      <c r="CU1" t="s">
        <v>824</v>
      </c>
      <c r="CV1" t="s">
        <v>825</v>
      </c>
      <c r="CW1" t="s">
        <v>826</v>
      </c>
      <c r="CX1" t="s">
        <v>827</v>
      </c>
      <c r="CY1" t="s">
        <v>828</v>
      </c>
      <c r="CZ1" t="s">
        <v>829</v>
      </c>
      <c r="DA1" t="s">
        <v>830</v>
      </c>
      <c r="DB1" t="s">
        <v>831</v>
      </c>
      <c r="DC1" t="s">
        <v>832</v>
      </c>
      <c r="DD1" t="s">
        <v>833</v>
      </c>
      <c r="DE1" t="s">
        <v>834</v>
      </c>
      <c r="DF1" t="s">
        <v>835</v>
      </c>
      <c r="DG1" t="s">
        <v>836</v>
      </c>
      <c r="DH1" t="s">
        <v>837</v>
      </c>
      <c r="DI1" t="s">
        <v>838</v>
      </c>
      <c r="DJ1" t="s">
        <v>839</v>
      </c>
      <c r="DK1" t="s">
        <v>840</v>
      </c>
      <c r="DL1" t="s">
        <v>841</v>
      </c>
      <c r="DM1" t="s">
        <v>842</v>
      </c>
      <c r="DN1" t="s">
        <v>843</v>
      </c>
      <c r="DO1" t="s">
        <v>844</v>
      </c>
      <c r="DP1" t="s">
        <v>845</v>
      </c>
      <c r="DQ1" t="s">
        <v>846</v>
      </c>
      <c r="DR1" t="s">
        <v>847</v>
      </c>
      <c r="DS1" t="s">
        <v>848</v>
      </c>
      <c r="DT1" t="s">
        <v>849</v>
      </c>
      <c r="DU1" t="s">
        <v>850</v>
      </c>
      <c r="DV1" t="s">
        <v>851</v>
      </c>
      <c r="DW1" t="s">
        <v>852</v>
      </c>
      <c r="DX1" t="s">
        <v>853</v>
      </c>
      <c r="DY1" t="s">
        <v>854</v>
      </c>
      <c r="DZ1" t="s">
        <v>855</v>
      </c>
      <c r="EA1" t="s">
        <v>856</v>
      </c>
      <c r="EB1" t="s">
        <v>857</v>
      </c>
      <c r="EC1" t="s">
        <v>858</v>
      </c>
      <c r="ED1" t="s">
        <v>859</v>
      </c>
      <c r="EE1" t="s">
        <v>860</v>
      </c>
      <c r="EF1" t="s">
        <v>861</v>
      </c>
      <c r="EG1" t="s">
        <v>862</v>
      </c>
      <c r="EH1" t="s">
        <v>863</v>
      </c>
      <c r="EI1" t="s">
        <v>864</v>
      </c>
      <c r="EJ1" t="s">
        <v>865</v>
      </c>
      <c r="EK1" t="s">
        <v>866</v>
      </c>
      <c r="EL1" t="s">
        <v>867</v>
      </c>
      <c r="EM1" t="s">
        <v>868</v>
      </c>
      <c r="EN1" t="s">
        <v>869</v>
      </c>
      <c r="EO1" t="s">
        <v>870</v>
      </c>
      <c r="EP1" t="s">
        <v>871</v>
      </c>
      <c r="EQ1" t="s">
        <v>872</v>
      </c>
      <c r="ER1" t="s">
        <v>873</v>
      </c>
      <c r="ES1" t="s">
        <v>874</v>
      </c>
      <c r="ET1" t="s">
        <v>875</v>
      </c>
      <c r="EU1" t="s">
        <v>876</v>
      </c>
      <c r="EV1" t="s">
        <v>877</v>
      </c>
      <c r="EW1" t="s">
        <v>878</v>
      </c>
      <c r="EX1" t="s">
        <v>879</v>
      </c>
      <c r="EY1" t="s">
        <v>880</v>
      </c>
      <c r="EZ1" t="s">
        <v>881</v>
      </c>
      <c r="FA1" t="s">
        <v>882</v>
      </c>
      <c r="FB1" t="s">
        <v>883</v>
      </c>
      <c r="FC1" t="s">
        <v>884</v>
      </c>
      <c r="FD1" t="s">
        <v>885</v>
      </c>
      <c r="FE1" t="s">
        <v>886</v>
      </c>
      <c r="FF1" t="s">
        <v>887</v>
      </c>
      <c r="FG1" t="s">
        <v>888</v>
      </c>
      <c r="FH1" t="s">
        <v>889</v>
      </c>
      <c r="FI1" t="s">
        <v>890</v>
      </c>
      <c r="FJ1" t="s">
        <v>891</v>
      </c>
      <c r="FK1" t="s">
        <v>892</v>
      </c>
      <c r="FL1" t="s">
        <v>893</v>
      </c>
      <c r="FM1" t="s">
        <v>894</v>
      </c>
      <c r="FN1" t="s">
        <v>895</v>
      </c>
      <c r="FO1" t="s">
        <v>896</v>
      </c>
      <c r="FP1" t="s">
        <v>897</v>
      </c>
      <c r="FQ1" t="s">
        <v>898</v>
      </c>
      <c r="FR1" t="s">
        <v>899</v>
      </c>
      <c r="FS1" t="s">
        <v>900</v>
      </c>
      <c r="FT1" t="s">
        <v>901</v>
      </c>
      <c r="FU1" t="s">
        <v>902</v>
      </c>
      <c r="FV1" t="s">
        <v>903</v>
      </c>
      <c r="FW1" t="s">
        <v>904</v>
      </c>
      <c r="FX1" t="s">
        <v>905</v>
      </c>
      <c r="FY1" t="s">
        <v>906</v>
      </c>
      <c r="FZ1" t="s">
        <v>907</v>
      </c>
      <c r="GA1" t="s">
        <v>908</v>
      </c>
      <c r="GB1" t="s">
        <v>909</v>
      </c>
      <c r="GC1" t="s">
        <v>910</v>
      </c>
      <c r="GD1" t="s">
        <v>911</v>
      </c>
      <c r="GE1" t="s">
        <v>912</v>
      </c>
      <c r="GF1" t="s">
        <v>913</v>
      </c>
      <c r="GG1" t="s">
        <v>914</v>
      </c>
      <c r="GH1" t="s">
        <v>915</v>
      </c>
      <c r="GI1" t="s">
        <v>916</v>
      </c>
      <c r="GJ1" t="s">
        <v>917</v>
      </c>
      <c r="GK1" t="s">
        <v>918</v>
      </c>
      <c r="GL1" t="s">
        <v>919</v>
      </c>
      <c r="GM1" t="s">
        <v>920</v>
      </c>
      <c r="GN1" t="s">
        <v>921</v>
      </c>
      <c r="GO1" t="s">
        <v>922</v>
      </c>
      <c r="GP1" t="s">
        <v>923</v>
      </c>
      <c r="GQ1" t="s">
        <v>924</v>
      </c>
      <c r="GR1" t="s">
        <v>925</v>
      </c>
      <c r="GS1" t="s">
        <v>926</v>
      </c>
      <c r="GT1" t="s">
        <v>927</v>
      </c>
      <c r="GU1" t="s">
        <v>368</v>
      </c>
      <c r="GV1" t="s">
        <v>369</v>
      </c>
      <c r="GW1" t="s">
        <v>370</v>
      </c>
      <c r="GX1" t="s">
        <v>371</v>
      </c>
      <c r="GY1" t="s">
        <v>372</v>
      </c>
      <c r="GZ1" t="s">
        <v>224</v>
      </c>
    </row>
    <row r="2" spans="1:208" x14ac:dyDescent="0.35">
      <c r="A2" t="s">
        <v>928</v>
      </c>
      <c r="B2">
        <v>1051.2</v>
      </c>
      <c r="C2">
        <v>1067.4000000000001</v>
      </c>
      <c r="D2">
        <v>1086.0999999999999</v>
      </c>
      <c r="E2">
        <v>1088.5999999999999</v>
      </c>
      <c r="F2">
        <v>1135.2</v>
      </c>
      <c r="G2">
        <v>1156.3</v>
      </c>
      <c r="H2">
        <v>1177.7</v>
      </c>
      <c r="I2">
        <v>1190.3</v>
      </c>
      <c r="J2">
        <v>1230.5999999999999</v>
      </c>
      <c r="K2">
        <v>1266.4000000000001</v>
      </c>
      <c r="L2">
        <v>1290.5999999999999</v>
      </c>
      <c r="M2">
        <v>1328.9</v>
      </c>
      <c r="N2">
        <v>1377.5</v>
      </c>
      <c r="O2">
        <v>1413.9</v>
      </c>
      <c r="P2">
        <v>1433.8</v>
      </c>
      <c r="Q2">
        <v>1476.3</v>
      </c>
      <c r="R2">
        <v>1491.2</v>
      </c>
      <c r="S2">
        <v>1530.1</v>
      </c>
      <c r="T2">
        <v>1560</v>
      </c>
      <c r="U2">
        <v>1599.7</v>
      </c>
      <c r="V2">
        <v>1616.1</v>
      </c>
      <c r="W2">
        <v>1651.9</v>
      </c>
      <c r="X2">
        <v>1709.8</v>
      </c>
      <c r="Y2">
        <v>1761.8</v>
      </c>
      <c r="Z2">
        <v>1820.5</v>
      </c>
      <c r="AA2">
        <v>1852.3</v>
      </c>
      <c r="AB2">
        <v>1886.6</v>
      </c>
      <c r="AC2">
        <v>1934.3</v>
      </c>
      <c r="AD2">
        <v>1988.6</v>
      </c>
      <c r="AE2">
        <v>2055.9</v>
      </c>
      <c r="AF2">
        <v>2118.5</v>
      </c>
      <c r="AG2">
        <v>2164.3000000000002</v>
      </c>
      <c r="AH2">
        <v>2202.8000000000002</v>
      </c>
      <c r="AI2">
        <v>2331.6</v>
      </c>
      <c r="AJ2">
        <v>2395.1</v>
      </c>
      <c r="AK2">
        <v>2476.9</v>
      </c>
      <c r="AL2">
        <v>2526.6</v>
      </c>
      <c r="AM2">
        <v>2591.1999999999998</v>
      </c>
      <c r="AN2">
        <v>2667.6</v>
      </c>
      <c r="AO2">
        <v>2723.9</v>
      </c>
      <c r="AP2">
        <v>2789.8</v>
      </c>
      <c r="AQ2">
        <v>2797.4</v>
      </c>
      <c r="AR2">
        <v>2856.5</v>
      </c>
      <c r="AS2">
        <v>2985.6</v>
      </c>
      <c r="AT2">
        <v>3124.2</v>
      </c>
      <c r="AU2">
        <v>3162.5</v>
      </c>
      <c r="AV2">
        <v>3260.6</v>
      </c>
      <c r="AW2">
        <v>3280.8</v>
      </c>
      <c r="AX2">
        <v>3274.3</v>
      </c>
      <c r="AY2">
        <v>3332</v>
      </c>
      <c r="AZ2">
        <v>3366.3</v>
      </c>
      <c r="BA2">
        <v>3402.6</v>
      </c>
      <c r="BB2">
        <v>3473.4</v>
      </c>
      <c r="BC2">
        <v>3578.8</v>
      </c>
      <c r="BD2">
        <v>3689.2</v>
      </c>
      <c r="BE2">
        <v>3794.7</v>
      </c>
      <c r="BF2">
        <v>3908.1</v>
      </c>
      <c r="BG2">
        <v>4009.6</v>
      </c>
      <c r="BH2">
        <v>4084.3</v>
      </c>
      <c r="BI2">
        <v>4148.6000000000004</v>
      </c>
      <c r="BJ2">
        <v>4230.2</v>
      </c>
      <c r="BK2">
        <v>4294.8999999999996</v>
      </c>
      <c r="BL2">
        <v>4386.8</v>
      </c>
      <c r="BM2">
        <v>4444.1000000000004</v>
      </c>
      <c r="BN2">
        <v>4507.8999999999996</v>
      </c>
      <c r="BO2">
        <v>4545.3</v>
      </c>
      <c r="BP2">
        <v>4607.7</v>
      </c>
      <c r="BQ2">
        <v>4657.6000000000004</v>
      </c>
      <c r="BR2">
        <v>4722.2</v>
      </c>
      <c r="BS2">
        <v>4806.2</v>
      </c>
      <c r="BT2">
        <v>4884.6000000000004</v>
      </c>
      <c r="BU2">
        <v>5008</v>
      </c>
      <c r="BV2">
        <v>5073.3999999999996</v>
      </c>
      <c r="BW2">
        <v>5190</v>
      </c>
      <c r="BX2">
        <v>5282.8</v>
      </c>
      <c r="BY2">
        <v>5399.5</v>
      </c>
      <c r="BZ2">
        <v>5511.3</v>
      </c>
      <c r="CA2">
        <v>5612.5</v>
      </c>
      <c r="CB2">
        <v>5695.4</v>
      </c>
      <c r="CC2">
        <v>5747.2</v>
      </c>
      <c r="CD2">
        <v>5872.7</v>
      </c>
      <c r="CE2">
        <v>5960</v>
      </c>
      <c r="CF2">
        <v>6015.1</v>
      </c>
      <c r="CG2">
        <v>6004.7</v>
      </c>
      <c r="CH2">
        <v>6035.2</v>
      </c>
      <c r="CI2">
        <v>6126.9</v>
      </c>
      <c r="CJ2">
        <v>6205.9</v>
      </c>
      <c r="CK2">
        <v>6264.5</v>
      </c>
      <c r="CL2">
        <v>6363.1</v>
      </c>
      <c r="CM2">
        <v>6470.8</v>
      </c>
      <c r="CN2">
        <v>6566.6</v>
      </c>
      <c r="CO2">
        <v>6680.8</v>
      </c>
      <c r="CP2">
        <v>6729.5</v>
      </c>
      <c r="CQ2">
        <v>6808.9</v>
      </c>
      <c r="CR2">
        <v>6882.1</v>
      </c>
      <c r="CS2">
        <v>7013.7</v>
      </c>
      <c r="CT2">
        <v>7115.7</v>
      </c>
      <c r="CU2">
        <v>7246.9</v>
      </c>
      <c r="CV2">
        <v>7331.1</v>
      </c>
      <c r="CW2">
        <v>7455.3</v>
      </c>
      <c r="CX2">
        <v>7522.3</v>
      </c>
      <c r="CY2">
        <v>7581</v>
      </c>
      <c r="CZ2">
        <v>7683.1</v>
      </c>
      <c r="DA2">
        <v>7772.6</v>
      </c>
      <c r="DB2">
        <v>7868.5</v>
      </c>
      <c r="DC2">
        <v>8032.8</v>
      </c>
      <c r="DD2">
        <v>8131.4</v>
      </c>
      <c r="DE2">
        <v>8259.7999999999993</v>
      </c>
      <c r="DF2">
        <v>8362.7000000000007</v>
      </c>
      <c r="DG2">
        <v>8518.7999999999993</v>
      </c>
      <c r="DH2">
        <v>8662.7999999999993</v>
      </c>
      <c r="DI2">
        <v>8765.9</v>
      </c>
      <c r="DJ2">
        <v>8866.5</v>
      </c>
      <c r="DK2">
        <v>8969.7000000000007</v>
      </c>
      <c r="DL2">
        <v>9121.1</v>
      </c>
      <c r="DM2">
        <v>9294</v>
      </c>
      <c r="DN2">
        <v>9411.7000000000007</v>
      </c>
      <c r="DO2">
        <v>9526.2000000000007</v>
      </c>
      <c r="DP2">
        <v>9686.6</v>
      </c>
      <c r="DQ2">
        <v>9900.2000000000007</v>
      </c>
      <c r="DR2">
        <v>10002.200000000001</v>
      </c>
      <c r="DS2">
        <v>10247.700000000001</v>
      </c>
      <c r="DT2">
        <v>10318.200000000001</v>
      </c>
      <c r="DU2">
        <v>10435.700000000001</v>
      </c>
      <c r="DV2">
        <v>10470.200000000001</v>
      </c>
      <c r="DW2">
        <v>10599</v>
      </c>
      <c r="DX2">
        <v>10598</v>
      </c>
      <c r="DY2">
        <v>10660.5</v>
      </c>
      <c r="DZ2">
        <v>10783.5</v>
      </c>
      <c r="EA2">
        <v>10887.5</v>
      </c>
      <c r="EB2">
        <v>10984</v>
      </c>
      <c r="EC2">
        <v>11061.4</v>
      </c>
      <c r="ED2">
        <v>11174.1</v>
      </c>
      <c r="EE2">
        <v>11312.8</v>
      </c>
      <c r="EF2">
        <v>11566.7</v>
      </c>
      <c r="EG2">
        <v>11772.2</v>
      </c>
      <c r="EH2">
        <v>11923.4</v>
      </c>
      <c r="EI2">
        <v>12112.8</v>
      </c>
      <c r="EJ2">
        <v>12305.3</v>
      </c>
      <c r="EK2">
        <v>12527.2</v>
      </c>
      <c r="EL2">
        <v>12767.3</v>
      </c>
      <c r="EM2">
        <v>12922.7</v>
      </c>
      <c r="EN2">
        <v>13142.6</v>
      </c>
      <c r="EO2">
        <v>13324.2</v>
      </c>
      <c r="EP2">
        <v>13599.2</v>
      </c>
      <c r="EQ2">
        <v>13753.4</v>
      </c>
      <c r="ER2">
        <v>13870.2</v>
      </c>
      <c r="ES2">
        <v>14039.6</v>
      </c>
      <c r="ET2">
        <v>14215.7</v>
      </c>
      <c r="EU2">
        <v>14402.1</v>
      </c>
      <c r="EV2">
        <v>14564.1</v>
      </c>
      <c r="EW2">
        <v>14715.1</v>
      </c>
      <c r="EX2">
        <v>14706.5</v>
      </c>
      <c r="EY2">
        <v>14865.7</v>
      </c>
      <c r="EZ2">
        <v>14899</v>
      </c>
      <c r="FA2">
        <v>14608.2</v>
      </c>
      <c r="FB2">
        <v>14430.9</v>
      </c>
      <c r="FC2">
        <v>14381.2</v>
      </c>
      <c r="FD2">
        <v>14448.9</v>
      </c>
      <c r="FE2">
        <v>14651.2</v>
      </c>
      <c r="FF2">
        <v>14764.6</v>
      </c>
      <c r="FG2">
        <v>14980.2</v>
      </c>
      <c r="FH2">
        <v>15141.6</v>
      </c>
      <c r="FI2">
        <v>15309.5</v>
      </c>
      <c r="FJ2">
        <v>15351.4</v>
      </c>
      <c r="FK2">
        <v>15557.5</v>
      </c>
      <c r="FL2">
        <v>15647.7</v>
      </c>
      <c r="FM2">
        <v>15842.3</v>
      </c>
      <c r="FN2">
        <v>16068.8</v>
      </c>
      <c r="FO2">
        <v>16207.1</v>
      </c>
      <c r="FP2">
        <v>16319.5</v>
      </c>
      <c r="FQ2">
        <v>16420.400000000001</v>
      </c>
      <c r="FR2">
        <v>16629.099999999999</v>
      </c>
      <c r="FS2">
        <v>16699.599999999999</v>
      </c>
      <c r="FT2">
        <v>16911.099999999999</v>
      </c>
      <c r="FU2">
        <v>17133.099999999999</v>
      </c>
      <c r="FV2">
        <v>17144.3</v>
      </c>
      <c r="FW2">
        <v>17462.7</v>
      </c>
      <c r="FX2">
        <v>17743.2</v>
      </c>
      <c r="FY2">
        <v>17852.5</v>
      </c>
      <c r="FZ2">
        <v>17991.3</v>
      </c>
      <c r="GA2">
        <v>18193.7</v>
      </c>
      <c r="GB2">
        <v>18307</v>
      </c>
      <c r="GC2">
        <v>18332.099999999999</v>
      </c>
      <c r="GD2">
        <v>18425.3</v>
      </c>
      <c r="GE2">
        <v>18611.599999999999</v>
      </c>
      <c r="GF2">
        <v>18775.5</v>
      </c>
      <c r="GG2">
        <v>18968</v>
      </c>
      <c r="GH2">
        <v>19153.900000000001</v>
      </c>
      <c r="GI2">
        <v>19322.900000000001</v>
      </c>
      <c r="GJ2">
        <v>19558.7</v>
      </c>
      <c r="GK2">
        <v>19883</v>
      </c>
      <c r="GL2">
        <v>20143.7</v>
      </c>
      <c r="GM2">
        <v>20492.5</v>
      </c>
      <c r="GN2">
        <v>20659.099999999999</v>
      </c>
      <c r="GO2">
        <v>20813.3</v>
      </c>
      <c r="GP2">
        <v>21001.599999999999</v>
      </c>
      <c r="GQ2">
        <v>21289.3</v>
      </c>
      <c r="GR2">
        <v>21505</v>
      </c>
      <c r="GS2">
        <v>21694.5</v>
      </c>
      <c r="GT2">
        <v>21481.4</v>
      </c>
      <c r="GU2">
        <v>19477.400000000001</v>
      </c>
      <c r="GV2">
        <v>21138.6</v>
      </c>
      <c r="GW2">
        <v>21477.599999999999</v>
      </c>
      <c r="GX2">
        <v>22038.2</v>
      </c>
      <c r="GY2">
        <v>22741</v>
      </c>
      <c r="GZ2">
        <v>23173.5</v>
      </c>
    </row>
    <row r="3" spans="1:208" x14ac:dyDescent="0.35">
      <c r="A3" t="s">
        <v>929</v>
      </c>
      <c r="B3">
        <v>4939.8</v>
      </c>
      <c r="C3">
        <v>4946.8</v>
      </c>
      <c r="D3">
        <v>4992.3999999999996</v>
      </c>
      <c r="E3">
        <v>4938.8999999999996</v>
      </c>
      <c r="F3">
        <v>5073</v>
      </c>
      <c r="G3">
        <v>5100.3999999999996</v>
      </c>
      <c r="H3">
        <v>5142.3999999999996</v>
      </c>
      <c r="I3">
        <v>5154.5</v>
      </c>
      <c r="J3">
        <v>5249.3</v>
      </c>
      <c r="K3">
        <v>5368.5</v>
      </c>
      <c r="L3">
        <v>5419.2</v>
      </c>
      <c r="M3">
        <v>5509.9</v>
      </c>
      <c r="N3">
        <v>5646.3</v>
      </c>
      <c r="O3">
        <v>5707.8</v>
      </c>
      <c r="P3">
        <v>5677.7</v>
      </c>
      <c r="Q3">
        <v>5731.6</v>
      </c>
      <c r="R3">
        <v>5682.4</v>
      </c>
      <c r="S3">
        <v>5695.9</v>
      </c>
      <c r="T3">
        <v>5642</v>
      </c>
      <c r="U3">
        <v>5620.1</v>
      </c>
      <c r="V3">
        <v>5551.7</v>
      </c>
      <c r="W3">
        <v>5591.4</v>
      </c>
      <c r="X3">
        <v>5687.1</v>
      </c>
      <c r="Y3">
        <v>5763.7</v>
      </c>
      <c r="Z3">
        <v>5893.3</v>
      </c>
      <c r="AA3">
        <v>5936.5</v>
      </c>
      <c r="AB3">
        <v>5969.1</v>
      </c>
      <c r="AC3">
        <v>6012.4</v>
      </c>
      <c r="AD3">
        <v>6083.4</v>
      </c>
      <c r="AE3">
        <v>6201.7</v>
      </c>
      <c r="AF3">
        <v>6313.6</v>
      </c>
      <c r="AG3">
        <v>6313.7</v>
      </c>
      <c r="AH3">
        <v>6333.8</v>
      </c>
      <c r="AI3">
        <v>6578.6</v>
      </c>
      <c r="AJ3">
        <v>6644.8</v>
      </c>
      <c r="AK3">
        <v>6734.1</v>
      </c>
      <c r="AL3">
        <v>6746.2</v>
      </c>
      <c r="AM3">
        <v>6753.4</v>
      </c>
      <c r="AN3">
        <v>6803.6</v>
      </c>
      <c r="AO3">
        <v>6820.6</v>
      </c>
      <c r="AP3">
        <v>6842</v>
      </c>
      <c r="AQ3">
        <v>6701</v>
      </c>
      <c r="AR3">
        <v>6693.1</v>
      </c>
      <c r="AS3">
        <v>6817.9</v>
      </c>
      <c r="AT3">
        <v>6951.5</v>
      </c>
      <c r="AU3">
        <v>6900</v>
      </c>
      <c r="AV3">
        <v>6982.6</v>
      </c>
      <c r="AW3">
        <v>6906.5</v>
      </c>
      <c r="AX3">
        <v>6799.2</v>
      </c>
      <c r="AY3">
        <v>6830.3</v>
      </c>
      <c r="AZ3">
        <v>6804.1</v>
      </c>
      <c r="BA3">
        <v>6806.9</v>
      </c>
      <c r="BB3">
        <v>6896.6</v>
      </c>
      <c r="BC3">
        <v>7053.5</v>
      </c>
      <c r="BD3">
        <v>7194.5</v>
      </c>
      <c r="BE3">
        <v>7344.6</v>
      </c>
      <c r="BF3">
        <v>7488.2</v>
      </c>
      <c r="BG3">
        <v>7617.5</v>
      </c>
      <c r="BH3">
        <v>7691</v>
      </c>
      <c r="BI3">
        <v>7754.1</v>
      </c>
      <c r="BJ3">
        <v>7829.3</v>
      </c>
      <c r="BK3">
        <v>7898.2</v>
      </c>
      <c r="BL3">
        <v>8018.8</v>
      </c>
      <c r="BM3">
        <v>8078.4</v>
      </c>
      <c r="BN3">
        <v>8153.8</v>
      </c>
      <c r="BO3">
        <v>8190.6</v>
      </c>
      <c r="BP3">
        <v>8268.9</v>
      </c>
      <c r="BQ3">
        <v>8313.2999999999993</v>
      </c>
      <c r="BR3">
        <v>8375.2999999999993</v>
      </c>
      <c r="BS3">
        <v>8465.6</v>
      </c>
      <c r="BT3">
        <v>8539.1</v>
      </c>
      <c r="BU3">
        <v>8685.7000000000007</v>
      </c>
      <c r="BV3">
        <v>8730.6</v>
      </c>
      <c r="BW3">
        <v>8845.2999999999993</v>
      </c>
      <c r="BX3">
        <v>8897.1</v>
      </c>
      <c r="BY3">
        <v>9015.7000000000007</v>
      </c>
      <c r="BZ3">
        <v>9107.2999999999993</v>
      </c>
      <c r="CA3">
        <v>9176.7999999999993</v>
      </c>
      <c r="CB3">
        <v>9244.7999999999993</v>
      </c>
      <c r="CC3">
        <v>9263</v>
      </c>
      <c r="CD3">
        <v>9364.2999999999993</v>
      </c>
      <c r="CE3">
        <v>9398.2000000000007</v>
      </c>
      <c r="CF3">
        <v>9404.5</v>
      </c>
      <c r="CG3">
        <v>9318.9</v>
      </c>
      <c r="CH3">
        <v>9275.2999999999993</v>
      </c>
      <c r="CI3">
        <v>9347.6</v>
      </c>
      <c r="CJ3">
        <v>9394.7999999999993</v>
      </c>
      <c r="CK3">
        <v>9427.6</v>
      </c>
      <c r="CL3">
        <v>9540.4</v>
      </c>
      <c r="CM3">
        <v>9643.9</v>
      </c>
      <c r="CN3">
        <v>9739.2000000000007</v>
      </c>
      <c r="CO3">
        <v>9840.7999999999993</v>
      </c>
      <c r="CP3">
        <v>9857.2000000000007</v>
      </c>
      <c r="CQ3">
        <v>9914.6</v>
      </c>
      <c r="CR3">
        <v>9961.9</v>
      </c>
      <c r="CS3">
        <v>10097.4</v>
      </c>
      <c r="CT3">
        <v>10195.299999999999</v>
      </c>
      <c r="CU3">
        <v>10333.5</v>
      </c>
      <c r="CV3">
        <v>10393.9</v>
      </c>
      <c r="CW3">
        <v>10513</v>
      </c>
      <c r="CX3">
        <v>10550.3</v>
      </c>
      <c r="CY3">
        <v>10581.7</v>
      </c>
      <c r="CZ3">
        <v>10671.7</v>
      </c>
      <c r="DA3">
        <v>10744.2</v>
      </c>
      <c r="DB3">
        <v>10824.7</v>
      </c>
      <c r="DC3">
        <v>11005.2</v>
      </c>
      <c r="DD3">
        <v>11103.9</v>
      </c>
      <c r="DE3">
        <v>11219.2</v>
      </c>
      <c r="DF3">
        <v>11291.7</v>
      </c>
      <c r="DG3">
        <v>11479.3</v>
      </c>
      <c r="DH3">
        <v>11622.9</v>
      </c>
      <c r="DI3">
        <v>11722.7</v>
      </c>
      <c r="DJ3">
        <v>11839.9</v>
      </c>
      <c r="DK3">
        <v>11949.5</v>
      </c>
      <c r="DL3">
        <v>12099.2</v>
      </c>
      <c r="DM3">
        <v>12294.7</v>
      </c>
      <c r="DN3">
        <v>12410.8</v>
      </c>
      <c r="DO3">
        <v>12514.4</v>
      </c>
      <c r="DP3">
        <v>12680</v>
      </c>
      <c r="DQ3">
        <v>12888.3</v>
      </c>
      <c r="DR3">
        <v>12935.3</v>
      </c>
      <c r="DS3">
        <v>13170.7</v>
      </c>
      <c r="DT3">
        <v>13183.9</v>
      </c>
      <c r="DU3">
        <v>13262.3</v>
      </c>
      <c r="DV3">
        <v>13219.3</v>
      </c>
      <c r="DW3">
        <v>13301.4</v>
      </c>
      <c r="DX3">
        <v>13248.1</v>
      </c>
      <c r="DY3">
        <v>13284.9</v>
      </c>
      <c r="DZ3">
        <v>13394.9</v>
      </c>
      <c r="EA3">
        <v>13477.4</v>
      </c>
      <c r="EB3">
        <v>13531.7</v>
      </c>
      <c r="EC3">
        <v>13549.4</v>
      </c>
      <c r="ED3">
        <v>13619.4</v>
      </c>
      <c r="EE3">
        <v>13741.1</v>
      </c>
      <c r="EF3">
        <v>13970.2</v>
      </c>
      <c r="EG3">
        <v>14131.4</v>
      </c>
      <c r="EH3">
        <v>14212.3</v>
      </c>
      <c r="EI3">
        <v>14323</v>
      </c>
      <c r="EJ3">
        <v>14457.8</v>
      </c>
      <c r="EK3">
        <v>14605.6</v>
      </c>
      <c r="EL3">
        <v>14767.8</v>
      </c>
      <c r="EM3">
        <v>14839.7</v>
      </c>
      <c r="EN3">
        <v>14956.3</v>
      </c>
      <c r="EO3">
        <v>15041.2</v>
      </c>
      <c r="EP3">
        <v>15244.1</v>
      </c>
      <c r="EQ3">
        <v>15281.5</v>
      </c>
      <c r="ER3">
        <v>15304.5</v>
      </c>
      <c r="ES3">
        <v>15433.6</v>
      </c>
      <c r="ET3">
        <v>15479</v>
      </c>
      <c r="EU3">
        <v>15577.8</v>
      </c>
      <c r="EV3">
        <v>15671.6</v>
      </c>
      <c r="EW3">
        <v>15767.1</v>
      </c>
      <c r="EX3">
        <v>15702.9</v>
      </c>
      <c r="EY3">
        <v>15792.8</v>
      </c>
      <c r="EZ3">
        <v>15709.6</v>
      </c>
      <c r="FA3">
        <v>15366.6</v>
      </c>
      <c r="FB3">
        <v>15187.5</v>
      </c>
      <c r="FC3">
        <v>15161.8</v>
      </c>
      <c r="FD3">
        <v>15216.6</v>
      </c>
      <c r="FE3">
        <v>15379.2</v>
      </c>
      <c r="FF3">
        <v>15456.1</v>
      </c>
      <c r="FG3">
        <v>15605.6</v>
      </c>
      <c r="FH3">
        <v>15726.3</v>
      </c>
      <c r="FI3">
        <v>15808</v>
      </c>
      <c r="FJ3">
        <v>15769.9</v>
      </c>
      <c r="FK3">
        <v>15876.8</v>
      </c>
      <c r="FL3">
        <v>15870.7</v>
      </c>
      <c r="FM3">
        <v>16048.7</v>
      </c>
      <c r="FN3">
        <v>16180</v>
      </c>
      <c r="FO3">
        <v>16253.7</v>
      </c>
      <c r="FP3">
        <v>16282.2</v>
      </c>
      <c r="FQ3">
        <v>16300</v>
      </c>
      <c r="FR3">
        <v>16441.5</v>
      </c>
      <c r="FS3">
        <v>16464.400000000001</v>
      </c>
      <c r="FT3">
        <v>16594.7</v>
      </c>
      <c r="FU3">
        <v>16712.8</v>
      </c>
      <c r="FV3">
        <v>16654.2</v>
      </c>
      <c r="FW3">
        <v>16868.099999999999</v>
      </c>
      <c r="FX3">
        <v>17064.599999999999</v>
      </c>
      <c r="FY3">
        <v>17141.2</v>
      </c>
      <c r="FZ3">
        <v>17280.599999999999</v>
      </c>
      <c r="GA3">
        <v>17380.900000000001</v>
      </c>
      <c r="GB3">
        <v>17437.099999999999</v>
      </c>
      <c r="GC3">
        <v>17462.599999999999</v>
      </c>
      <c r="GD3">
        <v>17565.5</v>
      </c>
      <c r="GE3">
        <v>17618.599999999999</v>
      </c>
      <c r="GF3">
        <v>17724.5</v>
      </c>
      <c r="GG3">
        <v>17812.599999999999</v>
      </c>
      <c r="GH3">
        <v>17896.599999999999</v>
      </c>
      <c r="GI3">
        <v>17996.8</v>
      </c>
      <c r="GJ3">
        <v>18126.2</v>
      </c>
      <c r="GK3">
        <v>18296.7</v>
      </c>
      <c r="GL3">
        <v>18436.3</v>
      </c>
      <c r="GM3">
        <v>18590</v>
      </c>
      <c r="GN3">
        <v>18679.599999999999</v>
      </c>
      <c r="GO3">
        <v>18721.3</v>
      </c>
      <c r="GP3">
        <v>18833.2</v>
      </c>
      <c r="GQ3">
        <v>18982.5</v>
      </c>
      <c r="GR3">
        <v>19112.7</v>
      </c>
      <c r="GS3">
        <v>19202.3</v>
      </c>
      <c r="GT3">
        <v>18952</v>
      </c>
      <c r="GU3">
        <v>17258.2</v>
      </c>
      <c r="GV3">
        <v>18560.8</v>
      </c>
      <c r="GW3">
        <v>18767.8</v>
      </c>
      <c r="GX3">
        <v>19055.7</v>
      </c>
      <c r="GY3">
        <v>19368.3</v>
      </c>
      <c r="GZ3">
        <v>19465.2</v>
      </c>
    </row>
    <row r="4" spans="1:208" x14ac:dyDescent="0.35">
      <c r="A4" t="s">
        <v>930</v>
      </c>
      <c r="B4">
        <v>21.271999999999998</v>
      </c>
      <c r="C4">
        <v>21.579000000000001</v>
      </c>
      <c r="D4">
        <v>21.756</v>
      </c>
      <c r="E4">
        <v>22.041</v>
      </c>
      <c r="F4">
        <v>22.375</v>
      </c>
      <c r="G4">
        <v>22.673999999999999</v>
      </c>
      <c r="H4">
        <v>22.902999999999999</v>
      </c>
      <c r="I4">
        <v>23.091999999999999</v>
      </c>
      <c r="J4">
        <v>23.463000000000001</v>
      </c>
      <c r="K4">
        <v>23.606000000000002</v>
      </c>
      <c r="L4">
        <v>23.82</v>
      </c>
      <c r="M4">
        <v>24.09</v>
      </c>
      <c r="N4">
        <v>24.396000000000001</v>
      </c>
      <c r="O4">
        <v>24.8</v>
      </c>
      <c r="P4">
        <v>25.273</v>
      </c>
      <c r="Q4">
        <v>25.710999999999999</v>
      </c>
      <c r="R4">
        <v>26.231999999999999</v>
      </c>
      <c r="S4">
        <v>26.815000000000001</v>
      </c>
      <c r="T4">
        <v>27.640999999999998</v>
      </c>
      <c r="U4">
        <v>28.478999999999999</v>
      </c>
      <c r="V4">
        <v>29.123999999999999</v>
      </c>
      <c r="W4">
        <v>29.545999999999999</v>
      </c>
      <c r="X4">
        <v>30.068000000000001</v>
      </c>
      <c r="Y4">
        <v>30.57</v>
      </c>
      <c r="Z4">
        <v>30.905000000000001</v>
      </c>
      <c r="AA4">
        <v>31.213000000000001</v>
      </c>
      <c r="AB4">
        <v>31.611000000000001</v>
      </c>
      <c r="AC4">
        <v>32.148000000000003</v>
      </c>
      <c r="AD4">
        <v>32.667999999999999</v>
      </c>
      <c r="AE4">
        <v>33.183999999999997</v>
      </c>
      <c r="AF4">
        <v>33.640999999999998</v>
      </c>
      <c r="AG4">
        <v>34.203000000000003</v>
      </c>
      <c r="AH4">
        <v>34.762999999999998</v>
      </c>
      <c r="AI4">
        <v>35.457000000000001</v>
      </c>
      <c r="AJ4">
        <v>36.082999999999998</v>
      </c>
      <c r="AK4">
        <v>36.795999999999999</v>
      </c>
      <c r="AL4">
        <v>37.482999999999997</v>
      </c>
      <c r="AM4">
        <v>38.387999999999998</v>
      </c>
      <c r="AN4">
        <v>39.19</v>
      </c>
      <c r="AO4">
        <v>39.905000000000001</v>
      </c>
      <c r="AP4">
        <v>40.777000000000001</v>
      </c>
      <c r="AQ4">
        <v>41.744999999999997</v>
      </c>
      <c r="AR4">
        <v>42.676000000000002</v>
      </c>
      <c r="AS4">
        <v>43.807000000000002</v>
      </c>
      <c r="AT4">
        <v>44.968000000000004</v>
      </c>
      <c r="AU4">
        <v>45.813000000000002</v>
      </c>
      <c r="AV4">
        <v>46.703000000000003</v>
      </c>
      <c r="AW4">
        <v>47.475000000000001</v>
      </c>
      <c r="AX4">
        <v>48.155000000000001</v>
      </c>
      <c r="AY4">
        <v>48.795000000000002</v>
      </c>
      <c r="AZ4">
        <v>49.472000000000001</v>
      </c>
      <c r="BA4">
        <v>49.972999999999999</v>
      </c>
      <c r="BB4">
        <v>50.372</v>
      </c>
      <c r="BC4">
        <v>50.746000000000002</v>
      </c>
      <c r="BD4">
        <v>51.284999999999997</v>
      </c>
      <c r="BE4">
        <v>51.668999999999997</v>
      </c>
      <c r="BF4">
        <v>52.177999999999997</v>
      </c>
      <c r="BG4">
        <v>52.646999999999998</v>
      </c>
      <c r="BH4">
        <v>53.122</v>
      </c>
      <c r="BI4">
        <v>53.494</v>
      </c>
      <c r="BJ4">
        <v>54.040999999999997</v>
      </c>
      <c r="BK4">
        <v>54.360999999999997</v>
      </c>
      <c r="BL4">
        <v>54.722000000000001</v>
      </c>
      <c r="BM4">
        <v>55.006</v>
      </c>
      <c r="BN4">
        <v>55.277999999999999</v>
      </c>
      <c r="BO4">
        <v>55.472000000000001</v>
      </c>
      <c r="BP4">
        <v>55.734999999999999</v>
      </c>
      <c r="BQ4">
        <v>56.066000000000003</v>
      </c>
      <c r="BR4">
        <v>56.390999999999998</v>
      </c>
      <c r="BS4">
        <v>56.774000000000001</v>
      </c>
      <c r="BT4">
        <v>57.212000000000003</v>
      </c>
      <c r="BU4">
        <v>57.640999999999998</v>
      </c>
      <c r="BV4">
        <v>58.087000000000003</v>
      </c>
      <c r="BW4">
        <v>58.667000000000002</v>
      </c>
      <c r="BX4">
        <v>59.384999999999998</v>
      </c>
      <c r="BY4">
        <v>59.932000000000002</v>
      </c>
      <c r="BZ4">
        <v>60.508000000000003</v>
      </c>
      <c r="CA4">
        <v>61.162999999999997</v>
      </c>
      <c r="CB4">
        <v>61.616999999999997</v>
      </c>
      <c r="CC4">
        <v>62.036999999999999</v>
      </c>
      <c r="CD4">
        <v>62.713000000000001</v>
      </c>
      <c r="CE4">
        <v>63.414999999999999</v>
      </c>
      <c r="CF4">
        <v>63.963000000000001</v>
      </c>
      <c r="CG4">
        <v>64.451999999999998</v>
      </c>
      <c r="CH4">
        <v>65.078000000000003</v>
      </c>
      <c r="CI4">
        <v>65.546999999999997</v>
      </c>
      <c r="CJ4">
        <v>66.05</v>
      </c>
      <c r="CK4">
        <v>66.433999999999997</v>
      </c>
      <c r="CL4">
        <v>66.7</v>
      </c>
      <c r="CM4">
        <v>67.097999999999999</v>
      </c>
      <c r="CN4">
        <v>67.418999999999997</v>
      </c>
      <c r="CO4">
        <v>67.894000000000005</v>
      </c>
      <c r="CP4">
        <v>68.298000000000002</v>
      </c>
      <c r="CQ4">
        <v>68.700999999999993</v>
      </c>
      <c r="CR4">
        <v>69.046000000000006</v>
      </c>
      <c r="CS4">
        <v>69.451999999999998</v>
      </c>
      <c r="CT4">
        <v>69.807000000000002</v>
      </c>
      <c r="CU4">
        <v>70.14</v>
      </c>
      <c r="CV4">
        <v>70.513999999999996</v>
      </c>
      <c r="CW4">
        <v>70.906999999999996</v>
      </c>
      <c r="CX4">
        <v>71.311000000000007</v>
      </c>
      <c r="CY4">
        <v>71.661000000000001</v>
      </c>
      <c r="CZ4">
        <v>71.981999999999999</v>
      </c>
      <c r="DA4">
        <v>72.322000000000003</v>
      </c>
      <c r="DB4">
        <v>72.655000000000001</v>
      </c>
      <c r="DC4">
        <v>72.951999999999998</v>
      </c>
      <c r="DD4">
        <v>73.305999999999997</v>
      </c>
      <c r="DE4">
        <v>73.616</v>
      </c>
      <c r="DF4">
        <v>73.945999999999998</v>
      </c>
      <c r="DG4">
        <v>74.313999999999993</v>
      </c>
      <c r="DH4">
        <v>74.534999999999997</v>
      </c>
      <c r="DI4">
        <v>74.802000000000007</v>
      </c>
      <c r="DJ4">
        <v>74.878</v>
      </c>
      <c r="DK4">
        <v>75.072000000000003</v>
      </c>
      <c r="DL4">
        <v>75.363</v>
      </c>
      <c r="DM4">
        <v>75.564999999999998</v>
      </c>
      <c r="DN4">
        <v>75.769000000000005</v>
      </c>
      <c r="DO4">
        <v>76.111999999999995</v>
      </c>
      <c r="DP4">
        <v>76.403999999999996</v>
      </c>
      <c r="DQ4">
        <v>76.805999999999997</v>
      </c>
      <c r="DR4">
        <v>77.317999999999998</v>
      </c>
      <c r="DS4">
        <v>77.783000000000001</v>
      </c>
      <c r="DT4">
        <v>78.27</v>
      </c>
      <c r="DU4">
        <v>78.694000000000003</v>
      </c>
      <c r="DV4">
        <v>79.233000000000004</v>
      </c>
      <c r="DW4">
        <v>79.760999999999996</v>
      </c>
      <c r="DX4">
        <v>80.003</v>
      </c>
      <c r="DY4">
        <v>80.260999999999996</v>
      </c>
      <c r="DZ4">
        <v>80.474999999999994</v>
      </c>
      <c r="EA4">
        <v>80.793999999999997</v>
      </c>
      <c r="EB4">
        <v>81.155000000000001</v>
      </c>
      <c r="EC4">
        <v>81.626999999999995</v>
      </c>
      <c r="ED4">
        <v>82.067999999999998</v>
      </c>
      <c r="EE4">
        <v>82.349000000000004</v>
      </c>
      <c r="EF4">
        <v>82.822000000000003</v>
      </c>
      <c r="EG4">
        <v>83.302000000000007</v>
      </c>
      <c r="EH4">
        <v>83.899000000000001</v>
      </c>
      <c r="EI4">
        <v>84.58</v>
      </c>
      <c r="EJ4">
        <v>85.116</v>
      </c>
      <c r="EK4">
        <v>85.772000000000006</v>
      </c>
      <c r="EL4">
        <v>86.43</v>
      </c>
      <c r="EM4">
        <v>87.061999999999998</v>
      </c>
      <c r="EN4">
        <v>87.884</v>
      </c>
      <c r="EO4">
        <v>88.584000000000003</v>
      </c>
      <c r="EP4">
        <v>89.203999999999994</v>
      </c>
      <c r="EQ4">
        <v>89.992999999999995</v>
      </c>
      <c r="ER4">
        <v>90.652000000000001</v>
      </c>
      <c r="ES4">
        <v>90.997</v>
      </c>
      <c r="ET4">
        <v>91.908000000000001</v>
      </c>
      <c r="EU4">
        <v>92.491</v>
      </c>
      <c r="EV4">
        <v>92.882000000000005</v>
      </c>
      <c r="EW4">
        <v>93.331999999999994</v>
      </c>
      <c r="EX4">
        <v>93.734999999999999</v>
      </c>
      <c r="EY4">
        <v>94.075000000000003</v>
      </c>
      <c r="EZ4">
        <v>94.804000000000002</v>
      </c>
      <c r="FA4">
        <v>94.974999999999994</v>
      </c>
      <c r="FB4">
        <v>95.001000000000005</v>
      </c>
      <c r="FC4">
        <v>94.87</v>
      </c>
      <c r="FD4">
        <v>94.927999999999997</v>
      </c>
      <c r="FE4">
        <v>95.277000000000001</v>
      </c>
      <c r="FF4">
        <v>95.518000000000001</v>
      </c>
      <c r="FG4">
        <v>95.962999999999994</v>
      </c>
      <c r="FH4">
        <v>96.311999999999998</v>
      </c>
      <c r="FI4">
        <v>96.864000000000004</v>
      </c>
      <c r="FJ4">
        <v>97.338999999999999</v>
      </c>
      <c r="FK4">
        <v>98.042000000000002</v>
      </c>
      <c r="FL4">
        <v>98.561000000000007</v>
      </c>
      <c r="FM4">
        <v>98.686999999999998</v>
      </c>
      <c r="FN4">
        <v>99.277000000000001</v>
      </c>
      <c r="FO4">
        <v>99.69</v>
      </c>
      <c r="FP4">
        <v>100.304</v>
      </c>
      <c r="FQ4">
        <v>100.73</v>
      </c>
      <c r="FR4">
        <v>101.124</v>
      </c>
      <c r="FS4">
        <v>101.428</v>
      </c>
      <c r="FT4">
        <v>101.973</v>
      </c>
      <c r="FU4">
        <v>102.55</v>
      </c>
      <c r="FV4">
        <v>102.965</v>
      </c>
      <c r="FW4">
        <v>103.55200000000001</v>
      </c>
      <c r="FX4">
        <v>104.029</v>
      </c>
      <c r="FY4">
        <v>104.104</v>
      </c>
      <c r="FZ4">
        <v>104.092</v>
      </c>
      <c r="GA4">
        <v>104.68300000000001</v>
      </c>
      <c r="GB4">
        <v>104.93899999999999</v>
      </c>
      <c r="GC4">
        <v>104.932</v>
      </c>
      <c r="GD4">
        <v>104.873</v>
      </c>
      <c r="GE4">
        <v>105.57599999999999</v>
      </c>
      <c r="GF4">
        <v>105.89400000000001</v>
      </c>
      <c r="GG4">
        <v>106.47</v>
      </c>
      <c r="GH4">
        <v>107.00700000000001</v>
      </c>
      <c r="GI4">
        <v>107.361</v>
      </c>
      <c r="GJ4">
        <v>107.94199999999999</v>
      </c>
      <c r="GK4">
        <v>108.658</v>
      </c>
      <c r="GL4">
        <v>109.312</v>
      </c>
      <c r="GM4">
        <v>110.15600000000001</v>
      </c>
      <c r="GN4">
        <v>110.64700000000001</v>
      </c>
      <c r="GO4">
        <v>111.191</v>
      </c>
      <c r="GP4">
        <v>111.502</v>
      </c>
      <c r="GQ4">
        <v>112.142</v>
      </c>
      <c r="GR4">
        <v>112.524</v>
      </c>
      <c r="GS4">
        <v>112.947</v>
      </c>
      <c r="GT4">
        <v>113.39700000000001</v>
      </c>
      <c r="GU4">
        <v>112.96899999999999</v>
      </c>
      <c r="GV4">
        <v>113.98399999999999</v>
      </c>
      <c r="GW4">
        <v>114.611</v>
      </c>
      <c r="GX4">
        <v>115.82599999999999</v>
      </c>
      <c r="GY4">
        <v>117.54600000000001</v>
      </c>
      <c r="GZ4">
        <v>119.19</v>
      </c>
    </row>
    <row r="5" spans="1:208" x14ac:dyDescent="0.35">
      <c r="A5" t="s">
        <v>931</v>
      </c>
      <c r="B5">
        <v>631.70000000000005</v>
      </c>
      <c r="C5">
        <v>641.6</v>
      </c>
      <c r="D5">
        <v>653.5</v>
      </c>
      <c r="E5">
        <v>660.2</v>
      </c>
      <c r="F5">
        <v>679.2</v>
      </c>
      <c r="G5">
        <v>693.2</v>
      </c>
      <c r="H5">
        <v>705.6</v>
      </c>
      <c r="I5">
        <v>721.7</v>
      </c>
      <c r="J5">
        <v>738.9</v>
      </c>
      <c r="K5">
        <v>757.4</v>
      </c>
      <c r="L5">
        <v>775.8</v>
      </c>
      <c r="M5">
        <v>800.5</v>
      </c>
      <c r="N5">
        <v>825</v>
      </c>
      <c r="O5">
        <v>840.5</v>
      </c>
      <c r="P5">
        <v>858.9</v>
      </c>
      <c r="Q5">
        <v>873.9</v>
      </c>
      <c r="R5">
        <v>891.9</v>
      </c>
      <c r="S5">
        <v>920.4</v>
      </c>
      <c r="T5">
        <v>949.3</v>
      </c>
      <c r="U5">
        <v>959.1</v>
      </c>
      <c r="V5">
        <v>985.2</v>
      </c>
      <c r="W5">
        <v>1013.6</v>
      </c>
      <c r="X5">
        <v>1047.2</v>
      </c>
      <c r="Y5">
        <v>1076.2</v>
      </c>
      <c r="Z5">
        <v>1109.9000000000001</v>
      </c>
      <c r="AA5">
        <v>1129.5</v>
      </c>
      <c r="AB5">
        <v>1158.8</v>
      </c>
      <c r="AC5">
        <v>1192.4000000000001</v>
      </c>
      <c r="AD5">
        <v>1228.2</v>
      </c>
      <c r="AE5">
        <v>1256</v>
      </c>
      <c r="AF5">
        <v>1286.9000000000001</v>
      </c>
      <c r="AG5">
        <v>1324.8</v>
      </c>
      <c r="AH5">
        <v>1354.1</v>
      </c>
      <c r="AI5">
        <v>1411.4</v>
      </c>
      <c r="AJ5">
        <v>1442.2</v>
      </c>
      <c r="AK5">
        <v>1481.4</v>
      </c>
      <c r="AL5">
        <v>1517.1</v>
      </c>
      <c r="AM5">
        <v>1557.6</v>
      </c>
      <c r="AN5">
        <v>1611.9</v>
      </c>
      <c r="AO5">
        <v>1655</v>
      </c>
      <c r="AP5">
        <v>1702.3</v>
      </c>
      <c r="AQ5">
        <v>1704.7</v>
      </c>
      <c r="AR5">
        <v>1763.8</v>
      </c>
      <c r="AS5">
        <v>1831.9</v>
      </c>
      <c r="AT5">
        <v>1885.7</v>
      </c>
      <c r="AU5">
        <v>1917.5</v>
      </c>
      <c r="AV5">
        <v>1958.1</v>
      </c>
      <c r="AW5">
        <v>1974.4</v>
      </c>
      <c r="AX5">
        <v>2014.2</v>
      </c>
      <c r="AY5">
        <v>2039.6</v>
      </c>
      <c r="AZ5">
        <v>2085.6999999999998</v>
      </c>
      <c r="BA5">
        <v>2145.6</v>
      </c>
      <c r="BB5">
        <v>2184.6</v>
      </c>
      <c r="BC5">
        <v>2249.4</v>
      </c>
      <c r="BD5">
        <v>2319.9</v>
      </c>
      <c r="BE5">
        <v>2372.5</v>
      </c>
      <c r="BF5">
        <v>2418.1999999999998</v>
      </c>
      <c r="BG5">
        <v>2475.9</v>
      </c>
      <c r="BH5">
        <v>2513.5</v>
      </c>
      <c r="BI5">
        <v>2561.8000000000002</v>
      </c>
      <c r="BJ5">
        <v>2636</v>
      </c>
      <c r="BK5">
        <v>2681.8</v>
      </c>
      <c r="BL5">
        <v>2754.1</v>
      </c>
      <c r="BM5">
        <v>2779.4</v>
      </c>
      <c r="BN5">
        <v>2823.6</v>
      </c>
      <c r="BO5">
        <v>2851.5</v>
      </c>
      <c r="BP5">
        <v>2917.2</v>
      </c>
      <c r="BQ5">
        <v>2952.8</v>
      </c>
      <c r="BR5">
        <v>2983.5</v>
      </c>
      <c r="BS5">
        <v>3053.3</v>
      </c>
      <c r="BT5">
        <v>3117.4</v>
      </c>
      <c r="BU5">
        <v>3150.9</v>
      </c>
      <c r="BV5">
        <v>3231.9</v>
      </c>
      <c r="BW5">
        <v>3291.7</v>
      </c>
      <c r="BX5">
        <v>3361.9</v>
      </c>
      <c r="BY5">
        <v>3434.5</v>
      </c>
      <c r="BZ5">
        <v>3490.2</v>
      </c>
      <c r="CA5">
        <v>3553.8</v>
      </c>
      <c r="CB5">
        <v>3609.4</v>
      </c>
      <c r="CC5">
        <v>3653.7</v>
      </c>
      <c r="CD5">
        <v>3737.9</v>
      </c>
      <c r="CE5">
        <v>3783.4</v>
      </c>
      <c r="CF5">
        <v>3846.7</v>
      </c>
      <c r="CG5">
        <v>3867.9</v>
      </c>
      <c r="CH5">
        <v>3873.6</v>
      </c>
      <c r="CI5">
        <v>3926.9</v>
      </c>
      <c r="CJ5">
        <v>3973.3</v>
      </c>
      <c r="CK5">
        <v>4000</v>
      </c>
      <c r="CL5">
        <v>4100.3999999999996</v>
      </c>
      <c r="CM5">
        <v>4155.7</v>
      </c>
      <c r="CN5">
        <v>4227</v>
      </c>
      <c r="CO5">
        <v>4307.2</v>
      </c>
      <c r="CP5">
        <v>4349.5</v>
      </c>
      <c r="CQ5">
        <v>4418.6000000000004</v>
      </c>
      <c r="CR5">
        <v>4487.2</v>
      </c>
      <c r="CS5">
        <v>4552.7</v>
      </c>
      <c r="CT5">
        <v>4621.2</v>
      </c>
      <c r="CU5">
        <v>4683.2</v>
      </c>
      <c r="CV5">
        <v>4752.8</v>
      </c>
      <c r="CW5">
        <v>4826.7</v>
      </c>
      <c r="CX5">
        <v>4862.3999999999996</v>
      </c>
      <c r="CY5">
        <v>4933.6000000000004</v>
      </c>
      <c r="CZ5">
        <v>4998.7</v>
      </c>
      <c r="DA5">
        <v>5055.7</v>
      </c>
      <c r="DB5">
        <v>5130.6000000000004</v>
      </c>
      <c r="DC5">
        <v>5220.5</v>
      </c>
      <c r="DD5">
        <v>5274.5</v>
      </c>
      <c r="DE5">
        <v>5352.8</v>
      </c>
      <c r="DF5">
        <v>5433.1</v>
      </c>
      <c r="DG5">
        <v>5471.3</v>
      </c>
      <c r="DH5">
        <v>5579.2</v>
      </c>
      <c r="DI5">
        <v>5663.6</v>
      </c>
      <c r="DJ5">
        <v>5721.3</v>
      </c>
      <c r="DK5">
        <v>5832.6</v>
      </c>
      <c r="DL5">
        <v>5926.8</v>
      </c>
      <c r="DM5">
        <v>6028.2</v>
      </c>
      <c r="DN5">
        <v>6102</v>
      </c>
      <c r="DO5">
        <v>6230.6</v>
      </c>
      <c r="DP5">
        <v>6335.3</v>
      </c>
      <c r="DQ5">
        <v>6467</v>
      </c>
      <c r="DR5">
        <v>6618.2</v>
      </c>
      <c r="DS5">
        <v>6711.9</v>
      </c>
      <c r="DT5">
        <v>6820</v>
      </c>
      <c r="DU5">
        <v>6918.6</v>
      </c>
      <c r="DV5">
        <v>6995.3</v>
      </c>
      <c r="DW5">
        <v>7042.3</v>
      </c>
      <c r="DX5">
        <v>7070.3</v>
      </c>
      <c r="DY5">
        <v>7187.3</v>
      </c>
      <c r="DZ5">
        <v>7217.7</v>
      </c>
      <c r="EA5">
        <v>7308</v>
      </c>
      <c r="EB5">
        <v>7397.1</v>
      </c>
      <c r="EC5">
        <v>7473</v>
      </c>
      <c r="ED5">
        <v>7567.2</v>
      </c>
      <c r="EE5">
        <v>7661.5</v>
      </c>
      <c r="EF5">
        <v>7820.9</v>
      </c>
      <c r="EG5">
        <v>7913.5</v>
      </c>
      <c r="EH5">
        <v>8048.8</v>
      </c>
      <c r="EI5">
        <v>8147.1</v>
      </c>
      <c r="EJ5">
        <v>8283.2999999999993</v>
      </c>
      <c r="EK5">
        <v>8448.6</v>
      </c>
      <c r="EL5">
        <v>8551.7000000000007</v>
      </c>
      <c r="EM5">
        <v>8701.1</v>
      </c>
      <c r="EN5">
        <v>8868.1</v>
      </c>
      <c r="EO5">
        <v>8955.2999999999993</v>
      </c>
      <c r="EP5">
        <v>9100.2000000000007</v>
      </c>
      <c r="EQ5">
        <v>9227.6</v>
      </c>
      <c r="ER5">
        <v>9353.7999999999993</v>
      </c>
      <c r="ES5">
        <v>9427.4</v>
      </c>
      <c r="ET5">
        <v>9572.1</v>
      </c>
      <c r="EU5">
        <v>9678.7000000000007</v>
      </c>
      <c r="EV5">
        <v>9798.4</v>
      </c>
      <c r="EW5">
        <v>9937.1</v>
      </c>
      <c r="EX5">
        <v>10004.4</v>
      </c>
      <c r="EY5">
        <v>10129.9</v>
      </c>
      <c r="EZ5">
        <v>10159.1</v>
      </c>
      <c r="FA5">
        <v>9906.9</v>
      </c>
      <c r="FB5">
        <v>9815</v>
      </c>
      <c r="FC5">
        <v>9805.5</v>
      </c>
      <c r="FD5">
        <v>9939.4</v>
      </c>
      <c r="FE5">
        <v>10005</v>
      </c>
      <c r="FF5">
        <v>10101.799999999999</v>
      </c>
      <c r="FG5">
        <v>10208.1</v>
      </c>
      <c r="FH5">
        <v>10300.799999999999</v>
      </c>
      <c r="FI5">
        <v>10430.299999999999</v>
      </c>
      <c r="FJ5">
        <v>10558.2</v>
      </c>
      <c r="FK5">
        <v>10673</v>
      </c>
      <c r="FL5">
        <v>10755</v>
      </c>
      <c r="FM5">
        <v>10809.2</v>
      </c>
      <c r="FN5">
        <v>10959.3</v>
      </c>
      <c r="FO5">
        <v>11005.1</v>
      </c>
      <c r="FP5">
        <v>11059.4</v>
      </c>
      <c r="FQ5">
        <v>11165.7</v>
      </c>
      <c r="FR5">
        <v>11265.6</v>
      </c>
      <c r="FS5">
        <v>11291</v>
      </c>
      <c r="FT5">
        <v>11379.2</v>
      </c>
      <c r="FU5">
        <v>11518.4</v>
      </c>
      <c r="FV5">
        <v>11618.1</v>
      </c>
      <c r="FW5">
        <v>11784.7</v>
      </c>
      <c r="FX5">
        <v>11934.3</v>
      </c>
      <c r="FY5">
        <v>12053.8</v>
      </c>
      <c r="FZ5">
        <v>12083.9</v>
      </c>
      <c r="GA5">
        <v>12224.7</v>
      </c>
      <c r="GB5">
        <v>12347.8</v>
      </c>
      <c r="GC5">
        <v>12397.5</v>
      </c>
      <c r="GD5">
        <v>12495.1</v>
      </c>
      <c r="GE5">
        <v>12637.4</v>
      </c>
      <c r="GF5">
        <v>12759.1</v>
      </c>
      <c r="GG5">
        <v>12881.6</v>
      </c>
      <c r="GH5">
        <v>13046.4</v>
      </c>
      <c r="GI5">
        <v>13144.4</v>
      </c>
      <c r="GJ5">
        <v>13268.1</v>
      </c>
      <c r="GK5">
        <v>13497.5</v>
      </c>
      <c r="GL5">
        <v>13667.4</v>
      </c>
      <c r="GM5">
        <v>13864.8</v>
      </c>
      <c r="GN5">
        <v>14002.6</v>
      </c>
      <c r="GO5">
        <v>14119.3</v>
      </c>
      <c r="GP5">
        <v>14155.6</v>
      </c>
      <c r="GQ5">
        <v>14375.7</v>
      </c>
      <c r="GR5">
        <v>14529.5</v>
      </c>
      <c r="GS5">
        <v>14653.9</v>
      </c>
      <c r="GT5">
        <v>14439.1</v>
      </c>
      <c r="GU5">
        <v>12989.7</v>
      </c>
      <c r="GV5">
        <v>14293.8</v>
      </c>
      <c r="GW5">
        <v>14467.6</v>
      </c>
      <c r="GX5">
        <v>15005.4</v>
      </c>
      <c r="GY5">
        <v>15681.7</v>
      </c>
      <c r="GZ5">
        <v>15946.2</v>
      </c>
    </row>
    <row r="6" spans="1:208" x14ac:dyDescent="0.35">
      <c r="A6" t="s">
        <v>932</v>
      </c>
      <c r="B6">
        <v>3071.1</v>
      </c>
      <c r="C6">
        <v>3085</v>
      </c>
      <c r="D6">
        <v>3112</v>
      </c>
      <c r="E6">
        <v>3103.6</v>
      </c>
      <c r="F6">
        <v>3163.1</v>
      </c>
      <c r="G6">
        <v>3192.2</v>
      </c>
      <c r="H6">
        <v>3217.7</v>
      </c>
      <c r="I6">
        <v>3271.1</v>
      </c>
      <c r="J6">
        <v>3314.2</v>
      </c>
      <c r="K6">
        <v>3377.3</v>
      </c>
      <c r="L6">
        <v>3429.4</v>
      </c>
      <c r="M6">
        <v>3509.8</v>
      </c>
      <c r="N6">
        <v>3573.9</v>
      </c>
      <c r="O6">
        <v>3572.3</v>
      </c>
      <c r="P6">
        <v>3584.9</v>
      </c>
      <c r="Q6">
        <v>3574.2</v>
      </c>
      <c r="R6">
        <v>3542.2</v>
      </c>
      <c r="S6">
        <v>3555</v>
      </c>
      <c r="T6">
        <v>3570.2</v>
      </c>
      <c r="U6">
        <v>3518.1</v>
      </c>
      <c r="V6">
        <v>3547.6</v>
      </c>
      <c r="W6">
        <v>3605.9</v>
      </c>
      <c r="X6">
        <v>3657.2</v>
      </c>
      <c r="Y6">
        <v>3696.5</v>
      </c>
      <c r="Z6">
        <v>3770.4</v>
      </c>
      <c r="AA6">
        <v>3805.1</v>
      </c>
      <c r="AB6">
        <v>3845.1</v>
      </c>
      <c r="AC6">
        <v>3895</v>
      </c>
      <c r="AD6">
        <v>3940.9</v>
      </c>
      <c r="AE6">
        <v>3962.3</v>
      </c>
      <c r="AF6">
        <v>3999.8</v>
      </c>
      <c r="AG6">
        <v>4059.9</v>
      </c>
      <c r="AH6">
        <v>4082.7</v>
      </c>
      <c r="AI6">
        <v>4170</v>
      </c>
      <c r="AJ6">
        <v>4187.5</v>
      </c>
      <c r="AK6">
        <v>4221.3</v>
      </c>
      <c r="AL6">
        <v>4243.2</v>
      </c>
      <c r="AM6">
        <v>4240.3999999999996</v>
      </c>
      <c r="AN6">
        <v>4281.7</v>
      </c>
      <c r="AO6">
        <v>4292.3</v>
      </c>
      <c r="AP6">
        <v>4286.2</v>
      </c>
      <c r="AQ6">
        <v>4189.7</v>
      </c>
      <c r="AR6">
        <v>4235.6000000000004</v>
      </c>
      <c r="AS6">
        <v>4292.8999999999996</v>
      </c>
      <c r="AT6">
        <v>4307.2</v>
      </c>
      <c r="AU6">
        <v>4307.6000000000004</v>
      </c>
      <c r="AV6">
        <v>4327.5</v>
      </c>
      <c r="AW6">
        <v>4297.8999999999996</v>
      </c>
      <c r="AX6">
        <v>4329.5</v>
      </c>
      <c r="AY6">
        <v>4342.7</v>
      </c>
      <c r="AZ6">
        <v>4371.8</v>
      </c>
      <c r="BA6">
        <v>4448.3999999999996</v>
      </c>
      <c r="BB6">
        <v>4492.3999999999996</v>
      </c>
      <c r="BC6">
        <v>4583.8999999999996</v>
      </c>
      <c r="BD6">
        <v>4666.1000000000004</v>
      </c>
      <c r="BE6">
        <v>4740.3999999999996</v>
      </c>
      <c r="BF6">
        <v>4779.8</v>
      </c>
      <c r="BG6">
        <v>4846.7</v>
      </c>
      <c r="BH6">
        <v>4882.7</v>
      </c>
      <c r="BI6">
        <v>4945.8999999999996</v>
      </c>
      <c r="BJ6">
        <v>5030</v>
      </c>
      <c r="BK6">
        <v>5076.1000000000004</v>
      </c>
      <c r="BL6">
        <v>5172.6000000000004</v>
      </c>
      <c r="BM6">
        <v>5183.7</v>
      </c>
      <c r="BN6">
        <v>5229</v>
      </c>
      <c r="BO6">
        <v>5286</v>
      </c>
      <c r="BP6">
        <v>5379.5</v>
      </c>
      <c r="BQ6">
        <v>5412.5</v>
      </c>
      <c r="BR6">
        <v>5417.9</v>
      </c>
      <c r="BS6">
        <v>5491.8</v>
      </c>
      <c r="BT6">
        <v>5554.5</v>
      </c>
      <c r="BU6">
        <v>5566.3</v>
      </c>
      <c r="BV6">
        <v>5664.6</v>
      </c>
      <c r="BW6">
        <v>5706.4</v>
      </c>
      <c r="BX6">
        <v>5757.1</v>
      </c>
      <c r="BY6">
        <v>5822.6</v>
      </c>
      <c r="BZ6">
        <v>5849.6</v>
      </c>
      <c r="CA6">
        <v>5876.9</v>
      </c>
      <c r="CB6">
        <v>5933.8</v>
      </c>
      <c r="CC6">
        <v>5959.6</v>
      </c>
      <c r="CD6">
        <v>6009.7</v>
      </c>
      <c r="CE6">
        <v>6028</v>
      </c>
      <c r="CF6">
        <v>6051.9</v>
      </c>
      <c r="CG6">
        <v>6005.9</v>
      </c>
      <c r="CH6">
        <v>5983.3</v>
      </c>
      <c r="CI6">
        <v>6032.9</v>
      </c>
      <c r="CJ6">
        <v>6063</v>
      </c>
      <c r="CK6">
        <v>6059.9</v>
      </c>
      <c r="CL6">
        <v>6173.4</v>
      </c>
      <c r="CM6">
        <v>6215.3</v>
      </c>
      <c r="CN6">
        <v>6281.9</v>
      </c>
      <c r="CO6">
        <v>6356.8</v>
      </c>
      <c r="CP6">
        <v>6381.2</v>
      </c>
      <c r="CQ6">
        <v>6439.2</v>
      </c>
      <c r="CR6">
        <v>6510.9</v>
      </c>
      <c r="CS6">
        <v>6568</v>
      </c>
      <c r="CT6">
        <v>6643.2</v>
      </c>
      <c r="CU6">
        <v>6694.8</v>
      </c>
      <c r="CV6">
        <v>6745.9</v>
      </c>
      <c r="CW6">
        <v>6818.8</v>
      </c>
      <c r="CX6">
        <v>6835.8</v>
      </c>
      <c r="CY6">
        <v>6895.7</v>
      </c>
      <c r="CZ6">
        <v>6958.2</v>
      </c>
      <c r="DA6">
        <v>7006.7</v>
      </c>
      <c r="DB6">
        <v>7071.4</v>
      </c>
      <c r="DC6">
        <v>7147.4</v>
      </c>
      <c r="DD6">
        <v>7190.7</v>
      </c>
      <c r="DE6">
        <v>7248</v>
      </c>
      <c r="DF6">
        <v>7324.4</v>
      </c>
      <c r="DG6">
        <v>7357.4</v>
      </c>
      <c r="DH6">
        <v>7482.7</v>
      </c>
      <c r="DI6">
        <v>7572.1</v>
      </c>
      <c r="DJ6">
        <v>7648.7</v>
      </c>
      <c r="DK6">
        <v>7783.4</v>
      </c>
      <c r="DL6">
        <v>7884.9</v>
      </c>
      <c r="DM6">
        <v>7998.8</v>
      </c>
      <c r="DN6">
        <v>8081</v>
      </c>
      <c r="DO6">
        <v>8204.7999999999993</v>
      </c>
      <c r="DP6">
        <v>8297</v>
      </c>
      <c r="DQ6">
        <v>8418.2999999999993</v>
      </c>
      <c r="DR6">
        <v>8545.6</v>
      </c>
      <c r="DS6">
        <v>8625.4</v>
      </c>
      <c r="DT6">
        <v>8708.1</v>
      </c>
      <c r="DU6">
        <v>8784.2000000000007</v>
      </c>
      <c r="DV6">
        <v>8816</v>
      </c>
      <c r="DW6">
        <v>8833.7000000000007</v>
      </c>
      <c r="DX6">
        <v>8864.5</v>
      </c>
      <c r="DY6">
        <v>9007.5</v>
      </c>
      <c r="DZ6">
        <v>9027.5</v>
      </c>
      <c r="EA6">
        <v>9073.2000000000007</v>
      </c>
      <c r="EB6">
        <v>9136.7000000000007</v>
      </c>
      <c r="EC6">
        <v>9187.5</v>
      </c>
      <c r="ED6">
        <v>9232.7999999999993</v>
      </c>
      <c r="EE6">
        <v>9338.5</v>
      </c>
      <c r="EF6">
        <v>9470.5</v>
      </c>
      <c r="EG6">
        <v>9535.7000000000007</v>
      </c>
      <c r="EH6">
        <v>9624.6</v>
      </c>
      <c r="EI6">
        <v>9677.2000000000007</v>
      </c>
      <c r="EJ6">
        <v>9790.7999999999993</v>
      </c>
      <c r="EK6">
        <v>9901.6</v>
      </c>
      <c r="EL6">
        <v>9964.5</v>
      </c>
      <c r="EM6">
        <v>10074.9</v>
      </c>
      <c r="EN6">
        <v>10158.5</v>
      </c>
      <c r="EO6">
        <v>10177.200000000001</v>
      </c>
      <c r="EP6">
        <v>10288.200000000001</v>
      </c>
      <c r="EQ6">
        <v>10341.6</v>
      </c>
      <c r="ER6">
        <v>10408</v>
      </c>
      <c r="ES6">
        <v>10507.2</v>
      </c>
      <c r="ET6">
        <v>10572.1</v>
      </c>
      <c r="EU6">
        <v>10599.8</v>
      </c>
      <c r="EV6">
        <v>10670.5</v>
      </c>
      <c r="EW6">
        <v>10712.6</v>
      </c>
      <c r="EX6">
        <v>10697.9</v>
      </c>
      <c r="EY6">
        <v>10727.3</v>
      </c>
      <c r="EZ6">
        <v>10644.7</v>
      </c>
      <c r="FA6">
        <v>10548.9</v>
      </c>
      <c r="FB6">
        <v>10522.1</v>
      </c>
      <c r="FC6">
        <v>10470.4</v>
      </c>
      <c r="FD6">
        <v>10540.8</v>
      </c>
      <c r="FE6">
        <v>10529.2</v>
      </c>
      <c r="FF6">
        <v>10590.2</v>
      </c>
      <c r="FG6">
        <v>10685.1</v>
      </c>
      <c r="FH6">
        <v>10761.4</v>
      </c>
      <c r="FI6">
        <v>10827.3</v>
      </c>
      <c r="FJ6">
        <v>10868.7</v>
      </c>
      <c r="FK6">
        <v>10879.9</v>
      </c>
      <c r="FL6">
        <v>10913</v>
      </c>
      <c r="FM6">
        <v>10931.8</v>
      </c>
      <c r="FN6">
        <v>11010.7</v>
      </c>
      <c r="FO6">
        <v>11030</v>
      </c>
      <c r="FP6">
        <v>11052.4</v>
      </c>
      <c r="FQ6">
        <v>11096.4</v>
      </c>
      <c r="FR6">
        <v>11155.5</v>
      </c>
      <c r="FS6">
        <v>11172.6</v>
      </c>
      <c r="FT6">
        <v>11214.4</v>
      </c>
      <c r="FU6">
        <v>11304.3</v>
      </c>
      <c r="FV6">
        <v>11347.6</v>
      </c>
      <c r="FW6">
        <v>11453</v>
      </c>
      <c r="FX6">
        <v>11565.7</v>
      </c>
      <c r="FY6">
        <v>11694.9</v>
      </c>
      <c r="FZ6">
        <v>11772.9</v>
      </c>
      <c r="GA6">
        <v>11852.7</v>
      </c>
      <c r="GB6">
        <v>11943</v>
      </c>
      <c r="GC6">
        <v>12003.1</v>
      </c>
      <c r="GD6">
        <v>12091.2</v>
      </c>
      <c r="GE6">
        <v>12152.6</v>
      </c>
      <c r="GF6">
        <v>12223.8</v>
      </c>
      <c r="GG6">
        <v>12283.1</v>
      </c>
      <c r="GH6">
        <v>12372.2</v>
      </c>
      <c r="GI6">
        <v>12430.1</v>
      </c>
      <c r="GJ6">
        <v>12500.4</v>
      </c>
      <c r="GK6">
        <v>12632</v>
      </c>
      <c r="GL6">
        <v>12707.6</v>
      </c>
      <c r="GM6">
        <v>12816.4</v>
      </c>
      <c r="GN6">
        <v>12900.6</v>
      </c>
      <c r="GO6">
        <v>12955.5</v>
      </c>
      <c r="GP6">
        <v>12975.1</v>
      </c>
      <c r="GQ6">
        <v>13088.8</v>
      </c>
      <c r="GR6">
        <v>13192.3</v>
      </c>
      <c r="GS6">
        <v>13249</v>
      </c>
      <c r="GT6">
        <v>13014.5</v>
      </c>
      <c r="GU6">
        <v>11756.4</v>
      </c>
      <c r="GV6">
        <v>12820.8</v>
      </c>
      <c r="GW6">
        <v>12927.9</v>
      </c>
      <c r="GX6">
        <v>13282.7</v>
      </c>
      <c r="GY6">
        <v>13665.6</v>
      </c>
      <c r="GZ6">
        <v>13719.3</v>
      </c>
    </row>
    <row r="7" spans="1:208" x14ac:dyDescent="0.35">
      <c r="A7" t="s">
        <v>933</v>
      </c>
      <c r="B7">
        <v>20.57</v>
      </c>
      <c r="C7">
        <v>20.797999999999998</v>
      </c>
      <c r="D7">
        <v>21</v>
      </c>
      <c r="E7">
        <v>21.271999999999998</v>
      </c>
      <c r="F7">
        <v>21.474</v>
      </c>
      <c r="G7">
        <v>21.718</v>
      </c>
      <c r="H7">
        <v>21.931999999999999</v>
      </c>
      <c r="I7">
        <v>22.068000000000001</v>
      </c>
      <c r="J7">
        <v>22.300999999999998</v>
      </c>
      <c r="K7">
        <v>22.428999999999998</v>
      </c>
      <c r="L7">
        <v>22.626000000000001</v>
      </c>
      <c r="M7">
        <v>22.811</v>
      </c>
      <c r="N7">
        <v>23.085999999999999</v>
      </c>
      <c r="O7">
        <v>23.53</v>
      </c>
      <c r="P7">
        <v>23.957999999999998</v>
      </c>
      <c r="Q7">
        <v>24.448</v>
      </c>
      <c r="R7">
        <v>25.175999999999998</v>
      </c>
      <c r="S7">
        <v>25.888999999999999</v>
      </c>
      <c r="T7">
        <v>26.587</v>
      </c>
      <c r="U7">
        <v>27.263000000000002</v>
      </c>
      <c r="V7">
        <v>27.776</v>
      </c>
      <c r="W7">
        <v>28.117000000000001</v>
      </c>
      <c r="X7">
        <v>28.643000000000001</v>
      </c>
      <c r="Y7">
        <v>29.123999999999999</v>
      </c>
      <c r="Z7">
        <v>29.443999999999999</v>
      </c>
      <c r="AA7">
        <v>29.690999999999999</v>
      </c>
      <c r="AB7">
        <v>30.141999999999999</v>
      </c>
      <c r="AC7">
        <v>30.617999999999999</v>
      </c>
      <c r="AD7">
        <v>31.17</v>
      </c>
      <c r="AE7">
        <v>31.704000000000001</v>
      </c>
      <c r="AF7">
        <v>32.180999999999997</v>
      </c>
      <c r="AG7">
        <v>32.637999999999998</v>
      </c>
      <c r="AH7">
        <v>33.173999999999999</v>
      </c>
      <c r="AI7">
        <v>33.854999999999997</v>
      </c>
      <c r="AJ7">
        <v>34.448999999999998</v>
      </c>
      <c r="AK7">
        <v>35.1</v>
      </c>
      <c r="AL7">
        <v>35.762</v>
      </c>
      <c r="AM7">
        <v>36.738999999999997</v>
      </c>
      <c r="AN7">
        <v>37.65</v>
      </c>
      <c r="AO7">
        <v>38.561999999999998</v>
      </c>
      <c r="AP7">
        <v>39.719000000000001</v>
      </c>
      <c r="AQ7">
        <v>40.691000000000003</v>
      </c>
      <c r="AR7">
        <v>41.643000000000001</v>
      </c>
      <c r="AS7">
        <v>42.673000000000002</v>
      </c>
      <c r="AT7">
        <v>43.78</v>
      </c>
      <c r="AU7">
        <v>44.515000000000001</v>
      </c>
      <c r="AV7">
        <v>45.247999999999998</v>
      </c>
      <c r="AW7">
        <v>45.941000000000003</v>
      </c>
      <c r="AX7">
        <v>46.524999999999999</v>
      </c>
      <c r="AY7">
        <v>46.972999999999999</v>
      </c>
      <c r="AZ7">
        <v>47.715000000000003</v>
      </c>
      <c r="BA7">
        <v>48.241</v>
      </c>
      <c r="BB7">
        <v>48.64</v>
      </c>
      <c r="BC7">
        <v>49.085000000000001</v>
      </c>
      <c r="BD7">
        <v>49.73</v>
      </c>
      <c r="BE7">
        <v>50.058</v>
      </c>
      <c r="BF7">
        <v>50.598999999999997</v>
      </c>
      <c r="BG7">
        <v>51.088999999999999</v>
      </c>
      <c r="BH7">
        <v>51.482999999999997</v>
      </c>
      <c r="BI7">
        <v>51.801000000000002</v>
      </c>
      <c r="BJ7">
        <v>52.411999999999999</v>
      </c>
      <c r="BK7">
        <v>52.837000000000003</v>
      </c>
      <c r="BL7">
        <v>53.250999999999998</v>
      </c>
      <c r="BM7">
        <v>53.622999999999998</v>
      </c>
      <c r="BN7">
        <v>54.003</v>
      </c>
      <c r="BO7">
        <v>53.945999999999998</v>
      </c>
      <c r="BP7">
        <v>54.23</v>
      </c>
      <c r="BQ7">
        <v>54.558</v>
      </c>
      <c r="BR7">
        <v>55.072000000000003</v>
      </c>
      <c r="BS7">
        <v>55.603000000000002</v>
      </c>
      <c r="BT7">
        <v>56.13</v>
      </c>
      <c r="BU7">
        <v>56.615000000000002</v>
      </c>
      <c r="BV7">
        <v>57.061999999999998</v>
      </c>
      <c r="BW7">
        <v>57.692</v>
      </c>
      <c r="BX7">
        <v>58.402999999999999</v>
      </c>
      <c r="BY7">
        <v>58.993000000000002</v>
      </c>
      <c r="BZ7">
        <v>59.670999999999999</v>
      </c>
      <c r="CA7">
        <v>60.475000000000001</v>
      </c>
      <c r="CB7">
        <v>60.832000000000001</v>
      </c>
      <c r="CC7">
        <v>61.31</v>
      </c>
      <c r="CD7">
        <v>62.198999999999998</v>
      </c>
      <c r="CE7">
        <v>62.764000000000003</v>
      </c>
      <c r="CF7">
        <v>63.561</v>
      </c>
      <c r="CG7">
        <v>64.402000000000001</v>
      </c>
      <c r="CH7">
        <v>64.739999999999995</v>
      </c>
      <c r="CI7">
        <v>65.093999999999994</v>
      </c>
      <c r="CJ7">
        <v>65.536000000000001</v>
      </c>
      <c r="CK7">
        <v>66.012</v>
      </c>
      <c r="CL7">
        <v>66.424999999999997</v>
      </c>
      <c r="CM7">
        <v>66.867000000000004</v>
      </c>
      <c r="CN7">
        <v>67.293999999999997</v>
      </c>
      <c r="CO7">
        <v>67.763000000000005</v>
      </c>
      <c r="CP7">
        <v>68.167000000000002</v>
      </c>
      <c r="CQ7">
        <v>68.623999999999995</v>
      </c>
      <c r="CR7">
        <v>68.923000000000002</v>
      </c>
      <c r="CS7">
        <v>69.319999999999993</v>
      </c>
      <c r="CT7">
        <v>69.567999999999998</v>
      </c>
      <c r="CU7">
        <v>69.956000000000003</v>
      </c>
      <c r="CV7">
        <v>70.459000000000003</v>
      </c>
      <c r="CW7">
        <v>70.789000000000001</v>
      </c>
      <c r="CX7">
        <v>71.135999999999996</v>
      </c>
      <c r="CY7">
        <v>71.549000000000007</v>
      </c>
      <c r="CZ7">
        <v>71.841999999999999</v>
      </c>
      <c r="DA7">
        <v>72.158000000000001</v>
      </c>
      <c r="DB7">
        <v>72.558999999999997</v>
      </c>
      <c r="DC7">
        <v>73.043999999999997</v>
      </c>
      <c r="DD7">
        <v>73.355999999999995</v>
      </c>
      <c r="DE7">
        <v>73.855999999999995</v>
      </c>
      <c r="DF7">
        <v>74.182000000000002</v>
      </c>
      <c r="DG7">
        <v>74.367999999999995</v>
      </c>
      <c r="DH7">
        <v>74.563999999999993</v>
      </c>
      <c r="DI7">
        <v>74.798000000000002</v>
      </c>
      <c r="DJ7">
        <v>74.804000000000002</v>
      </c>
      <c r="DK7">
        <v>74.938999999999993</v>
      </c>
      <c r="DL7">
        <v>75.17</v>
      </c>
      <c r="DM7">
        <v>75.369</v>
      </c>
      <c r="DN7">
        <v>75.516999999999996</v>
      </c>
      <c r="DO7">
        <v>75.947000000000003</v>
      </c>
      <c r="DP7">
        <v>76.364999999999995</v>
      </c>
      <c r="DQ7">
        <v>76.828000000000003</v>
      </c>
      <c r="DR7">
        <v>77.451999999999998</v>
      </c>
      <c r="DS7">
        <v>77.820999999999998</v>
      </c>
      <c r="DT7">
        <v>78.322999999999993</v>
      </c>
      <c r="DU7">
        <v>78.766000000000005</v>
      </c>
      <c r="DV7">
        <v>79.349000000000004</v>
      </c>
      <c r="DW7">
        <v>79.721000000000004</v>
      </c>
      <c r="DX7">
        <v>79.760999999999996</v>
      </c>
      <c r="DY7">
        <v>79.793999999999997</v>
      </c>
      <c r="DZ7">
        <v>79.953999999999994</v>
      </c>
      <c r="EA7">
        <v>80.546999999999997</v>
      </c>
      <c r="EB7">
        <v>80.963999999999999</v>
      </c>
      <c r="EC7">
        <v>81.341999999999999</v>
      </c>
      <c r="ED7">
        <v>81.963999999999999</v>
      </c>
      <c r="EE7">
        <v>82.046000000000006</v>
      </c>
      <c r="EF7">
        <v>82.587000000000003</v>
      </c>
      <c r="EG7">
        <v>82.992999999999995</v>
      </c>
      <c r="EH7">
        <v>83.632999999999996</v>
      </c>
      <c r="EI7">
        <v>84.195999999999998</v>
      </c>
      <c r="EJ7">
        <v>84.61</v>
      </c>
      <c r="EK7">
        <v>85.332999999999998</v>
      </c>
      <c r="EL7">
        <v>85.828999999999994</v>
      </c>
      <c r="EM7">
        <v>86.370999999999995</v>
      </c>
      <c r="EN7">
        <v>87.304000000000002</v>
      </c>
      <c r="EO7">
        <v>87.998999999999995</v>
      </c>
      <c r="EP7">
        <v>88.456000000000003</v>
      </c>
      <c r="EQ7">
        <v>89.231999999999999</v>
      </c>
      <c r="ER7">
        <v>89.873999999999995</v>
      </c>
      <c r="ES7">
        <v>89.725999999999999</v>
      </c>
      <c r="ET7">
        <v>90.546000000000006</v>
      </c>
      <c r="EU7">
        <v>91.314999999999998</v>
      </c>
      <c r="EV7">
        <v>91.831000000000003</v>
      </c>
      <c r="EW7">
        <v>92.765000000000001</v>
      </c>
      <c r="EX7">
        <v>93.52</v>
      </c>
      <c r="EY7">
        <v>94.43</v>
      </c>
      <c r="EZ7">
        <v>95.438000000000002</v>
      </c>
      <c r="FA7">
        <v>93.914000000000001</v>
      </c>
      <c r="FB7">
        <v>93.28</v>
      </c>
      <c r="FC7">
        <v>93.650999999999996</v>
      </c>
      <c r="FD7">
        <v>94.296000000000006</v>
      </c>
      <c r="FE7">
        <v>95.024000000000001</v>
      </c>
      <c r="FF7">
        <v>95.391000000000005</v>
      </c>
      <c r="FG7">
        <v>95.539000000000001</v>
      </c>
      <c r="FH7">
        <v>95.722999999999999</v>
      </c>
      <c r="FI7">
        <v>96.335999999999999</v>
      </c>
      <c r="FJ7">
        <v>97.144999999999996</v>
      </c>
      <c r="FK7">
        <v>98.1</v>
      </c>
      <c r="FL7">
        <v>98.554000000000002</v>
      </c>
      <c r="FM7">
        <v>98.879000000000005</v>
      </c>
      <c r="FN7">
        <v>99.534000000000006</v>
      </c>
      <c r="FO7">
        <v>99.775000000000006</v>
      </c>
      <c r="FP7">
        <v>100.065</v>
      </c>
      <c r="FQ7">
        <v>100.626</v>
      </c>
      <c r="FR7">
        <v>100.989</v>
      </c>
      <c r="FS7">
        <v>101.06100000000001</v>
      </c>
      <c r="FT7">
        <v>101.471</v>
      </c>
      <c r="FU7">
        <v>101.896</v>
      </c>
      <c r="FV7">
        <v>102.386</v>
      </c>
      <c r="FW7">
        <v>102.899</v>
      </c>
      <c r="FX7">
        <v>103.19</v>
      </c>
      <c r="FY7">
        <v>103.071</v>
      </c>
      <c r="FZ7">
        <v>102.643</v>
      </c>
      <c r="GA7">
        <v>103.14100000000001</v>
      </c>
      <c r="GB7">
        <v>103.39</v>
      </c>
      <c r="GC7">
        <v>103.288</v>
      </c>
      <c r="GD7">
        <v>103.343</v>
      </c>
      <c r="GE7">
        <v>103.992</v>
      </c>
      <c r="GF7">
        <v>104.38200000000001</v>
      </c>
      <c r="GG7">
        <v>104.876</v>
      </c>
      <c r="GH7">
        <v>105.453</v>
      </c>
      <c r="GI7">
        <v>105.751</v>
      </c>
      <c r="GJ7">
        <v>106.146</v>
      </c>
      <c r="GK7">
        <v>106.85599999999999</v>
      </c>
      <c r="GL7">
        <v>107.557</v>
      </c>
      <c r="GM7">
        <v>108.184</v>
      </c>
      <c r="GN7">
        <v>108.54600000000001</v>
      </c>
      <c r="GO7">
        <v>108.986</v>
      </c>
      <c r="GP7">
        <v>109.1</v>
      </c>
      <c r="GQ7">
        <v>109.83499999999999</v>
      </c>
      <c r="GR7">
        <v>110.14100000000001</v>
      </c>
      <c r="GS7">
        <v>110.61199999999999</v>
      </c>
      <c r="GT7">
        <v>110.958</v>
      </c>
      <c r="GU7">
        <v>110.505</v>
      </c>
      <c r="GV7">
        <v>111.50700000000001</v>
      </c>
      <c r="GW7">
        <v>111.928</v>
      </c>
      <c r="GX7">
        <v>112.989</v>
      </c>
      <c r="GY7">
        <v>114.77200000000001</v>
      </c>
      <c r="GZ7">
        <v>116.252</v>
      </c>
    </row>
    <row r="8" spans="1:208" x14ac:dyDescent="0.35">
      <c r="A8" t="s">
        <v>934</v>
      </c>
      <c r="B8">
        <v>18.704000000000001</v>
      </c>
      <c r="C8">
        <v>18.951000000000001</v>
      </c>
      <c r="D8">
        <v>19.274000000000001</v>
      </c>
      <c r="E8">
        <v>19.518999999999998</v>
      </c>
      <c r="F8">
        <v>20.137</v>
      </c>
      <c r="G8">
        <v>20.513000000000002</v>
      </c>
      <c r="H8">
        <v>20.81</v>
      </c>
      <c r="I8">
        <v>21.233000000000001</v>
      </c>
      <c r="J8">
        <v>22.106999999999999</v>
      </c>
      <c r="K8">
        <v>22.33</v>
      </c>
      <c r="L8">
        <v>22.513000000000002</v>
      </c>
      <c r="M8">
        <v>23.003</v>
      </c>
      <c r="N8">
        <v>23.373000000000001</v>
      </c>
      <c r="O8">
        <v>23.78</v>
      </c>
      <c r="P8">
        <v>24.271999999999998</v>
      </c>
      <c r="Q8">
        <v>24.791</v>
      </c>
      <c r="R8">
        <v>25.045000000000002</v>
      </c>
      <c r="S8">
        <v>25.498000000000001</v>
      </c>
      <c r="T8">
        <v>26.242000000000001</v>
      </c>
      <c r="U8">
        <v>27.114000000000001</v>
      </c>
      <c r="V8">
        <v>27.606999999999999</v>
      </c>
      <c r="W8">
        <v>28.006</v>
      </c>
      <c r="X8">
        <v>28.384</v>
      </c>
      <c r="Y8">
        <v>29.036000000000001</v>
      </c>
      <c r="Z8">
        <v>29.46</v>
      </c>
      <c r="AA8">
        <v>29.707000000000001</v>
      </c>
      <c r="AB8">
        <v>30.047000000000001</v>
      </c>
      <c r="AC8">
        <v>30.850999999999999</v>
      </c>
      <c r="AD8">
        <v>31.286999999999999</v>
      </c>
      <c r="AE8">
        <v>31.643000000000001</v>
      </c>
      <c r="AF8">
        <v>31.798999999999999</v>
      </c>
      <c r="AG8">
        <v>32.720999999999997</v>
      </c>
      <c r="AH8">
        <v>33.094999999999999</v>
      </c>
      <c r="AI8">
        <v>33.744999999999997</v>
      </c>
      <c r="AJ8">
        <v>34.308999999999997</v>
      </c>
      <c r="AK8">
        <v>34.901000000000003</v>
      </c>
      <c r="AL8">
        <v>35.543999999999997</v>
      </c>
      <c r="AM8">
        <v>36.081000000000003</v>
      </c>
      <c r="AN8">
        <v>36.923000000000002</v>
      </c>
      <c r="AO8">
        <v>37.735999999999997</v>
      </c>
      <c r="AP8">
        <v>38.481999999999999</v>
      </c>
      <c r="AQ8">
        <v>39.97</v>
      </c>
      <c r="AR8">
        <v>40.375</v>
      </c>
      <c r="AS8">
        <v>41.59</v>
      </c>
      <c r="AT8">
        <v>42.420999999999999</v>
      </c>
      <c r="AU8">
        <v>43.406999999999996</v>
      </c>
      <c r="AV8">
        <v>44.36</v>
      </c>
      <c r="AW8">
        <v>45.209000000000003</v>
      </c>
      <c r="AX8">
        <v>45.932000000000002</v>
      </c>
      <c r="AY8">
        <v>46.841000000000001</v>
      </c>
      <c r="AZ8">
        <v>47.234999999999999</v>
      </c>
      <c r="BA8">
        <v>47.792000000000002</v>
      </c>
      <c r="BB8">
        <v>47.881999999999998</v>
      </c>
      <c r="BC8">
        <v>48.252000000000002</v>
      </c>
      <c r="BD8">
        <v>48.786000000000001</v>
      </c>
      <c r="BE8">
        <v>49.104999999999997</v>
      </c>
      <c r="BF8">
        <v>49.741</v>
      </c>
      <c r="BG8">
        <v>50.237000000000002</v>
      </c>
      <c r="BH8">
        <v>50.984000000000002</v>
      </c>
      <c r="BI8">
        <v>51.612000000000002</v>
      </c>
      <c r="BJ8">
        <v>51.405999999999999</v>
      </c>
      <c r="BK8">
        <v>51.527000000000001</v>
      </c>
      <c r="BL8">
        <v>51.802</v>
      </c>
      <c r="BM8">
        <v>52.142000000000003</v>
      </c>
      <c r="BN8">
        <v>52.01</v>
      </c>
      <c r="BO8">
        <v>51.881</v>
      </c>
      <c r="BP8">
        <v>51.954000000000001</v>
      </c>
      <c r="BQ8">
        <v>52.012999999999998</v>
      </c>
      <c r="BR8">
        <v>51.923999999999999</v>
      </c>
      <c r="BS8">
        <v>52.170999999999999</v>
      </c>
      <c r="BT8">
        <v>52.548000000000002</v>
      </c>
      <c r="BU8">
        <v>52.658000000000001</v>
      </c>
      <c r="BV8">
        <v>53.375999999999998</v>
      </c>
      <c r="BW8">
        <v>53.901000000000003</v>
      </c>
      <c r="BX8">
        <v>54.209000000000003</v>
      </c>
      <c r="BY8">
        <v>54.645000000000003</v>
      </c>
      <c r="BZ8">
        <v>55.051000000000002</v>
      </c>
      <c r="CA8">
        <v>55.454999999999998</v>
      </c>
      <c r="CB8">
        <v>55.731000000000002</v>
      </c>
      <c r="CC8">
        <v>55.930999999999997</v>
      </c>
      <c r="CD8">
        <v>56.323</v>
      </c>
      <c r="CE8">
        <v>57.29</v>
      </c>
      <c r="CF8">
        <v>57.366999999999997</v>
      </c>
      <c r="CG8">
        <v>58.05</v>
      </c>
      <c r="CH8">
        <v>58.570999999999998</v>
      </c>
      <c r="CI8">
        <v>58.86</v>
      </c>
      <c r="CJ8">
        <v>59.616</v>
      </c>
      <c r="CK8">
        <v>60.219000000000001</v>
      </c>
      <c r="CL8">
        <v>60.307000000000002</v>
      </c>
      <c r="CM8">
        <v>60.527000000000001</v>
      </c>
      <c r="CN8">
        <v>61.055</v>
      </c>
      <c r="CO8">
        <v>61.439</v>
      </c>
      <c r="CP8">
        <v>61.591999999999999</v>
      </c>
      <c r="CQ8">
        <v>61.863</v>
      </c>
      <c r="CR8">
        <v>62.311</v>
      </c>
      <c r="CS8">
        <v>62.87</v>
      </c>
      <c r="CT8">
        <v>63.158000000000001</v>
      </c>
      <c r="CU8">
        <v>63.688000000000002</v>
      </c>
      <c r="CV8">
        <v>64.054000000000002</v>
      </c>
      <c r="CW8">
        <v>64.58</v>
      </c>
      <c r="CX8">
        <v>65.123999999999995</v>
      </c>
      <c r="CY8">
        <v>65.558000000000007</v>
      </c>
      <c r="CZ8">
        <v>65.897000000000006</v>
      </c>
      <c r="DA8">
        <v>66.807000000000002</v>
      </c>
      <c r="DB8">
        <v>66.963999999999999</v>
      </c>
      <c r="DC8">
        <v>66.605000000000004</v>
      </c>
      <c r="DD8">
        <v>66.992000000000004</v>
      </c>
      <c r="DE8">
        <v>67.221999999999994</v>
      </c>
      <c r="DF8">
        <v>67.450999999999993</v>
      </c>
      <c r="DG8">
        <v>67.894999999999996</v>
      </c>
      <c r="DH8">
        <v>68.051000000000002</v>
      </c>
      <c r="DI8">
        <v>68.528000000000006</v>
      </c>
      <c r="DJ8">
        <v>68.241</v>
      </c>
      <c r="DK8">
        <v>68.680000000000007</v>
      </c>
      <c r="DL8">
        <v>69.129000000000005</v>
      </c>
      <c r="DM8">
        <v>69.350999999999999</v>
      </c>
      <c r="DN8">
        <v>69.557000000000002</v>
      </c>
      <c r="DO8">
        <v>70.141999999999996</v>
      </c>
      <c r="DP8">
        <v>70.778999999999996</v>
      </c>
      <c r="DQ8">
        <v>71.649000000000001</v>
      </c>
      <c r="DR8">
        <v>72.346999999999994</v>
      </c>
      <c r="DS8">
        <v>72.625</v>
      </c>
      <c r="DT8">
        <v>73.144999999999996</v>
      </c>
      <c r="DU8">
        <v>73.475999999999999</v>
      </c>
      <c r="DV8">
        <v>73.600999999999999</v>
      </c>
      <c r="DW8">
        <v>73.988</v>
      </c>
      <c r="DX8">
        <v>74.462000000000003</v>
      </c>
      <c r="DY8">
        <v>74.944000000000003</v>
      </c>
      <c r="DZ8">
        <v>75.430000000000007</v>
      </c>
      <c r="EA8">
        <v>76.143000000000001</v>
      </c>
      <c r="EB8">
        <v>76.796999999999997</v>
      </c>
      <c r="EC8">
        <v>78.22</v>
      </c>
      <c r="ED8">
        <v>79.091999999999999</v>
      </c>
      <c r="EE8">
        <v>79.653999999999996</v>
      </c>
      <c r="EF8">
        <v>80.375</v>
      </c>
      <c r="EG8">
        <v>80.977000000000004</v>
      </c>
      <c r="EH8">
        <v>81.665999999999997</v>
      </c>
      <c r="EI8">
        <v>82.375</v>
      </c>
      <c r="EJ8">
        <v>83.129000000000005</v>
      </c>
      <c r="EK8">
        <v>83.938000000000002</v>
      </c>
      <c r="EL8">
        <v>85.043000000000006</v>
      </c>
      <c r="EM8">
        <v>85.81</v>
      </c>
      <c r="EN8">
        <v>86.706000000000003</v>
      </c>
      <c r="EO8">
        <v>87.328999999999994</v>
      </c>
      <c r="EP8">
        <v>88.063999999999993</v>
      </c>
      <c r="EQ8">
        <v>88.677000000000007</v>
      </c>
      <c r="ER8">
        <v>89.334000000000003</v>
      </c>
      <c r="ES8">
        <v>89.799000000000007</v>
      </c>
      <c r="ET8">
        <v>90.566999999999993</v>
      </c>
      <c r="EU8">
        <v>91.290999999999997</v>
      </c>
      <c r="EV8">
        <v>91.92</v>
      </c>
      <c r="EW8">
        <v>92.656999999999996</v>
      </c>
      <c r="EX8">
        <v>93.438000000000002</v>
      </c>
      <c r="EY8">
        <v>94.394999999999996</v>
      </c>
      <c r="EZ8">
        <v>95.102999999999994</v>
      </c>
      <c r="FA8">
        <v>94.65</v>
      </c>
      <c r="FB8">
        <v>93.855999999999995</v>
      </c>
      <c r="FC8">
        <v>93.873000000000005</v>
      </c>
      <c r="FD8">
        <v>94.16</v>
      </c>
      <c r="FE8">
        <v>94.884</v>
      </c>
      <c r="FF8">
        <v>95.488</v>
      </c>
      <c r="FG8">
        <v>96.22</v>
      </c>
      <c r="FH8">
        <v>96.602000000000004</v>
      </c>
      <c r="FI8">
        <v>97.388000000000005</v>
      </c>
      <c r="FJ8">
        <v>98.263000000000005</v>
      </c>
      <c r="FK8">
        <v>99.152000000000001</v>
      </c>
      <c r="FL8">
        <v>99.497</v>
      </c>
      <c r="FM8">
        <v>99.364000000000004</v>
      </c>
      <c r="FN8">
        <v>99.707999999999998</v>
      </c>
      <c r="FO8">
        <v>99.927999999999997</v>
      </c>
      <c r="FP8">
        <v>100.12</v>
      </c>
      <c r="FQ8">
        <v>100.244</v>
      </c>
      <c r="FR8">
        <v>100.239</v>
      </c>
      <c r="FS8">
        <v>100.437</v>
      </c>
      <c r="FT8">
        <v>100.762</v>
      </c>
      <c r="FU8">
        <v>102.295</v>
      </c>
      <c r="FV8">
        <v>102.03100000000001</v>
      </c>
      <c r="FW8">
        <v>102.482</v>
      </c>
      <c r="FX8">
        <v>102.961</v>
      </c>
      <c r="FY8">
        <v>103.099</v>
      </c>
      <c r="FZ8">
        <v>102.93300000000001</v>
      </c>
      <c r="GA8">
        <v>103.13500000000001</v>
      </c>
      <c r="GB8">
        <v>103.29300000000001</v>
      </c>
      <c r="GC8">
        <v>103.211</v>
      </c>
      <c r="GD8">
        <v>102.953</v>
      </c>
      <c r="GE8">
        <v>103.50700000000001</v>
      </c>
      <c r="GF8">
        <v>103.90900000000001</v>
      </c>
      <c r="GG8">
        <v>104.41</v>
      </c>
      <c r="GH8">
        <v>104.958</v>
      </c>
      <c r="GI8">
        <v>105.35599999999999</v>
      </c>
      <c r="GJ8">
        <v>105.86</v>
      </c>
      <c r="GK8">
        <v>106.633</v>
      </c>
      <c r="GL8">
        <v>107.655</v>
      </c>
      <c r="GM8">
        <v>108.447</v>
      </c>
      <c r="GN8">
        <v>109.07299999999999</v>
      </c>
      <c r="GO8">
        <v>109.928</v>
      </c>
      <c r="GP8">
        <v>111.078</v>
      </c>
      <c r="GQ8">
        <v>110.303</v>
      </c>
      <c r="GR8">
        <v>110.673</v>
      </c>
      <c r="GS8">
        <v>111.068</v>
      </c>
      <c r="GT8">
        <v>111.4</v>
      </c>
      <c r="GU8">
        <v>111.444</v>
      </c>
      <c r="GV8">
        <v>112.26900000000001</v>
      </c>
      <c r="GW8">
        <v>112.959</v>
      </c>
      <c r="GX8">
        <v>114.065</v>
      </c>
      <c r="GY8">
        <v>115.22799999999999</v>
      </c>
      <c r="GZ8">
        <v>116.539</v>
      </c>
    </row>
    <row r="9" spans="1:208" x14ac:dyDescent="0.35">
      <c r="A9" t="s">
        <v>935</v>
      </c>
      <c r="B9">
        <v>13.706</v>
      </c>
      <c r="C9">
        <v>13.997</v>
      </c>
      <c r="D9">
        <v>14.25</v>
      </c>
      <c r="E9">
        <v>14.52</v>
      </c>
      <c r="F9">
        <v>14.849</v>
      </c>
      <c r="G9">
        <v>15.118</v>
      </c>
      <c r="H9">
        <v>15.331</v>
      </c>
      <c r="I9">
        <v>15.497999999999999</v>
      </c>
      <c r="J9">
        <v>15.845000000000001</v>
      </c>
      <c r="K9">
        <v>16.032</v>
      </c>
      <c r="L9">
        <v>16.276</v>
      </c>
      <c r="M9">
        <v>16.5</v>
      </c>
      <c r="N9">
        <v>16.824999999999999</v>
      </c>
      <c r="O9">
        <v>17.123999999999999</v>
      </c>
      <c r="P9">
        <v>17.353999999999999</v>
      </c>
      <c r="Q9">
        <v>17.683</v>
      </c>
      <c r="R9">
        <v>18.196000000000002</v>
      </c>
      <c r="S9">
        <v>18.829000000000001</v>
      </c>
      <c r="T9">
        <v>19.515999999999998</v>
      </c>
      <c r="U9">
        <v>20.09</v>
      </c>
      <c r="V9">
        <v>20.494</v>
      </c>
      <c r="W9">
        <v>20.9</v>
      </c>
      <c r="X9">
        <v>21.167000000000002</v>
      </c>
      <c r="Y9">
        <v>21.437999999999999</v>
      </c>
      <c r="Z9">
        <v>21.68</v>
      </c>
      <c r="AA9">
        <v>21.943000000000001</v>
      </c>
      <c r="AB9">
        <v>22.106000000000002</v>
      </c>
      <c r="AC9">
        <v>22.37</v>
      </c>
      <c r="AD9">
        <v>22.792000000000002</v>
      </c>
      <c r="AE9">
        <v>23.2</v>
      </c>
      <c r="AF9">
        <v>23.594999999999999</v>
      </c>
      <c r="AG9">
        <v>23.992999999999999</v>
      </c>
      <c r="AH9">
        <v>24.332000000000001</v>
      </c>
      <c r="AI9">
        <v>24.738</v>
      </c>
      <c r="AJ9">
        <v>25.114999999999998</v>
      </c>
      <c r="AK9">
        <v>25.475000000000001</v>
      </c>
      <c r="AL9">
        <v>26.081</v>
      </c>
      <c r="AM9">
        <v>26.678000000000001</v>
      </c>
      <c r="AN9">
        <v>27.582000000000001</v>
      </c>
      <c r="AO9">
        <v>28.120999999999999</v>
      </c>
      <c r="AP9">
        <v>28.853000000000002</v>
      </c>
      <c r="AQ9">
        <v>29.645</v>
      </c>
      <c r="AR9">
        <v>30.5</v>
      </c>
      <c r="AS9">
        <v>31.33</v>
      </c>
      <c r="AT9">
        <v>32.348999999999997</v>
      </c>
      <c r="AU9">
        <v>33.045000000000002</v>
      </c>
      <c r="AV9">
        <v>33.494</v>
      </c>
      <c r="AW9">
        <v>34.023000000000003</v>
      </c>
      <c r="AX9">
        <v>34.595999999999997</v>
      </c>
      <c r="AY9">
        <v>35.152000000000001</v>
      </c>
      <c r="AZ9">
        <v>35.704000000000001</v>
      </c>
      <c r="BA9">
        <v>36.158000000000001</v>
      </c>
      <c r="BB9">
        <v>36.417999999999999</v>
      </c>
      <c r="BC9">
        <v>36.817</v>
      </c>
      <c r="BD9">
        <v>37.173000000000002</v>
      </c>
      <c r="BE9">
        <v>37.456000000000003</v>
      </c>
      <c r="BF9">
        <v>37.999000000000002</v>
      </c>
      <c r="BG9">
        <v>38.360999999999997</v>
      </c>
      <c r="BH9">
        <v>38.719000000000001</v>
      </c>
      <c r="BI9">
        <v>39.103000000000002</v>
      </c>
      <c r="BJ9">
        <v>39.564</v>
      </c>
      <c r="BK9">
        <v>39.954000000000001</v>
      </c>
      <c r="BL9">
        <v>40.284999999999997</v>
      </c>
      <c r="BM9">
        <v>40.658000000000001</v>
      </c>
      <c r="BN9">
        <v>40.826999999999998</v>
      </c>
      <c r="BO9">
        <v>41.006999999999998</v>
      </c>
      <c r="BP9">
        <v>41.362000000000002</v>
      </c>
      <c r="BQ9">
        <v>41.887999999999998</v>
      </c>
      <c r="BR9">
        <v>42.487000000000002</v>
      </c>
      <c r="BS9">
        <v>43.006</v>
      </c>
      <c r="BT9">
        <v>43.521000000000001</v>
      </c>
      <c r="BU9">
        <v>43.78</v>
      </c>
      <c r="BV9">
        <v>44.005000000000003</v>
      </c>
      <c r="BW9">
        <v>44.433999999999997</v>
      </c>
      <c r="BX9">
        <v>44.808</v>
      </c>
      <c r="BY9">
        <v>45.320999999999998</v>
      </c>
      <c r="BZ9">
        <v>45.917000000000002</v>
      </c>
      <c r="CA9">
        <v>46.54</v>
      </c>
      <c r="CB9">
        <v>46.975999999999999</v>
      </c>
      <c r="CC9">
        <v>47.582999999999998</v>
      </c>
      <c r="CD9">
        <v>48.256</v>
      </c>
      <c r="CE9">
        <v>48.753999999999998</v>
      </c>
      <c r="CF9">
        <v>49.417000000000002</v>
      </c>
      <c r="CG9">
        <v>50.195</v>
      </c>
      <c r="CH9">
        <v>50.405999999999999</v>
      </c>
      <c r="CI9">
        <v>50.710999999999999</v>
      </c>
      <c r="CJ9">
        <v>51.128999999999998</v>
      </c>
      <c r="CK9">
        <v>51.575000000000003</v>
      </c>
      <c r="CL9">
        <v>51.942999999999998</v>
      </c>
      <c r="CM9">
        <v>52.563000000000002</v>
      </c>
      <c r="CN9">
        <v>52.951000000000001</v>
      </c>
      <c r="CO9">
        <v>53.311999999999998</v>
      </c>
      <c r="CP9">
        <v>53.622</v>
      </c>
      <c r="CQ9">
        <v>53.938000000000002</v>
      </c>
      <c r="CR9">
        <v>54.091999999999999</v>
      </c>
      <c r="CS9">
        <v>54.365000000000002</v>
      </c>
      <c r="CT9">
        <v>54.808999999999997</v>
      </c>
      <c r="CU9">
        <v>55.113999999999997</v>
      </c>
      <c r="CV9">
        <v>55.595999999999997</v>
      </c>
      <c r="CW9">
        <v>56.067999999999998</v>
      </c>
      <c r="CX9">
        <v>56.381</v>
      </c>
      <c r="CY9">
        <v>56.808999999999997</v>
      </c>
      <c r="CZ9">
        <v>57.042999999999999</v>
      </c>
      <c r="DA9">
        <v>57.261000000000003</v>
      </c>
      <c r="DB9">
        <v>57.832999999999998</v>
      </c>
      <c r="DC9">
        <v>57.911999999999999</v>
      </c>
      <c r="DD9">
        <v>58.277999999999999</v>
      </c>
      <c r="DE9">
        <v>58.695999999999998</v>
      </c>
      <c r="DF9">
        <v>59.085000000000001</v>
      </c>
      <c r="DG9">
        <v>59.276000000000003</v>
      </c>
      <c r="DH9">
        <v>59.533999999999999</v>
      </c>
      <c r="DI9">
        <v>60</v>
      </c>
      <c r="DJ9">
        <v>60.081000000000003</v>
      </c>
      <c r="DK9">
        <v>60.347000000000001</v>
      </c>
      <c r="DL9">
        <v>60.798999999999999</v>
      </c>
      <c r="DM9">
        <v>61.307000000000002</v>
      </c>
      <c r="DN9">
        <v>61.777999999999999</v>
      </c>
      <c r="DO9">
        <v>62.613999999999997</v>
      </c>
      <c r="DP9">
        <v>63.366</v>
      </c>
      <c r="DQ9">
        <v>64.093999999999994</v>
      </c>
      <c r="DR9">
        <v>64.912999999999997</v>
      </c>
      <c r="DS9">
        <v>65.602000000000004</v>
      </c>
      <c r="DT9">
        <v>66.305999999999997</v>
      </c>
      <c r="DU9">
        <v>67.134</v>
      </c>
      <c r="DV9">
        <v>67.936000000000007</v>
      </c>
      <c r="DW9">
        <v>68.201999999999998</v>
      </c>
      <c r="DX9">
        <v>68.381</v>
      </c>
      <c r="DY9">
        <v>68.513999999999996</v>
      </c>
      <c r="DZ9">
        <v>68.930999999999997</v>
      </c>
      <c r="EA9">
        <v>69.551000000000002</v>
      </c>
      <c r="EB9">
        <v>70.051000000000002</v>
      </c>
      <c r="EC9">
        <v>70.635999999999996</v>
      </c>
      <c r="ED9">
        <v>71.641999999999996</v>
      </c>
      <c r="EE9">
        <v>71.694000000000003</v>
      </c>
      <c r="EF9">
        <v>72.174999999999997</v>
      </c>
      <c r="EG9">
        <v>72.741</v>
      </c>
      <c r="EH9">
        <v>73.661000000000001</v>
      </c>
      <c r="EI9">
        <v>74.712999999999994</v>
      </c>
      <c r="EJ9">
        <v>75.923000000000002</v>
      </c>
      <c r="EK9">
        <v>77.230999999999995</v>
      </c>
      <c r="EL9">
        <v>77.924999999999997</v>
      </c>
      <c r="EM9">
        <v>78.921999999999997</v>
      </c>
      <c r="EN9">
        <v>80.183000000000007</v>
      </c>
      <c r="EO9">
        <v>81.492999999999995</v>
      </c>
      <c r="EP9">
        <v>82.072999999999993</v>
      </c>
      <c r="EQ9">
        <v>83.332999999999998</v>
      </c>
      <c r="ER9">
        <v>84.168999999999997</v>
      </c>
      <c r="ES9">
        <v>85.058999999999997</v>
      </c>
      <c r="ET9">
        <v>86.683000000000007</v>
      </c>
      <c r="EU9">
        <v>87.617000000000004</v>
      </c>
      <c r="EV9">
        <v>88.57</v>
      </c>
      <c r="EW9">
        <v>89.855000000000004</v>
      </c>
      <c r="EX9">
        <v>91.295000000000002</v>
      </c>
      <c r="EY9">
        <v>92.566000000000003</v>
      </c>
      <c r="EZ9">
        <v>93.808000000000007</v>
      </c>
      <c r="FA9">
        <v>92.691999999999993</v>
      </c>
      <c r="FB9">
        <v>91.491</v>
      </c>
      <c r="FC9">
        <v>91.691999999999993</v>
      </c>
      <c r="FD9">
        <v>92.161000000000001</v>
      </c>
      <c r="FE9">
        <v>92.837999999999994</v>
      </c>
      <c r="FF9">
        <v>93.757999999999996</v>
      </c>
      <c r="FG9">
        <v>94.382999999999996</v>
      </c>
      <c r="FH9">
        <v>94.876999999999995</v>
      </c>
      <c r="FI9">
        <v>95.677999999999997</v>
      </c>
      <c r="FJ9">
        <v>96.65</v>
      </c>
      <c r="FK9">
        <v>97.813999999999993</v>
      </c>
      <c r="FL9">
        <v>98.319000000000003</v>
      </c>
      <c r="FM9">
        <v>98.203999999999994</v>
      </c>
      <c r="FN9">
        <v>99.400999999999996</v>
      </c>
      <c r="FO9">
        <v>99.402000000000001</v>
      </c>
      <c r="FP9">
        <v>99.99</v>
      </c>
      <c r="FQ9">
        <v>101.208</v>
      </c>
      <c r="FR9">
        <v>102.371</v>
      </c>
      <c r="FS9">
        <v>102.91200000000001</v>
      </c>
      <c r="FT9">
        <v>103.727</v>
      </c>
      <c r="FU9">
        <v>104.318</v>
      </c>
      <c r="FV9">
        <v>105.145</v>
      </c>
      <c r="FW9">
        <v>105.502</v>
      </c>
      <c r="FX9">
        <v>106.09</v>
      </c>
      <c r="FY9">
        <v>106.054</v>
      </c>
      <c r="FZ9">
        <v>105.176</v>
      </c>
      <c r="GA9">
        <v>105.863</v>
      </c>
      <c r="GB9">
        <v>105.96899999999999</v>
      </c>
      <c r="GC9">
        <v>105.61499999999999</v>
      </c>
      <c r="GD9">
        <v>104.83</v>
      </c>
      <c r="GE9">
        <v>105.637</v>
      </c>
      <c r="GF9">
        <v>105.985</v>
      </c>
      <c r="GG9">
        <v>106.504</v>
      </c>
      <c r="GH9">
        <v>107.471</v>
      </c>
      <c r="GI9">
        <v>107.785</v>
      </c>
      <c r="GJ9">
        <v>108.765</v>
      </c>
      <c r="GK9">
        <v>110.07599999999999</v>
      </c>
      <c r="GL9">
        <v>111.383</v>
      </c>
      <c r="GM9">
        <v>112.61499999999999</v>
      </c>
      <c r="GN9">
        <v>113.63200000000001</v>
      </c>
      <c r="GO9">
        <v>114.307</v>
      </c>
      <c r="GP9">
        <v>114.014</v>
      </c>
      <c r="GQ9">
        <v>114.878</v>
      </c>
      <c r="GR9">
        <v>115.114</v>
      </c>
      <c r="GS9">
        <v>115.447</v>
      </c>
      <c r="GT9">
        <v>116.536</v>
      </c>
      <c r="GU9">
        <v>116.093</v>
      </c>
      <c r="GV9">
        <v>116.65900000000001</v>
      </c>
      <c r="GW9">
        <v>117.611</v>
      </c>
      <c r="GX9">
        <v>119.416</v>
      </c>
      <c r="GY9">
        <v>121.544</v>
      </c>
      <c r="GZ9">
        <v>123.30500000000001</v>
      </c>
    </row>
    <row r="10" spans="1:208" x14ac:dyDescent="0.35">
      <c r="A10" t="s">
        <v>936</v>
      </c>
      <c r="B10">
        <v>13.106999999999999</v>
      </c>
      <c r="C10">
        <v>13.368</v>
      </c>
      <c r="D10">
        <v>13.603999999999999</v>
      </c>
      <c r="E10">
        <v>13.833</v>
      </c>
      <c r="F10">
        <v>14.173999999999999</v>
      </c>
      <c r="G10">
        <v>14.439</v>
      </c>
      <c r="H10">
        <v>14.657</v>
      </c>
      <c r="I10">
        <v>14.79</v>
      </c>
      <c r="J10">
        <v>15.162000000000001</v>
      </c>
      <c r="K10">
        <v>15.361000000000001</v>
      </c>
      <c r="L10">
        <v>15.6</v>
      </c>
      <c r="M10">
        <v>15.794</v>
      </c>
      <c r="N10">
        <v>16.106000000000002</v>
      </c>
      <c r="O10">
        <v>16.378</v>
      </c>
      <c r="P10">
        <v>16.568000000000001</v>
      </c>
      <c r="Q10">
        <v>16.846</v>
      </c>
      <c r="R10">
        <v>17.254999999999999</v>
      </c>
      <c r="S10">
        <v>17.719000000000001</v>
      </c>
      <c r="T10">
        <v>18.228000000000002</v>
      </c>
      <c r="U10">
        <v>18.704000000000001</v>
      </c>
      <c r="V10">
        <v>19.077999999999999</v>
      </c>
      <c r="W10">
        <v>19.538</v>
      </c>
      <c r="X10">
        <v>19.838000000000001</v>
      </c>
      <c r="Y10">
        <v>20.126999999999999</v>
      </c>
      <c r="Z10">
        <v>20.388999999999999</v>
      </c>
      <c r="AA10">
        <v>20.655000000000001</v>
      </c>
      <c r="AB10">
        <v>20.835999999999999</v>
      </c>
      <c r="AC10">
        <v>21.111000000000001</v>
      </c>
      <c r="AD10">
        <v>21.54</v>
      </c>
      <c r="AE10">
        <v>21.968</v>
      </c>
      <c r="AF10">
        <v>22.361000000000001</v>
      </c>
      <c r="AG10">
        <v>22.771000000000001</v>
      </c>
      <c r="AH10">
        <v>23.102</v>
      </c>
      <c r="AI10">
        <v>23.472000000000001</v>
      </c>
      <c r="AJ10">
        <v>23.808</v>
      </c>
      <c r="AK10">
        <v>24.126999999999999</v>
      </c>
      <c r="AL10">
        <v>24.719000000000001</v>
      </c>
      <c r="AM10">
        <v>25.259</v>
      </c>
      <c r="AN10">
        <v>26.146000000000001</v>
      </c>
      <c r="AO10">
        <v>26.596</v>
      </c>
      <c r="AP10">
        <v>27.28</v>
      </c>
      <c r="AQ10">
        <v>28.02</v>
      </c>
      <c r="AR10">
        <v>28.798999999999999</v>
      </c>
      <c r="AS10">
        <v>29.565000000000001</v>
      </c>
      <c r="AT10">
        <v>30.556000000000001</v>
      </c>
      <c r="AU10">
        <v>31.195</v>
      </c>
      <c r="AV10">
        <v>31.568000000000001</v>
      </c>
      <c r="AW10">
        <v>32.052</v>
      </c>
      <c r="AX10">
        <v>32.613999999999997</v>
      </c>
      <c r="AY10">
        <v>33.134</v>
      </c>
      <c r="AZ10">
        <v>33.683999999999997</v>
      </c>
      <c r="BA10">
        <v>34.19</v>
      </c>
      <c r="BB10">
        <v>34.482999999999997</v>
      </c>
      <c r="BC10">
        <v>34.954000000000001</v>
      </c>
      <c r="BD10">
        <v>35.363</v>
      </c>
      <c r="BE10">
        <v>35.694000000000003</v>
      </c>
      <c r="BF10">
        <v>36.32</v>
      </c>
      <c r="BG10">
        <v>36.716000000000001</v>
      </c>
      <c r="BH10">
        <v>37.11</v>
      </c>
      <c r="BI10">
        <v>37.548000000000002</v>
      </c>
      <c r="BJ10">
        <v>38.043999999999997</v>
      </c>
      <c r="BK10">
        <v>38.478999999999999</v>
      </c>
      <c r="BL10">
        <v>38.835999999999999</v>
      </c>
      <c r="BM10">
        <v>39.226999999999997</v>
      </c>
      <c r="BN10">
        <v>39.371000000000002</v>
      </c>
      <c r="BO10">
        <v>39.488999999999997</v>
      </c>
      <c r="BP10">
        <v>39.826999999999998</v>
      </c>
      <c r="BQ10">
        <v>40.351999999999997</v>
      </c>
      <c r="BR10">
        <v>41.005000000000003</v>
      </c>
      <c r="BS10">
        <v>41.545000000000002</v>
      </c>
      <c r="BT10">
        <v>42.072000000000003</v>
      </c>
      <c r="BU10">
        <v>42.329000000000001</v>
      </c>
      <c r="BV10">
        <v>42.517000000000003</v>
      </c>
      <c r="BW10">
        <v>42.975000000000001</v>
      </c>
      <c r="BX10">
        <v>43.356999999999999</v>
      </c>
      <c r="BY10">
        <v>43.918999999999997</v>
      </c>
      <c r="BZ10">
        <v>44.585000000000001</v>
      </c>
      <c r="CA10">
        <v>45.247999999999998</v>
      </c>
      <c r="CB10">
        <v>45.692999999999998</v>
      </c>
      <c r="CC10">
        <v>46.363999999999997</v>
      </c>
      <c r="CD10">
        <v>47.098999999999997</v>
      </c>
      <c r="CE10">
        <v>47.601999999999997</v>
      </c>
      <c r="CF10">
        <v>48.293999999999997</v>
      </c>
      <c r="CG10">
        <v>49.207999999999998</v>
      </c>
      <c r="CH10">
        <v>49.442</v>
      </c>
      <c r="CI10">
        <v>49.752000000000002</v>
      </c>
      <c r="CJ10">
        <v>50.226999999999997</v>
      </c>
      <c r="CK10">
        <v>50.798000000000002</v>
      </c>
      <c r="CL10">
        <v>51.277999999999999</v>
      </c>
      <c r="CM10">
        <v>51.975000000000001</v>
      </c>
      <c r="CN10">
        <v>52.42</v>
      </c>
      <c r="CO10">
        <v>52.802999999999997</v>
      </c>
      <c r="CP10">
        <v>53.091999999999999</v>
      </c>
      <c r="CQ10">
        <v>53.405999999999999</v>
      </c>
      <c r="CR10">
        <v>53.58</v>
      </c>
      <c r="CS10">
        <v>53.853999999999999</v>
      </c>
      <c r="CT10">
        <v>54.305</v>
      </c>
      <c r="CU10">
        <v>54.621000000000002</v>
      </c>
      <c r="CV10">
        <v>55.097999999999999</v>
      </c>
      <c r="CW10">
        <v>55.569000000000003</v>
      </c>
      <c r="CX10">
        <v>55.825000000000003</v>
      </c>
      <c r="CY10">
        <v>56.253999999999998</v>
      </c>
      <c r="CZ10">
        <v>56.468000000000004</v>
      </c>
      <c r="DA10">
        <v>56.66</v>
      </c>
      <c r="DB10">
        <v>57.283999999999999</v>
      </c>
      <c r="DC10">
        <v>57.366</v>
      </c>
      <c r="DD10">
        <v>57.746000000000002</v>
      </c>
      <c r="DE10">
        <v>58.213999999999999</v>
      </c>
      <c r="DF10">
        <v>58.613</v>
      </c>
      <c r="DG10">
        <v>58.753</v>
      </c>
      <c r="DH10">
        <v>59.033999999999999</v>
      </c>
      <c r="DI10">
        <v>59.515999999999998</v>
      </c>
      <c r="DJ10">
        <v>59.61</v>
      </c>
      <c r="DK10">
        <v>59.927</v>
      </c>
      <c r="DL10">
        <v>60.395000000000003</v>
      </c>
      <c r="DM10">
        <v>60.939</v>
      </c>
      <c r="DN10">
        <v>61.46</v>
      </c>
      <c r="DO10">
        <v>62.381999999999998</v>
      </c>
      <c r="DP10">
        <v>63.246000000000002</v>
      </c>
      <c r="DQ10">
        <v>64.018000000000001</v>
      </c>
      <c r="DR10">
        <v>64.912000000000006</v>
      </c>
      <c r="DS10">
        <v>65.59</v>
      </c>
      <c r="DT10">
        <v>66.358999999999995</v>
      </c>
      <c r="DU10">
        <v>67.293000000000006</v>
      </c>
      <c r="DV10">
        <v>68.191000000000003</v>
      </c>
      <c r="DW10">
        <v>68.48</v>
      </c>
      <c r="DX10">
        <v>68.652000000000001</v>
      </c>
      <c r="DY10">
        <v>68.728999999999999</v>
      </c>
      <c r="DZ10">
        <v>69.174999999999997</v>
      </c>
      <c r="EA10">
        <v>69.855999999999995</v>
      </c>
      <c r="EB10">
        <v>70.427999999999997</v>
      </c>
      <c r="EC10">
        <v>71.129000000000005</v>
      </c>
      <c r="ED10">
        <v>72.244</v>
      </c>
      <c r="EE10">
        <v>72.290999999999997</v>
      </c>
      <c r="EF10">
        <v>72.872</v>
      </c>
      <c r="EG10">
        <v>73.531999999999996</v>
      </c>
      <c r="EH10">
        <v>74.569999999999993</v>
      </c>
      <c r="EI10">
        <v>75.561000000000007</v>
      </c>
      <c r="EJ10">
        <v>76.591999999999999</v>
      </c>
      <c r="EK10">
        <v>77.790000000000006</v>
      </c>
      <c r="EL10">
        <v>78.498000000000005</v>
      </c>
      <c r="EM10">
        <v>79.393000000000001</v>
      </c>
      <c r="EN10">
        <v>80.545000000000002</v>
      </c>
      <c r="EO10">
        <v>81.906000000000006</v>
      </c>
      <c r="EP10">
        <v>82.507999999999996</v>
      </c>
      <c r="EQ10">
        <v>83.641999999999996</v>
      </c>
      <c r="ER10">
        <v>84.402000000000001</v>
      </c>
      <c r="ES10">
        <v>85.034999999999997</v>
      </c>
      <c r="ET10">
        <v>86.531999999999996</v>
      </c>
      <c r="EU10">
        <v>87.468999999999994</v>
      </c>
      <c r="EV10">
        <v>88.447000000000003</v>
      </c>
      <c r="EW10">
        <v>89.787999999999997</v>
      </c>
      <c r="EX10">
        <v>91.369</v>
      </c>
      <c r="EY10">
        <v>92.781000000000006</v>
      </c>
      <c r="EZ10">
        <v>94.036000000000001</v>
      </c>
      <c r="FA10">
        <v>92.242000000000004</v>
      </c>
      <c r="FB10">
        <v>90.620999999999995</v>
      </c>
      <c r="FC10">
        <v>91.066999999999993</v>
      </c>
      <c r="FD10">
        <v>91.849000000000004</v>
      </c>
      <c r="FE10">
        <v>92.700999999999993</v>
      </c>
      <c r="FF10">
        <v>93.771000000000001</v>
      </c>
      <c r="FG10">
        <v>94.444999999999993</v>
      </c>
      <c r="FH10">
        <v>94.984999999999999</v>
      </c>
      <c r="FI10">
        <v>95.872</v>
      </c>
      <c r="FJ10">
        <v>96.936000000000007</v>
      </c>
      <c r="FK10">
        <v>98.144999999999996</v>
      </c>
      <c r="FL10">
        <v>98.516999999999996</v>
      </c>
      <c r="FM10">
        <v>98.168000000000006</v>
      </c>
      <c r="FN10">
        <v>99.47</v>
      </c>
      <c r="FO10">
        <v>99.296000000000006</v>
      </c>
      <c r="FP10">
        <v>99.897000000000006</v>
      </c>
      <c r="FQ10">
        <v>101.337</v>
      </c>
      <c r="FR10">
        <v>102.663</v>
      </c>
      <c r="FS10">
        <v>103.21</v>
      </c>
      <c r="FT10">
        <v>104.08199999999999</v>
      </c>
      <c r="FU10">
        <v>104.636</v>
      </c>
      <c r="FV10">
        <v>105.515</v>
      </c>
      <c r="FW10">
        <v>105.848</v>
      </c>
      <c r="FX10">
        <v>106.45399999999999</v>
      </c>
      <c r="FY10">
        <v>106.371</v>
      </c>
      <c r="FZ10">
        <v>105.31</v>
      </c>
      <c r="GA10">
        <v>106.047</v>
      </c>
      <c r="GB10">
        <v>106.111</v>
      </c>
      <c r="GC10">
        <v>105.693</v>
      </c>
      <c r="GD10">
        <v>104.792</v>
      </c>
      <c r="GE10">
        <v>105.589</v>
      </c>
      <c r="GF10">
        <v>105.995</v>
      </c>
      <c r="GG10">
        <v>106.51600000000001</v>
      </c>
      <c r="GH10">
        <v>107.53400000000001</v>
      </c>
      <c r="GI10">
        <v>107.80200000000001</v>
      </c>
      <c r="GJ10">
        <v>108.785</v>
      </c>
      <c r="GK10">
        <v>110.252</v>
      </c>
      <c r="GL10">
        <v>111.627</v>
      </c>
      <c r="GM10">
        <v>112.81100000000001</v>
      </c>
      <c r="GN10">
        <v>113.875</v>
      </c>
      <c r="GO10">
        <v>114.43899999999999</v>
      </c>
      <c r="GP10">
        <v>113.98</v>
      </c>
      <c r="GQ10">
        <v>114.758</v>
      </c>
      <c r="GR10">
        <v>114.919</v>
      </c>
      <c r="GS10">
        <v>115.285</v>
      </c>
      <c r="GT10">
        <v>116.54600000000001</v>
      </c>
      <c r="GU10">
        <v>116.072</v>
      </c>
      <c r="GV10">
        <v>116.51900000000001</v>
      </c>
      <c r="GW10">
        <v>117.593</v>
      </c>
      <c r="GX10">
        <v>119.419</v>
      </c>
      <c r="GY10">
        <v>121.425</v>
      </c>
      <c r="GZ10">
        <v>122.996</v>
      </c>
    </row>
    <row r="11" spans="1:208" x14ac:dyDescent="0.35">
      <c r="A11" t="s">
        <v>937</v>
      </c>
      <c r="B11">
        <v>16.824999999999999</v>
      </c>
      <c r="C11">
        <v>17.248000000000001</v>
      </c>
      <c r="D11">
        <v>17.582000000000001</v>
      </c>
      <c r="E11">
        <v>18.027999999999999</v>
      </c>
      <c r="F11">
        <v>18.332000000000001</v>
      </c>
      <c r="G11">
        <v>18.625</v>
      </c>
      <c r="H11">
        <v>18.827999999999999</v>
      </c>
      <c r="I11">
        <v>19.152999999999999</v>
      </c>
      <c r="J11">
        <v>19.398</v>
      </c>
      <c r="K11">
        <v>19.533999999999999</v>
      </c>
      <c r="L11">
        <v>19.805</v>
      </c>
      <c r="M11">
        <v>20.175000000000001</v>
      </c>
      <c r="N11">
        <v>20.564</v>
      </c>
      <c r="O11">
        <v>20.997</v>
      </c>
      <c r="P11">
        <v>21.425000000000001</v>
      </c>
      <c r="Q11">
        <v>22</v>
      </c>
      <c r="R11">
        <v>23.02</v>
      </c>
      <c r="S11">
        <v>24.466999999999999</v>
      </c>
      <c r="T11">
        <v>26.030999999999999</v>
      </c>
      <c r="U11">
        <v>27.113</v>
      </c>
      <c r="V11">
        <v>27.689</v>
      </c>
      <c r="W11">
        <v>27.826000000000001</v>
      </c>
      <c r="X11">
        <v>27.914000000000001</v>
      </c>
      <c r="Y11">
        <v>28.084</v>
      </c>
      <c r="Z11">
        <v>28.222000000000001</v>
      </c>
      <c r="AA11">
        <v>28.463999999999999</v>
      </c>
      <c r="AB11">
        <v>28.526</v>
      </c>
      <c r="AC11">
        <v>28.72</v>
      </c>
      <c r="AD11">
        <v>29.091999999999999</v>
      </c>
      <c r="AE11">
        <v>29.379000000000001</v>
      </c>
      <c r="AF11">
        <v>29.774000000000001</v>
      </c>
      <c r="AG11">
        <v>30.091999999999999</v>
      </c>
      <c r="AH11">
        <v>30.465</v>
      </c>
      <c r="AI11">
        <v>31.064</v>
      </c>
      <c r="AJ11">
        <v>31.658000000000001</v>
      </c>
      <c r="AK11">
        <v>32.223999999999997</v>
      </c>
      <c r="AL11">
        <v>32.889000000000003</v>
      </c>
      <c r="AM11">
        <v>33.781999999999996</v>
      </c>
      <c r="AN11">
        <v>34.768000000000001</v>
      </c>
      <c r="AO11">
        <v>35.753999999999998</v>
      </c>
      <c r="AP11">
        <v>36.731000000000002</v>
      </c>
      <c r="AQ11">
        <v>37.784999999999997</v>
      </c>
      <c r="AR11">
        <v>39.027000000000001</v>
      </c>
      <c r="AS11">
        <v>40.182000000000002</v>
      </c>
      <c r="AT11">
        <v>41.32</v>
      </c>
      <c r="AU11">
        <v>42.308</v>
      </c>
      <c r="AV11">
        <v>43.174999999999997</v>
      </c>
      <c r="AW11">
        <v>43.944000000000003</v>
      </c>
      <c r="AX11">
        <v>44.56</v>
      </c>
      <c r="AY11">
        <v>45.305</v>
      </c>
      <c r="AZ11">
        <v>45.84</v>
      </c>
      <c r="BA11">
        <v>45.956000000000003</v>
      </c>
      <c r="BB11">
        <v>45.999000000000002</v>
      </c>
      <c r="BC11">
        <v>45.936999999999998</v>
      </c>
      <c r="BD11">
        <v>45.963000000000001</v>
      </c>
      <c r="BE11">
        <v>45.95</v>
      </c>
      <c r="BF11">
        <v>46</v>
      </c>
      <c r="BG11">
        <v>46.162999999999997</v>
      </c>
      <c r="BH11">
        <v>46.311999999999998</v>
      </c>
      <c r="BI11">
        <v>46.405999999999999</v>
      </c>
      <c r="BJ11">
        <v>46.664000000000001</v>
      </c>
      <c r="BK11">
        <v>46.808</v>
      </c>
      <c r="BL11">
        <v>47</v>
      </c>
      <c r="BM11">
        <v>47.28</v>
      </c>
      <c r="BN11">
        <v>47.573999999999998</v>
      </c>
      <c r="BO11">
        <v>48.063000000000002</v>
      </c>
      <c r="BP11">
        <v>48.500999999999998</v>
      </c>
      <c r="BQ11">
        <v>49.026000000000003</v>
      </c>
      <c r="BR11">
        <v>49.34</v>
      </c>
      <c r="BS11">
        <v>49.755000000000003</v>
      </c>
      <c r="BT11">
        <v>50.198</v>
      </c>
      <c r="BU11">
        <v>50.463999999999999</v>
      </c>
      <c r="BV11">
        <v>50.87</v>
      </c>
      <c r="BW11">
        <v>51.151000000000003</v>
      </c>
      <c r="BX11">
        <v>51.481000000000002</v>
      </c>
      <c r="BY11">
        <v>51.753</v>
      </c>
      <c r="BZ11">
        <v>52.003</v>
      </c>
      <c r="CA11">
        <v>52.424999999999997</v>
      </c>
      <c r="CB11">
        <v>52.814</v>
      </c>
      <c r="CC11">
        <v>53.104999999999997</v>
      </c>
      <c r="CD11">
        <v>53.487000000000002</v>
      </c>
      <c r="CE11">
        <v>53.959000000000003</v>
      </c>
      <c r="CF11">
        <v>54.482999999999997</v>
      </c>
      <c r="CG11">
        <v>54.628</v>
      </c>
      <c r="CH11">
        <v>54.735999999999997</v>
      </c>
      <c r="CI11">
        <v>55.018000000000001</v>
      </c>
      <c r="CJ11">
        <v>55.164000000000001</v>
      </c>
      <c r="CK11">
        <v>55.026000000000003</v>
      </c>
      <c r="CL11">
        <v>54.881999999999998</v>
      </c>
      <c r="CM11">
        <v>55.142000000000003</v>
      </c>
      <c r="CN11">
        <v>55.253999999999998</v>
      </c>
      <c r="CO11">
        <v>55.506</v>
      </c>
      <c r="CP11">
        <v>55.918999999999997</v>
      </c>
      <c r="CQ11">
        <v>56.244999999999997</v>
      </c>
      <c r="CR11">
        <v>56.302</v>
      </c>
      <c r="CS11">
        <v>56.564999999999998</v>
      </c>
      <c r="CT11">
        <v>56.978000000000002</v>
      </c>
      <c r="CU11">
        <v>57.225000000000001</v>
      </c>
      <c r="CV11">
        <v>57.725999999999999</v>
      </c>
      <c r="CW11">
        <v>58.207000000000001</v>
      </c>
      <c r="CX11">
        <v>58.787999999999997</v>
      </c>
      <c r="CY11">
        <v>59.207999999999998</v>
      </c>
      <c r="CZ11">
        <v>59.534999999999997</v>
      </c>
      <c r="DA11">
        <v>59.878</v>
      </c>
      <c r="DB11">
        <v>60.198999999999998</v>
      </c>
      <c r="DC11">
        <v>60.265999999999998</v>
      </c>
      <c r="DD11">
        <v>60.564999999999998</v>
      </c>
      <c r="DE11">
        <v>60.761000000000003</v>
      </c>
      <c r="DF11">
        <v>61.103999999999999</v>
      </c>
      <c r="DG11">
        <v>61.521000000000001</v>
      </c>
      <c r="DH11">
        <v>61.677</v>
      </c>
      <c r="DI11">
        <v>62.073999999999998</v>
      </c>
      <c r="DJ11">
        <v>62.094999999999999</v>
      </c>
      <c r="DK11">
        <v>62.134</v>
      </c>
      <c r="DL11">
        <v>62.517000000000003</v>
      </c>
      <c r="DM11">
        <v>62.87</v>
      </c>
      <c r="DN11">
        <v>63.122</v>
      </c>
      <c r="DO11">
        <v>63.59</v>
      </c>
      <c r="DP11">
        <v>63.857999999999997</v>
      </c>
      <c r="DQ11">
        <v>64.402000000000001</v>
      </c>
      <c r="DR11">
        <v>64.912000000000006</v>
      </c>
      <c r="DS11">
        <v>65.650999999999996</v>
      </c>
      <c r="DT11">
        <v>66.081000000000003</v>
      </c>
      <c r="DU11">
        <v>66.47</v>
      </c>
      <c r="DV11">
        <v>66.88</v>
      </c>
      <c r="DW11">
        <v>67.052000000000007</v>
      </c>
      <c r="DX11">
        <v>67.262</v>
      </c>
      <c r="DY11">
        <v>67.623000000000005</v>
      </c>
      <c r="DZ11">
        <v>67.921000000000006</v>
      </c>
      <c r="EA11">
        <v>68.290000000000006</v>
      </c>
      <c r="EB11">
        <v>68.5</v>
      </c>
      <c r="EC11">
        <v>68.617999999999995</v>
      </c>
      <c r="ED11">
        <v>69.186999999999998</v>
      </c>
      <c r="EE11">
        <v>69.259</v>
      </c>
      <c r="EF11">
        <v>69.346999999999994</v>
      </c>
      <c r="EG11">
        <v>69.539000000000001</v>
      </c>
      <c r="EH11">
        <v>69.992000000000004</v>
      </c>
      <c r="EI11">
        <v>71.278000000000006</v>
      </c>
      <c r="EJ11">
        <v>73.197000000000003</v>
      </c>
      <c r="EK11">
        <v>74.954999999999998</v>
      </c>
      <c r="EL11">
        <v>75.587999999999994</v>
      </c>
      <c r="EM11">
        <v>77.010000000000005</v>
      </c>
      <c r="EN11">
        <v>78.724999999999994</v>
      </c>
      <c r="EO11">
        <v>79.822999999999993</v>
      </c>
      <c r="EP11">
        <v>80.319000000000003</v>
      </c>
      <c r="EQ11">
        <v>82.088999999999999</v>
      </c>
      <c r="ER11">
        <v>83.231999999999999</v>
      </c>
      <c r="ES11">
        <v>85.185000000000002</v>
      </c>
      <c r="ET11">
        <v>87.334000000000003</v>
      </c>
      <c r="EU11">
        <v>88.247</v>
      </c>
      <c r="EV11">
        <v>89.096999999999994</v>
      </c>
      <c r="EW11">
        <v>90.144999999999996</v>
      </c>
      <c r="EX11">
        <v>90.998999999999995</v>
      </c>
      <c r="EY11">
        <v>91.698999999999998</v>
      </c>
      <c r="EZ11">
        <v>92.884</v>
      </c>
      <c r="FA11">
        <v>94.585999999999999</v>
      </c>
      <c r="FB11">
        <v>95.176000000000002</v>
      </c>
      <c r="FC11">
        <v>94.34</v>
      </c>
      <c r="FD11">
        <v>93.49</v>
      </c>
      <c r="FE11">
        <v>93.418000000000006</v>
      </c>
      <c r="FF11">
        <v>93.683000000000007</v>
      </c>
      <c r="FG11">
        <v>94.09</v>
      </c>
      <c r="FH11">
        <v>94.385999999999996</v>
      </c>
      <c r="FI11">
        <v>94.81</v>
      </c>
      <c r="FJ11">
        <v>95.382999999999996</v>
      </c>
      <c r="FK11">
        <v>96.346999999999994</v>
      </c>
      <c r="FL11">
        <v>97.436000000000007</v>
      </c>
      <c r="FM11">
        <v>98.352000000000004</v>
      </c>
      <c r="FN11">
        <v>99.088999999999999</v>
      </c>
      <c r="FO11">
        <v>99.879000000000005</v>
      </c>
      <c r="FP11">
        <v>100.417</v>
      </c>
      <c r="FQ11">
        <v>100.61499999999999</v>
      </c>
      <c r="FR11">
        <v>101.023</v>
      </c>
      <c r="FS11">
        <v>101.538</v>
      </c>
      <c r="FT11">
        <v>102.08499999999999</v>
      </c>
      <c r="FU11">
        <v>102.85599999999999</v>
      </c>
      <c r="FV11">
        <v>103.435</v>
      </c>
      <c r="FW11">
        <v>103.907</v>
      </c>
      <c r="FX11">
        <v>104.40900000000001</v>
      </c>
      <c r="FY11">
        <v>104.593</v>
      </c>
      <c r="FZ11">
        <v>104.562</v>
      </c>
      <c r="GA11">
        <v>105.021</v>
      </c>
      <c r="GB11">
        <v>105.319</v>
      </c>
      <c r="GC11">
        <v>105.261</v>
      </c>
      <c r="GD11">
        <v>105.006</v>
      </c>
      <c r="GE11">
        <v>105.86199999999999</v>
      </c>
      <c r="GF11">
        <v>105.94199999999999</v>
      </c>
      <c r="GG11">
        <v>106.45399999999999</v>
      </c>
      <c r="GH11">
        <v>107.188</v>
      </c>
      <c r="GI11">
        <v>107.712</v>
      </c>
      <c r="GJ11">
        <v>108.676</v>
      </c>
      <c r="GK11">
        <v>109.285</v>
      </c>
      <c r="GL11">
        <v>110.291</v>
      </c>
      <c r="GM11">
        <v>111.736</v>
      </c>
      <c r="GN11">
        <v>112.542</v>
      </c>
      <c r="GO11">
        <v>113.715</v>
      </c>
      <c r="GP11">
        <v>114.175</v>
      </c>
      <c r="GQ11">
        <v>115.41800000000001</v>
      </c>
      <c r="GR11">
        <v>115.982</v>
      </c>
      <c r="GS11">
        <v>116.167</v>
      </c>
      <c r="GT11">
        <v>116.5</v>
      </c>
      <c r="GU11">
        <v>116.19499999999999</v>
      </c>
      <c r="GV11">
        <v>117.285</v>
      </c>
      <c r="GW11">
        <v>117.706</v>
      </c>
      <c r="GX11">
        <v>119.416</v>
      </c>
      <c r="GY11">
        <v>122.101</v>
      </c>
      <c r="GZ11">
        <v>124.76</v>
      </c>
    </row>
    <row r="12" spans="1:208" x14ac:dyDescent="0.35">
      <c r="A12" t="s">
        <v>616</v>
      </c>
      <c r="B12">
        <v>7</v>
      </c>
      <c r="C12">
        <v>7.2</v>
      </c>
      <c r="D12">
        <v>7.3</v>
      </c>
      <c r="E12">
        <v>7.5</v>
      </c>
      <c r="F12">
        <v>7.8</v>
      </c>
      <c r="G12">
        <v>8</v>
      </c>
      <c r="H12">
        <v>8.1</v>
      </c>
      <c r="I12">
        <v>8.3000000000000007</v>
      </c>
      <c r="J12">
        <v>8.5</v>
      </c>
      <c r="K12">
        <v>8.6999999999999993</v>
      </c>
      <c r="L12">
        <v>8.9</v>
      </c>
      <c r="M12">
        <v>9.1999999999999993</v>
      </c>
      <c r="N12">
        <v>9.5</v>
      </c>
      <c r="O12">
        <v>10</v>
      </c>
      <c r="P12">
        <v>10.5</v>
      </c>
      <c r="Q12">
        <v>11</v>
      </c>
      <c r="R12">
        <v>11.7</v>
      </c>
      <c r="S12">
        <v>12.4</v>
      </c>
      <c r="T12">
        <v>13.1</v>
      </c>
      <c r="U12">
        <v>13.8</v>
      </c>
      <c r="V12">
        <v>14.5</v>
      </c>
      <c r="W12">
        <v>15.2</v>
      </c>
      <c r="X12">
        <v>16</v>
      </c>
      <c r="Y12">
        <v>16.8</v>
      </c>
      <c r="Z12">
        <v>17.600000000000001</v>
      </c>
      <c r="AA12">
        <v>18.399999999999999</v>
      </c>
      <c r="AB12">
        <v>19.2</v>
      </c>
      <c r="AC12">
        <v>20</v>
      </c>
      <c r="AD12">
        <v>20.9</v>
      </c>
      <c r="AE12">
        <v>21.7</v>
      </c>
      <c r="AF12">
        <v>22.5</v>
      </c>
      <c r="AG12">
        <v>23.3</v>
      </c>
      <c r="AH12">
        <v>24.2</v>
      </c>
      <c r="AI12">
        <v>25</v>
      </c>
      <c r="AJ12">
        <v>26</v>
      </c>
      <c r="AK12">
        <v>27</v>
      </c>
      <c r="AL12">
        <v>28</v>
      </c>
      <c r="AM12">
        <v>29.2</v>
      </c>
      <c r="AN12">
        <v>30.5</v>
      </c>
      <c r="AO12">
        <v>32</v>
      </c>
      <c r="AP12">
        <v>33.6</v>
      </c>
      <c r="AQ12">
        <v>35.299999999999997</v>
      </c>
      <c r="AR12">
        <v>37</v>
      </c>
      <c r="AS12">
        <v>38.799999999999997</v>
      </c>
      <c r="AT12">
        <v>40.700000000000003</v>
      </c>
      <c r="AU12">
        <v>42.6</v>
      </c>
      <c r="AV12">
        <v>44.4</v>
      </c>
      <c r="AW12">
        <v>46.3</v>
      </c>
      <c r="AX12">
        <v>48.2</v>
      </c>
      <c r="AY12">
        <v>50.1</v>
      </c>
      <c r="AZ12">
        <v>51.8</v>
      </c>
      <c r="BA12">
        <v>53.6</v>
      </c>
      <c r="BB12">
        <v>55.2</v>
      </c>
      <c r="BC12">
        <v>56.9</v>
      </c>
      <c r="BD12">
        <v>58.7</v>
      </c>
      <c r="BE12">
        <v>60.4</v>
      </c>
      <c r="BF12">
        <v>62.5</v>
      </c>
      <c r="BG12">
        <v>64.099999999999994</v>
      </c>
      <c r="BH12">
        <v>65.599999999999994</v>
      </c>
      <c r="BI12">
        <v>66.900000000000006</v>
      </c>
      <c r="BJ12">
        <v>67.900000000000006</v>
      </c>
      <c r="BK12">
        <v>69.099999999999994</v>
      </c>
      <c r="BL12">
        <v>70.3</v>
      </c>
      <c r="BM12">
        <v>71.599999999999994</v>
      </c>
      <c r="BN12">
        <v>73</v>
      </c>
      <c r="BO12">
        <v>74.5</v>
      </c>
      <c r="BP12">
        <v>76</v>
      </c>
      <c r="BQ12">
        <v>77.599999999999994</v>
      </c>
      <c r="BR12">
        <v>79.599999999999994</v>
      </c>
      <c r="BS12">
        <v>81.099999999999994</v>
      </c>
      <c r="BT12">
        <v>82.3</v>
      </c>
      <c r="BU12">
        <v>83.3</v>
      </c>
      <c r="BV12">
        <v>83.4</v>
      </c>
      <c r="BW12">
        <v>85</v>
      </c>
      <c r="BX12">
        <v>87</v>
      </c>
      <c r="BY12">
        <v>89.7</v>
      </c>
      <c r="BZ12">
        <v>93.8</v>
      </c>
      <c r="CA12">
        <v>96.9</v>
      </c>
      <c r="CB12">
        <v>99.7</v>
      </c>
      <c r="CC12">
        <v>102.3</v>
      </c>
      <c r="CD12">
        <v>104.3</v>
      </c>
      <c r="CE12">
        <v>106.5</v>
      </c>
      <c r="CF12">
        <v>108.7</v>
      </c>
      <c r="CG12">
        <v>111</v>
      </c>
      <c r="CH12">
        <v>112.9</v>
      </c>
      <c r="CI12">
        <v>115.7</v>
      </c>
      <c r="CJ12">
        <v>118.9</v>
      </c>
      <c r="CK12">
        <v>122.5</v>
      </c>
      <c r="CL12">
        <v>127.2</v>
      </c>
      <c r="CM12">
        <v>131</v>
      </c>
      <c r="CN12">
        <v>134.5</v>
      </c>
      <c r="CO12">
        <v>137.69999999999999</v>
      </c>
      <c r="CP12">
        <v>143.4</v>
      </c>
      <c r="CQ12">
        <v>144.69999999999999</v>
      </c>
      <c r="CR12">
        <v>147.5</v>
      </c>
      <c r="CS12">
        <v>151.6</v>
      </c>
      <c r="CT12">
        <v>156.9</v>
      </c>
      <c r="CU12">
        <v>162.19999999999999</v>
      </c>
      <c r="CV12">
        <v>167.1</v>
      </c>
      <c r="CW12">
        <v>171.6</v>
      </c>
      <c r="CX12">
        <v>175.7</v>
      </c>
      <c r="CY12">
        <v>179.6</v>
      </c>
      <c r="CZ12">
        <v>183.2</v>
      </c>
      <c r="DA12">
        <v>186.5</v>
      </c>
      <c r="DB12">
        <v>189.6</v>
      </c>
      <c r="DC12">
        <v>192.9</v>
      </c>
      <c r="DD12">
        <v>196.5</v>
      </c>
      <c r="DE12">
        <v>200.4</v>
      </c>
      <c r="DF12">
        <v>204.4</v>
      </c>
      <c r="DG12">
        <v>207.1</v>
      </c>
      <c r="DH12">
        <v>208.3</v>
      </c>
      <c r="DI12">
        <v>207.9</v>
      </c>
      <c r="DJ12">
        <v>206.4</v>
      </c>
      <c r="DK12">
        <v>205.3</v>
      </c>
      <c r="DL12">
        <v>205</v>
      </c>
      <c r="DM12">
        <v>205.5</v>
      </c>
      <c r="DN12">
        <v>206.6</v>
      </c>
      <c r="DO12">
        <v>207.9</v>
      </c>
      <c r="DP12">
        <v>209.4</v>
      </c>
      <c r="DQ12">
        <v>211</v>
      </c>
      <c r="DR12">
        <v>213</v>
      </c>
      <c r="DS12">
        <v>216.1</v>
      </c>
      <c r="DT12">
        <v>220.7</v>
      </c>
      <c r="DU12">
        <v>226.7</v>
      </c>
      <c r="DV12">
        <v>233.8</v>
      </c>
      <c r="DW12">
        <v>240.4</v>
      </c>
      <c r="DX12">
        <v>245.8</v>
      </c>
      <c r="DY12">
        <v>250.3</v>
      </c>
      <c r="DZ12">
        <v>254.1</v>
      </c>
      <c r="EA12">
        <v>257.89999999999998</v>
      </c>
      <c r="EB12">
        <v>261.60000000000002</v>
      </c>
      <c r="EC12">
        <v>265.2</v>
      </c>
      <c r="ED12">
        <v>268.89999999999998</v>
      </c>
      <c r="EE12">
        <v>273.39999999999998</v>
      </c>
      <c r="EF12">
        <v>279</v>
      </c>
      <c r="EG12">
        <v>285.5</v>
      </c>
      <c r="EH12">
        <v>293</v>
      </c>
      <c r="EI12">
        <v>300.39999999999998</v>
      </c>
      <c r="EJ12">
        <v>308.60000000000002</v>
      </c>
      <c r="EK12">
        <v>315.39999999999998</v>
      </c>
      <c r="EL12">
        <v>323.2</v>
      </c>
      <c r="EM12">
        <v>329.2</v>
      </c>
      <c r="EN12">
        <v>335.1</v>
      </c>
      <c r="EO12">
        <v>341</v>
      </c>
      <c r="EP12">
        <v>389.6</v>
      </c>
      <c r="EQ12">
        <v>395.6</v>
      </c>
      <c r="ER12">
        <v>402.1</v>
      </c>
      <c r="ES12">
        <v>409.1</v>
      </c>
      <c r="ET12">
        <v>416.4</v>
      </c>
      <c r="EU12">
        <v>424.1</v>
      </c>
      <c r="EV12">
        <v>432</v>
      </c>
      <c r="EW12">
        <v>440.3</v>
      </c>
      <c r="EX12">
        <v>448.8</v>
      </c>
      <c r="EY12">
        <v>457.3</v>
      </c>
      <c r="EZ12">
        <v>465.9</v>
      </c>
      <c r="FA12">
        <v>474.5</v>
      </c>
      <c r="FB12">
        <v>482.9</v>
      </c>
      <c r="FC12">
        <v>490.4</v>
      </c>
      <c r="FD12">
        <v>496.7</v>
      </c>
      <c r="FE12">
        <v>501.8</v>
      </c>
      <c r="FF12">
        <v>506</v>
      </c>
      <c r="FG12">
        <v>510.5</v>
      </c>
      <c r="FH12">
        <v>515.70000000000005</v>
      </c>
      <c r="FI12">
        <v>521.4</v>
      </c>
      <c r="FJ12">
        <v>527.6</v>
      </c>
      <c r="FK12">
        <v>533.4</v>
      </c>
      <c r="FL12">
        <v>538.5</v>
      </c>
      <c r="FM12">
        <v>542.9</v>
      </c>
      <c r="FN12">
        <v>547</v>
      </c>
      <c r="FO12">
        <v>551.6</v>
      </c>
      <c r="FP12">
        <v>557.1</v>
      </c>
      <c r="FQ12">
        <v>563.4</v>
      </c>
      <c r="FR12">
        <v>570.29999999999995</v>
      </c>
      <c r="FS12">
        <v>567.1</v>
      </c>
      <c r="FT12">
        <v>573.70000000000005</v>
      </c>
      <c r="FU12">
        <v>580.20000000000005</v>
      </c>
      <c r="FV12">
        <v>587.5</v>
      </c>
      <c r="FW12">
        <v>595.6</v>
      </c>
      <c r="FX12">
        <v>604</v>
      </c>
      <c r="FY12">
        <v>612.79999999999995</v>
      </c>
      <c r="FZ12">
        <v>622.4</v>
      </c>
      <c r="GA12">
        <v>631.5</v>
      </c>
      <c r="GB12">
        <v>639.5</v>
      </c>
      <c r="GC12">
        <v>646.4</v>
      </c>
      <c r="GD12">
        <v>652.4</v>
      </c>
      <c r="GE12">
        <v>658.6</v>
      </c>
      <c r="GF12">
        <v>665.2</v>
      </c>
      <c r="GG12">
        <v>672.2</v>
      </c>
      <c r="GH12">
        <v>679.6</v>
      </c>
      <c r="GI12">
        <v>687.7</v>
      </c>
      <c r="GJ12">
        <v>696.6</v>
      </c>
      <c r="GK12">
        <v>706.3</v>
      </c>
      <c r="GL12">
        <v>716.7</v>
      </c>
      <c r="GM12">
        <v>728.2</v>
      </c>
      <c r="GN12">
        <v>740.6</v>
      </c>
      <c r="GO12">
        <v>754.2</v>
      </c>
      <c r="GP12">
        <v>768.3</v>
      </c>
      <c r="GQ12">
        <v>781.1</v>
      </c>
      <c r="GR12">
        <v>792.1</v>
      </c>
      <c r="GS12">
        <v>801.3</v>
      </c>
      <c r="GT12">
        <v>808.5</v>
      </c>
      <c r="GU12">
        <v>821.6</v>
      </c>
      <c r="GV12">
        <v>825.8</v>
      </c>
      <c r="GW12">
        <v>821</v>
      </c>
      <c r="GX12">
        <v>814.1</v>
      </c>
      <c r="GY12">
        <v>815.3</v>
      </c>
      <c r="GZ12">
        <v>826.5</v>
      </c>
    </row>
    <row r="13" spans="1:208" x14ac:dyDescent="0.35">
      <c r="A13" t="s">
        <v>586</v>
      </c>
      <c r="B13">
        <v>5</v>
      </c>
      <c r="C13">
        <v>5.3</v>
      </c>
      <c r="D13">
        <v>5.6</v>
      </c>
      <c r="E13">
        <v>5.9</v>
      </c>
      <c r="F13">
        <v>6.2</v>
      </c>
      <c r="G13">
        <v>6.6</v>
      </c>
      <c r="H13">
        <v>6.9</v>
      </c>
      <c r="I13">
        <v>7.3</v>
      </c>
      <c r="J13">
        <v>7.8</v>
      </c>
      <c r="K13">
        <v>8</v>
      </c>
      <c r="L13">
        <v>8.6</v>
      </c>
      <c r="M13">
        <v>8.5</v>
      </c>
      <c r="N13">
        <v>9</v>
      </c>
      <c r="O13">
        <v>9.6</v>
      </c>
      <c r="P13">
        <v>9.6999999999999993</v>
      </c>
      <c r="Q13">
        <v>10.1</v>
      </c>
      <c r="R13">
        <v>10.199999999999999</v>
      </c>
      <c r="S13">
        <v>11.1</v>
      </c>
      <c r="T13">
        <v>11.4</v>
      </c>
      <c r="U13">
        <v>12</v>
      </c>
      <c r="V13">
        <v>13.3</v>
      </c>
      <c r="W13">
        <v>13.8</v>
      </c>
      <c r="X13">
        <v>13.8</v>
      </c>
      <c r="Y13">
        <v>14.6</v>
      </c>
      <c r="Z13">
        <v>15.2</v>
      </c>
      <c r="AA13">
        <v>14.9</v>
      </c>
      <c r="AB13">
        <v>15.9</v>
      </c>
      <c r="AC13">
        <v>15.9</v>
      </c>
      <c r="AD13">
        <v>16.2</v>
      </c>
      <c r="AE13">
        <v>17.5</v>
      </c>
      <c r="AF13">
        <v>16.7</v>
      </c>
      <c r="AG13">
        <v>16.5</v>
      </c>
      <c r="AH13">
        <v>17.5</v>
      </c>
      <c r="AI13">
        <v>18.600000000000001</v>
      </c>
      <c r="AJ13">
        <v>18.899999999999999</v>
      </c>
      <c r="AK13">
        <v>19.5</v>
      </c>
      <c r="AL13">
        <v>20</v>
      </c>
      <c r="AM13">
        <v>20.8</v>
      </c>
      <c r="AN13">
        <v>21.1</v>
      </c>
      <c r="AO13">
        <v>22.4</v>
      </c>
      <c r="AP13">
        <v>23.4</v>
      </c>
      <c r="AQ13">
        <v>22.2</v>
      </c>
      <c r="AR13">
        <v>24.2</v>
      </c>
      <c r="AS13">
        <v>25.6</v>
      </c>
      <c r="AT13">
        <v>26.5</v>
      </c>
      <c r="AU13">
        <v>28.1</v>
      </c>
      <c r="AV13">
        <v>28.3</v>
      </c>
      <c r="AW13">
        <v>28</v>
      </c>
      <c r="AX13">
        <v>28.8</v>
      </c>
      <c r="AY13">
        <v>30.2</v>
      </c>
      <c r="AZ13">
        <v>30.8</v>
      </c>
      <c r="BA13">
        <v>30.8</v>
      </c>
      <c r="BB13">
        <v>33.200000000000003</v>
      </c>
      <c r="BC13">
        <v>33.4</v>
      </c>
      <c r="BD13">
        <v>34</v>
      </c>
      <c r="BE13">
        <v>34.9</v>
      </c>
      <c r="BF13">
        <v>35.700000000000003</v>
      </c>
      <c r="BG13">
        <v>36.200000000000003</v>
      </c>
      <c r="BH13">
        <v>36.799999999999997</v>
      </c>
      <c r="BI13">
        <v>37.6</v>
      </c>
      <c r="BJ13">
        <v>38.4</v>
      </c>
      <c r="BK13">
        <v>39.200000000000003</v>
      </c>
      <c r="BL13">
        <v>40.1</v>
      </c>
      <c r="BM13">
        <v>41.1</v>
      </c>
      <c r="BN13">
        <v>42.1</v>
      </c>
      <c r="BO13">
        <v>43.1</v>
      </c>
      <c r="BP13">
        <v>44.1</v>
      </c>
      <c r="BQ13">
        <v>45.2</v>
      </c>
      <c r="BR13">
        <v>46.2</v>
      </c>
      <c r="BS13">
        <v>47.3</v>
      </c>
      <c r="BT13">
        <v>48.4</v>
      </c>
      <c r="BU13">
        <v>49.4</v>
      </c>
      <c r="BV13">
        <v>50.9</v>
      </c>
      <c r="BW13">
        <v>52.2</v>
      </c>
      <c r="BX13">
        <v>53.7</v>
      </c>
      <c r="BY13">
        <v>55.4</v>
      </c>
      <c r="BZ13">
        <v>57.4</v>
      </c>
      <c r="CA13">
        <v>59.6</v>
      </c>
      <c r="CB13">
        <v>61.9</v>
      </c>
      <c r="CC13">
        <v>64.400000000000006</v>
      </c>
      <c r="CD13">
        <v>66.599999999999994</v>
      </c>
      <c r="CE13">
        <v>70.3</v>
      </c>
      <c r="CF13">
        <v>74.900000000000006</v>
      </c>
      <c r="CG13">
        <v>80.7</v>
      </c>
      <c r="CH13">
        <v>83.7</v>
      </c>
      <c r="CI13">
        <v>93.1</v>
      </c>
      <c r="CJ13">
        <v>98.4</v>
      </c>
      <c r="CK13">
        <v>112.5</v>
      </c>
      <c r="CL13">
        <v>108.3</v>
      </c>
      <c r="CM13">
        <v>115.4</v>
      </c>
      <c r="CN13">
        <v>120.6</v>
      </c>
      <c r="CO13">
        <v>120.8</v>
      </c>
      <c r="CP13">
        <v>124.4</v>
      </c>
      <c r="CQ13">
        <v>124.8</v>
      </c>
      <c r="CR13">
        <v>135.19999999999999</v>
      </c>
      <c r="CS13">
        <v>136</v>
      </c>
      <c r="CT13">
        <v>136.6</v>
      </c>
      <c r="CU13">
        <v>137.1</v>
      </c>
      <c r="CV13">
        <v>136.19999999999999</v>
      </c>
      <c r="CW13">
        <v>147.80000000000001</v>
      </c>
      <c r="CX13">
        <v>152.5</v>
      </c>
      <c r="CY13">
        <v>152.5</v>
      </c>
      <c r="CZ13">
        <v>152.69999999999999</v>
      </c>
      <c r="DA13">
        <v>140.69999999999999</v>
      </c>
      <c r="DB13">
        <v>151.30000000000001</v>
      </c>
      <c r="DC13">
        <v>165.8</v>
      </c>
      <c r="DD13">
        <v>158.80000000000001</v>
      </c>
      <c r="DE13">
        <v>156.9</v>
      </c>
      <c r="DF13">
        <v>161.4</v>
      </c>
      <c r="DG13">
        <v>159.4</v>
      </c>
      <c r="DH13">
        <v>163.69999999999999</v>
      </c>
      <c r="DI13">
        <v>168</v>
      </c>
      <c r="DJ13">
        <v>167.2</v>
      </c>
      <c r="DK13">
        <v>170</v>
      </c>
      <c r="DL13">
        <v>168.1</v>
      </c>
      <c r="DM13">
        <v>175.4</v>
      </c>
      <c r="DN13">
        <v>181.1</v>
      </c>
      <c r="DO13">
        <v>179.1</v>
      </c>
      <c r="DP13">
        <v>186.7</v>
      </c>
      <c r="DQ13">
        <v>191.3</v>
      </c>
      <c r="DR13">
        <v>190.2</v>
      </c>
      <c r="DS13">
        <v>198.3</v>
      </c>
      <c r="DT13">
        <v>204.8</v>
      </c>
      <c r="DU13">
        <v>204.8</v>
      </c>
      <c r="DV13">
        <v>215</v>
      </c>
      <c r="DW13">
        <v>230.1</v>
      </c>
      <c r="DX13">
        <v>217.4</v>
      </c>
      <c r="DY13">
        <v>246.5</v>
      </c>
      <c r="DZ13">
        <v>244.9</v>
      </c>
      <c r="EA13">
        <v>243.8</v>
      </c>
      <c r="EB13">
        <v>251.1</v>
      </c>
      <c r="EC13">
        <v>260.3</v>
      </c>
      <c r="ED13">
        <v>260.7</v>
      </c>
      <c r="EE13">
        <v>260.10000000000002</v>
      </c>
      <c r="EF13">
        <v>271.7</v>
      </c>
      <c r="EG13">
        <v>265.7</v>
      </c>
      <c r="EH13">
        <v>283.39999999999998</v>
      </c>
      <c r="EI13">
        <v>293</v>
      </c>
      <c r="EJ13">
        <v>288.3</v>
      </c>
      <c r="EK13">
        <v>294.5</v>
      </c>
      <c r="EL13">
        <v>301.3</v>
      </c>
      <c r="EM13">
        <v>310.8</v>
      </c>
      <c r="EN13">
        <v>300.10000000000002</v>
      </c>
      <c r="EO13">
        <v>305.39999999999998</v>
      </c>
      <c r="EP13">
        <v>291.3</v>
      </c>
      <c r="EQ13">
        <v>294.89999999999998</v>
      </c>
      <c r="ER13">
        <v>308.7</v>
      </c>
      <c r="ES13">
        <v>301.39999999999998</v>
      </c>
      <c r="ET13">
        <v>332.5</v>
      </c>
      <c r="EU13">
        <v>314.7</v>
      </c>
      <c r="EV13">
        <v>319.60000000000002</v>
      </c>
      <c r="EW13">
        <v>329.9</v>
      </c>
      <c r="EX13">
        <v>331.6</v>
      </c>
      <c r="EY13">
        <v>339.2</v>
      </c>
      <c r="EZ13">
        <v>340.8</v>
      </c>
      <c r="FA13">
        <v>341.8</v>
      </c>
      <c r="FB13">
        <v>358.4</v>
      </c>
      <c r="FC13">
        <v>368.9</v>
      </c>
      <c r="FD13">
        <v>378.2</v>
      </c>
      <c r="FE13">
        <v>372.8</v>
      </c>
      <c r="FF13">
        <v>382.1</v>
      </c>
      <c r="FG13">
        <v>385.7</v>
      </c>
      <c r="FH13">
        <v>405.6</v>
      </c>
      <c r="FI13">
        <v>414.1</v>
      </c>
      <c r="FJ13">
        <v>418.8</v>
      </c>
      <c r="FK13">
        <v>409.7</v>
      </c>
      <c r="FL13">
        <v>396.4</v>
      </c>
      <c r="FM13">
        <v>399.3</v>
      </c>
      <c r="FN13">
        <v>400.6</v>
      </c>
      <c r="FO13">
        <v>421.7</v>
      </c>
      <c r="FP13">
        <v>419</v>
      </c>
      <c r="FQ13">
        <v>428.9</v>
      </c>
      <c r="FR13">
        <v>424.8</v>
      </c>
      <c r="FS13">
        <v>438.4</v>
      </c>
      <c r="FT13">
        <v>448.2</v>
      </c>
      <c r="FU13">
        <v>448.6</v>
      </c>
      <c r="FV13">
        <v>459.5</v>
      </c>
      <c r="FW13">
        <v>481.5</v>
      </c>
      <c r="FX13">
        <v>507.2</v>
      </c>
      <c r="FY13">
        <v>515.29999999999995</v>
      </c>
      <c r="FZ13">
        <v>523.6</v>
      </c>
      <c r="GA13">
        <v>537.9</v>
      </c>
      <c r="GB13">
        <v>540.4</v>
      </c>
      <c r="GC13">
        <v>541.79999999999995</v>
      </c>
      <c r="GD13">
        <v>550.5</v>
      </c>
      <c r="GE13">
        <v>558.79999999999995</v>
      </c>
      <c r="GF13">
        <v>566.5</v>
      </c>
      <c r="GG13">
        <v>575.29999999999995</v>
      </c>
      <c r="GH13">
        <v>572.4</v>
      </c>
      <c r="GI13">
        <v>567.9</v>
      </c>
      <c r="GJ13">
        <v>578.9</v>
      </c>
      <c r="GK13">
        <v>575.79999999999995</v>
      </c>
      <c r="GL13">
        <v>581.9</v>
      </c>
      <c r="GM13">
        <v>592.6</v>
      </c>
      <c r="GN13">
        <v>595.1</v>
      </c>
      <c r="GO13">
        <v>589.5</v>
      </c>
      <c r="GP13">
        <v>598.79999999999995</v>
      </c>
      <c r="GQ13">
        <v>614.5</v>
      </c>
      <c r="GR13">
        <v>622.4</v>
      </c>
      <c r="GS13">
        <v>620.5</v>
      </c>
      <c r="GT13">
        <v>606.20000000000005</v>
      </c>
      <c r="GU13">
        <v>654.20000000000005</v>
      </c>
      <c r="GV13">
        <v>690.4</v>
      </c>
      <c r="GW13">
        <v>678.3</v>
      </c>
      <c r="GX13">
        <v>695.9</v>
      </c>
      <c r="GY13">
        <v>730.5</v>
      </c>
      <c r="GZ13">
        <v>740</v>
      </c>
    </row>
    <row r="14" spans="1:208" x14ac:dyDescent="0.35">
      <c r="A14" t="s">
        <v>406</v>
      </c>
      <c r="B14">
        <v>2.9</v>
      </c>
      <c r="C14">
        <v>3.9</v>
      </c>
      <c r="D14">
        <v>4.5999999999999996</v>
      </c>
      <c r="E14">
        <v>5.4</v>
      </c>
      <c r="F14">
        <v>5.7</v>
      </c>
      <c r="G14">
        <v>6.3</v>
      </c>
      <c r="H14">
        <v>6.3</v>
      </c>
      <c r="I14">
        <v>6.3</v>
      </c>
      <c r="J14">
        <v>6.5</v>
      </c>
      <c r="K14">
        <v>6.9</v>
      </c>
      <c r="L14">
        <v>5.8</v>
      </c>
      <c r="M14">
        <v>5</v>
      </c>
      <c r="N14">
        <v>4.5999999999999996</v>
      </c>
      <c r="O14">
        <v>4.5</v>
      </c>
      <c r="P14">
        <v>4.5</v>
      </c>
      <c r="Q14">
        <v>4.7</v>
      </c>
      <c r="R14">
        <v>5.8</v>
      </c>
      <c r="S14">
        <v>6.7</v>
      </c>
      <c r="T14">
        <v>6.9</v>
      </c>
      <c r="U14">
        <v>8.6</v>
      </c>
      <c r="V14">
        <v>14.2</v>
      </c>
      <c r="W14">
        <v>19.399999999999999</v>
      </c>
      <c r="X14">
        <v>20.2</v>
      </c>
      <c r="Y14">
        <v>18.8</v>
      </c>
      <c r="Z14">
        <v>17.7</v>
      </c>
      <c r="AA14">
        <v>16.3</v>
      </c>
      <c r="AB14">
        <v>16.100000000000001</v>
      </c>
      <c r="AC14">
        <v>15.5</v>
      </c>
      <c r="AD14">
        <v>15.5</v>
      </c>
      <c r="AE14">
        <v>13.3</v>
      </c>
      <c r="AF14">
        <v>11.9</v>
      </c>
      <c r="AG14">
        <v>11.8</v>
      </c>
      <c r="AH14">
        <v>10.8</v>
      </c>
      <c r="AI14">
        <v>9.4</v>
      </c>
      <c r="AJ14">
        <v>9</v>
      </c>
      <c r="AK14">
        <v>8.5</v>
      </c>
      <c r="AL14">
        <v>9.4</v>
      </c>
      <c r="AM14">
        <v>9.1999999999999993</v>
      </c>
      <c r="AN14">
        <v>9.6</v>
      </c>
      <c r="AO14">
        <v>10.6</v>
      </c>
      <c r="AP14">
        <v>12</v>
      </c>
      <c r="AQ14">
        <v>15.7</v>
      </c>
      <c r="AR14">
        <v>19</v>
      </c>
      <c r="AS14">
        <v>17.8</v>
      </c>
      <c r="AT14">
        <v>16.399999999999999</v>
      </c>
      <c r="AU14">
        <v>15.5</v>
      </c>
      <c r="AV14">
        <v>15</v>
      </c>
      <c r="AW14">
        <v>16.600000000000001</v>
      </c>
      <c r="AX14">
        <v>19.100000000000001</v>
      </c>
      <c r="AY14">
        <v>23.9</v>
      </c>
      <c r="AZ14">
        <v>26.1</v>
      </c>
      <c r="BA14">
        <v>31.8</v>
      </c>
      <c r="BB14">
        <v>30.3</v>
      </c>
      <c r="BC14">
        <v>32.1</v>
      </c>
      <c r="BD14">
        <v>23.3</v>
      </c>
      <c r="BE14">
        <v>20</v>
      </c>
      <c r="BF14">
        <v>17.3</v>
      </c>
      <c r="BG14">
        <v>15.7</v>
      </c>
      <c r="BH14">
        <v>15.1</v>
      </c>
      <c r="BI14">
        <v>15.9</v>
      </c>
      <c r="BJ14">
        <v>16.899999999999999</v>
      </c>
      <c r="BK14">
        <v>16</v>
      </c>
      <c r="BL14">
        <v>15</v>
      </c>
      <c r="BM14">
        <v>15.6</v>
      </c>
      <c r="BN14">
        <v>15.6</v>
      </c>
      <c r="BO14">
        <v>16.399999999999999</v>
      </c>
      <c r="BP14">
        <v>17</v>
      </c>
      <c r="BQ14">
        <v>16.899999999999999</v>
      </c>
      <c r="BR14">
        <v>15.5</v>
      </c>
      <c r="BS14">
        <v>15.1</v>
      </c>
      <c r="BT14">
        <v>14.4</v>
      </c>
      <c r="BU14">
        <v>13.5</v>
      </c>
      <c r="BV14">
        <v>13.9</v>
      </c>
      <c r="BW14">
        <v>13.2</v>
      </c>
      <c r="BX14">
        <v>13.2</v>
      </c>
      <c r="BY14">
        <v>13</v>
      </c>
      <c r="BZ14">
        <v>13.6</v>
      </c>
      <c r="CA14">
        <v>13.7</v>
      </c>
      <c r="CB14">
        <v>14.6</v>
      </c>
      <c r="CC14">
        <v>15.8</v>
      </c>
      <c r="CD14">
        <v>16.399999999999999</v>
      </c>
      <c r="CE14">
        <v>17.100000000000001</v>
      </c>
      <c r="CF14">
        <v>18.2</v>
      </c>
      <c r="CG14">
        <v>21</v>
      </c>
      <c r="CH14">
        <v>24.3</v>
      </c>
      <c r="CI14">
        <v>27.5</v>
      </c>
      <c r="CJ14">
        <v>25.9</v>
      </c>
      <c r="CK14">
        <v>29.4</v>
      </c>
      <c r="CL14">
        <v>39.700000000000003</v>
      </c>
      <c r="CM14">
        <v>41.2</v>
      </c>
      <c r="CN14">
        <v>39.6</v>
      </c>
      <c r="CO14">
        <v>38</v>
      </c>
      <c r="CP14">
        <v>35.1</v>
      </c>
      <c r="CQ14">
        <v>35.5</v>
      </c>
      <c r="CR14">
        <v>35.5</v>
      </c>
      <c r="CS14">
        <v>33.200000000000003</v>
      </c>
      <c r="CT14">
        <v>28</v>
      </c>
      <c r="CU14">
        <v>24.4</v>
      </c>
      <c r="CV14">
        <v>22.1</v>
      </c>
      <c r="CW14">
        <v>21.3</v>
      </c>
      <c r="CX14">
        <v>20.9</v>
      </c>
      <c r="CY14">
        <v>21.6</v>
      </c>
      <c r="CZ14">
        <v>22</v>
      </c>
      <c r="DA14">
        <v>22.5</v>
      </c>
      <c r="DB14">
        <v>23</v>
      </c>
      <c r="DC14">
        <v>22.7</v>
      </c>
      <c r="DD14">
        <v>21.6</v>
      </c>
      <c r="DE14">
        <v>21.7</v>
      </c>
      <c r="DF14">
        <v>21</v>
      </c>
      <c r="DG14">
        <v>20.399999999999999</v>
      </c>
      <c r="DH14">
        <v>19.600000000000001</v>
      </c>
      <c r="DI14">
        <v>19.399999999999999</v>
      </c>
      <c r="DJ14">
        <v>19.399999999999999</v>
      </c>
      <c r="DK14">
        <v>19.3</v>
      </c>
      <c r="DL14">
        <v>20.3</v>
      </c>
      <c r="DM14">
        <v>19.8</v>
      </c>
      <c r="DN14">
        <v>20.8</v>
      </c>
      <c r="DO14">
        <v>20.9</v>
      </c>
      <c r="DP14">
        <v>20.3</v>
      </c>
      <c r="DQ14">
        <v>20</v>
      </c>
      <c r="DR14">
        <v>20.5</v>
      </c>
      <c r="DS14">
        <v>20</v>
      </c>
      <c r="DT14">
        <v>20.6</v>
      </c>
      <c r="DU14">
        <v>21.9</v>
      </c>
      <c r="DV14">
        <v>25.5</v>
      </c>
      <c r="DW14">
        <v>28.4</v>
      </c>
      <c r="DX14">
        <v>33.1</v>
      </c>
      <c r="DY14">
        <v>40.6</v>
      </c>
      <c r="DZ14">
        <v>42.8</v>
      </c>
      <c r="EA14">
        <v>60.5</v>
      </c>
      <c r="EB14">
        <v>56.9</v>
      </c>
      <c r="EC14">
        <v>53.7</v>
      </c>
      <c r="ED14">
        <v>51.8</v>
      </c>
      <c r="EE14">
        <v>55.2</v>
      </c>
      <c r="EF14">
        <v>54.2</v>
      </c>
      <c r="EG14">
        <v>51.5</v>
      </c>
      <c r="EH14">
        <v>42.3</v>
      </c>
      <c r="EI14">
        <v>35.9</v>
      </c>
      <c r="EJ14">
        <v>34.700000000000003</v>
      </c>
      <c r="EK14">
        <v>32.9</v>
      </c>
      <c r="EL14">
        <v>32.1</v>
      </c>
      <c r="EM14">
        <v>30.9</v>
      </c>
      <c r="EN14">
        <v>31.6</v>
      </c>
      <c r="EO14">
        <v>32.5</v>
      </c>
      <c r="EP14">
        <v>30.3</v>
      </c>
      <c r="EQ14">
        <v>29.5</v>
      </c>
      <c r="ER14">
        <v>30.6</v>
      </c>
      <c r="ES14">
        <v>31.1</v>
      </c>
      <c r="ET14">
        <v>32.299999999999997</v>
      </c>
      <c r="EU14">
        <v>31.8</v>
      </c>
      <c r="EV14">
        <v>32.799999999999997</v>
      </c>
      <c r="EW14">
        <v>34</v>
      </c>
      <c r="EX14">
        <v>36.299999999999997</v>
      </c>
      <c r="EY14">
        <v>38.200000000000003</v>
      </c>
      <c r="EZ14">
        <v>58.2</v>
      </c>
      <c r="FA14">
        <v>71.900000000000006</v>
      </c>
      <c r="FB14">
        <v>101.6</v>
      </c>
      <c r="FC14">
        <v>130.30000000000001</v>
      </c>
      <c r="FD14">
        <v>144.4</v>
      </c>
      <c r="FE14">
        <v>148.6</v>
      </c>
      <c r="FF14">
        <v>159.30000000000001</v>
      </c>
      <c r="FG14">
        <v>141.19999999999999</v>
      </c>
      <c r="FH14">
        <v>131</v>
      </c>
      <c r="FI14">
        <v>123.9</v>
      </c>
      <c r="FJ14">
        <v>116.7</v>
      </c>
      <c r="FK14">
        <v>109.3</v>
      </c>
      <c r="FL14">
        <v>102.9</v>
      </c>
      <c r="FM14">
        <v>99.8</v>
      </c>
      <c r="FN14">
        <v>94.6</v>
      </c>
      <c r="FO14">
        <v>86.3</v>
      </c>
      <c r="FP14">
        <v>78.400000000000006</v>
      </c>
      <c r="FQ14">
        <v>75.099999999999994</v>
      </c>
      <c r="FR14">
        <v>69</v>
      </c>
      <c r="FS14">
        <v>64.8</v>
      </c>
      <c r="FT14">
        <v>59.1</v>
      </c>
      <c r="FU14">
        <v>57.1</v>
      </c>
      <c r="FV14">
        <v>39</v>
      </c>
      <c r="FW14">
        <v>35.799999999999997</v>
      </c>
      <c r="FX14">
        <v>34</v>
      </c>
      <c r="FY14">
        <v>33</v>
      </c>
      <c r="FZ14">
        <v>32.9</v>
      </c>
      <c r="GA14">
        <v>32.4</v>
      </c>
      <c r="GB14">
        <v>32.5</v>
      </c>
      <c r="GC14">
        <v>32.4</v>
      </c>
      <c r="GD14">
        <v>32.4</v>
      </c>
      <c r="GE14">
        <v>32.299999999999997</v>
      </c>
      <c r="GF14">
        <v>32.1</v>
      </c>
      <c r="GG14">
        <v>31.3</v>
      </c>
      <c r="GH14">
        <v>30.8</v>
      </c>
      <c r="GI14">
        <v>30.1</v>
      </c>
      <c r="GJ14">
        <v>30.2</v>
      </c>
      <c r="GK14">
        <v>29.7</v>
      </c>
      <c r="GL14">
        <v>29</v>
      </c>
      <c r="GM14">
        <v>27.6</v>
      </c>
      <c r="GN14">
        <v>27.2</v>
      </c>
      <c r="GO14">
        <v>27.1</v>
      </c>
      <c r="GP14">
        <v>28.4</v>
      </c>
      <c r="GQ14">
        <v>27.8</v>
      </c>
      <c r="GR14">
        <v>27.4</v>
      </c>
      <c r="GS14">
        <v>26.8</v>
      </c>
      <c r="GT14">
        <v>39.5</v>
      </c>
      <c r="GU14">
        <v>1039.4000000000001</v>
      </c>
      <c r="GV14">
        <v>767.8</v>
      </c>
      <c r="GW14">
        <v>299.89999999999998</v>
      </c>
      <c r="GX14">
        <v>565.79999999999995</v>
      </c>
      <c r="GY14">
        <v>480.4</v>
      </c>
      <c r="GZ14">
        <v>272.60000000000002</v>
      </c>
    </row>
    <row r="15" spans="1:208" x14ac:dyDescent="0.35">
      <c r="A15" t="s">
        <v>938</v>
      </c>
      <c r="B15">
        <v>63</v>
      </c>
      <c r="C15">
        <v>73.099999999999994</v>
      </c>
      <c r="D15">
        <v>73.5</v>
      </c>
      <c r="E15">
        <v>77.400000000000006</v>
      </c>
      <c r="F15">
        <v>79.3</v>
      </c>
      <c r="G15">
        <v>86.9</v>
      </c>
      <c r="H15">
        <v>86.9</v>
      </c>
      <c r="I15">
        <v>88.5</v>
      </c>
      <c r="J15">
        <v>91.4</v>
      </c>
      <c r="K15">
        <v>91.9</v>
      </c>
      <c r="L15">
        <v>92.9</v>
      </c>
      <c r="M15">
        <v>103.1</v>
      </c>
      <c r="N15">
        <v>105.4</v>
      </c>
      <c r="O15">
        <v>107.6</v>
      </c>
      <c r="P15">
        <v>109.2</v>
      </c>
      <c r="Q15">
        <v>112.3</v>
      </c>
      <c r="R15">
        <v>117.5</v>
      </c>
      <c r="S15">
        <v>125.4</v>
      </c>
      <c r="T15">
        <v>132.19999999999999</v>
      </c>
      <c r="U15">
        <v>139.1</v>
      </c>
      <c r="V15">
        <v>149.80000000000001</v>
      </c>
      <c r="W15">
        <v>164.6</v>
      </c>
      <c r="X15">
        <v>167.7</v>
      </c>
      <c r="Y15">
        <v>170.4</v>
      </c>
      <c r="Z15">
        <v>174.7</v>
      </c>
      <c r="AA15">
        <v>173.1</v>
      </c>
      <c r="AB15">
        <v>180.1</v>
      </c>
      <c r="AC15">
        <v>182.7</v>
      </c>
      <c r="AD15">
        <v>185.5</v>
      </c>
      <c r="AE15">
        <v>186.4</v>
      </c>
      <c r="AF15">
        <v>191.7</v>
      </c>
      <c r="AG15">
        <v>194.3</v>
      </c>
      <c r="AH15">
        <v>197.7</v>
      </c>
      <c r="AI15">
        <v>199</v>
      </c>
      <c r="AJ15">
        <v>207.1</v>
      </c>
      <c r="AK15">
        <v>209.9</v>
      </c>
      <c r="AL15">
        <v>214.9</v>
      </c>
      <c r="AM15">
        <v>219.2</v>
      </c>
      <c r="AN15">
        <v>234.6</v>
      </c>
      <c r="AO15">
        <v>240.7</v>
      </c>
      <c r="AP15">
        <v>251.2</v>
      </c>
      <c r="AQ15">
        <v>256.2</v>
      </c>
      <c r="AR15">
        <v>287.89999999999998</v>
      </c>
      <c r="AS15">
        <v>290.7</v>
      </c>
      <c r="AT15">
        <v>296.10000000000002</v>
      </c>
      <c r="AU15">
        <v>299</v>
      </c>
      <c r="AV15">
        <v>317</v>
      </c>
      <c r="AW15">
        <v>319.2</v>
      </c>
      <c r="AX15">
        <v>324.3</v>
      </c>
      <c r="AY15">
        <v>333.2</v>
      </c>
      <c r="AZ15">
        <v>349.7</v>
      </c>
      <c r="BA15">
        <v>365.2</v>
      </c>
      <c r="BB15">
        <v>368</v>
      </c>
      <c r="BC15">
        <v>373.7</v>
      </c>
      <c r="BD15">
        <v>368.5</v>
      </c>
      <c r="BE15">
        <v>371.8</v>
      </c>
      <c r="BF15">
        <v>376.3</v>
      </c>
      <c r="BG15">
        <v>379</v>
      </c>
      <c r="BH15">
        <v>380.4</v>
      </c>
      <c r="BI15">
        <v>387.9</v>
      </c>
      <c r="BJ15">
        <v>398.1</v>
      </c>
      <c r="BK15">
        <v>400.5</v>
      </c>
      <c r="BL15">
        <v>405.6</v>
      </c>
      <c r="BM15">
        <v>408.3</v>
      </c>
      <c r="BN15">
        <v>419.9</v>
      </c>
      <c r="BO15">
        <v>425.6</v>
      </c>
      <c r="BP15">
        <v>433.1</v>
      </c>
      <c r="BQ15">
        <v>435.8</v>
      </c>
      <c r="BR15">
        <v>441.9</v>
      </c>
      <c r="BS15">
        <v>447.5</v>
      </c>
      <c r="BT15">
        <v>449.4</v>
      </c>
      <c r="BU15">
        <v>452.8</v>
      </c>
      <c r="BV15">
        <v>470.3</v>
      </c>
      <c r="BW15">
        <v>473.4</v>
      </c>
      <c r="BX15">
        <v>478.8</v>
      </c>
      <c r="BY15">
        <v>484.9</v>
      </c>
      <c r="BZ15">
        <v>508.2</v>
      </c>
      <c r="CA15">
        <v>515.70000000000005</v>
      </c>
      <c r="CB15">
        <v>524.70000000000005</v>
      </c>
      <c r="CC15">
        <v>535.79999999999995</v>
      </c>
      <c r="CD15">
        <v>556.20000000000005</v>
      </c>
      <c r="CE15">
        <v>567.5</v>
      </c>
      <c r="CF15">
        <v>578.1</v>
      </c>
      <c r="CG15">
        <v>596.79999999999995</v>
      </c>
      <c r="CH15">
        <v>622.5</v>
      </c>
      <c r="CI15">
        <v>643.5</v>
      </c>
      <c r="CJ15">
        <v>653.79999999999995</v>
      </c>
      <c r="CK15">
        <v>682.3</v>
      </c>
      <c r="CL15">
        <v>710.5</v>
      </c>
      <c r="CM15">
        <v>729.1</v>
      </c>
      <c r="CN15">
        <v>741.3</v>
      </c>
      <c r="CO15">
        <v>746</v>
      </c>
      <c r="CP15">
        <v>766.5</v>
      </c>
      <c r="CQ15">
        <v>771.7</v>
      </c>
      <c r="CR15">
        <v>786.3</v>
      </c>
      <c r="CS15">
        <v>791.3</v>
      </c>
      <c r="CT15">
        <v>805.3</v>
      </c>
      <c r="CU15">
        <v>810.1</v>
      </c>
      <c r="CV15">
        <v>813.6</v>
      </c>
      <c r="CW15">
        <v>833.8</v>
      </c>
      <c r="CX15">
        <v>857.9</v>
      </c>
      <c r="CY15">
        <v>865.6</v>
      </c>
      <c r="CZ15">
        <v>870.7</v>
      </c>
      <c r="DA15">
        <v>864.6</v>
      </c>
      <c r="DB15">
        <v>893.2</v>
      </c>
      <c r="DC15">
        <v>912.9</v>
      </c>
      <c r="DD15">
        <v>908.5</v>
      </c>
      <c r="DE15">
        <v>910.7</v>
      </c>
      <c r="DF15">
        <v>930.5</v>
      </c>
      <c r="DG15">
        <v>931.3</v>
      </c>
      <c r="DH15">
        <v>937.2</v>
      </c>
      <c r="DI15">
        <v>942.7</v>
      </c>
      <c r="DJ15">
        <v>951.8</v>
      </c>
      <c r="DK15">
        <v>956</v>
      </c>
      <c r="DL15">
        <v>957.4</v>
      </c>
      <c r="DM15">
        <v>966.4</v>
      </c>
      <c r="DN15">
        <v>983.4</v>
      </c>
      <c r="DO15">
        <v>985</v>
      </c>
      <c r="DP15">
        <v>996.1</v>
      </c>
      <c r="DQ15">
        <v>1004.3</v>
      </c>
      <c r="DR15">
        <v>1016.9</v>
      </c>
      <c r="DS15">
        <v>1042.3</v>
      </c>
      <c r="DT15">
        <v>1054.7</v>
      </c>
      <c r="DU15">
        <v>1065.5999999999999</v>
      </c>
      <c r="DV15">
        <v>1107.8</v>
      </c>
      <c r="DW15">
        <v>1139.0999999999999</v>
      </c>
      <c r="DX15">
        <v>1145.2</v>
      </c>
      <c r="DY15">
        <v>1191.2</v>
      </c>
      <c r="DZ15">
        <v>1221</v>
      </c>
      <c r="EA15">
        <v>1247.0999999999999</v>
      </c>
      <c r="EB15">
        <v>1259.9000000000001</v>
      </c>
      <c r="EC15">
        <v>1276.2</v>
      </c>
      <c r="ED15">
        <v>1294.5999999999999</v>
      </c>
      <c r="EE15">
        <v>1312.6</v>
      </c>
      <c r="EF15">
        <v>1335.5</v>
      </c>
      <c r="EG15">
        <v>1341.2</v>
      </c>
      <c r="EH15">
        <v>1379.6</v>
      </c>
      <c r="EI15">
        <v>1400.6</v>
      </c>
      <c r="EJ15">
        <v>1409.8</v>
      </c>
      <c r="EK15">
        <v>1427.9</v>
      </c>
      <c r="EL15">
        <v>1464.4</v>
      </c>
      <c r="EM15">
        <v>1486</v>
      </c>
      <c r="EN15">
        <v>1501</v>
      </c>
      <c r="EO15">
        <v>1512.3</v>
      </c>
      <c r="EP15">
        <v>1566.7</v>
      </c>
      <c r="EQ15">
        <v>1583.2</v>
      </c>
      <c r="ER15">
        <v>1608.5</v>
      </c>
      <c r="ES15">
        <v>1613.8</v>
      </c>
      <c r="ET15">
        <v>1680.2</v>
      </c>
      <c r="EU15">
        <v>1680.4</v>
      </c>
      <c r="EV15">
        <v>1700.2</v>
      </c>
      <c r="EW15">
        <v>1728.6</v>
      </c>
      <c r="EX15">
        <v>1768.2</v>
      </c>
      <c r="EY15">
        <v>2113</v>
      </c>
      <c r="EZ15">
        <v>1905.3</v>
      </c>
      <c r="FA15">
        <v>1890.8</v>
      </c>
      <c r="FB15">
        <v>2001.9</v>
      </c>
      <c r="FC15">
        <v>2140</v>
      </c>
      <c r="FD15">
        <v>2136.9</v>
      </c>
      <c r="FE15">
        <v>2152.1</v>
      </c>
      <c r="FF15">
        <v>2262.1999999999998</v>
      </c>
      <c r="FG15">
        <v>2268.6999999999998</v>
      </c>
      <c r="FH15">
        <v>2292</v>
      </c>
      <c r="FI15">
        <v>2302.6999999999998</v>
      </c>
      <c r="FJ15">
        <v>2313</v>
      </c>
      <c r="FK15">
        <v>2312.1</v>
      </c>
      <c r="FL15">
        <v>2303.1999999999998</v>
      </c>
      <c r="FM15">
        <v>2312.1999999999998</v>
      </c>
      <c r="FN15">
        <v>2296.8000000000002</v>
      </c>
      <c r="FO15">
        <v>2321.8000000000002</v>
      </c>
      <c r="FP15">
        <v>2325.6</v>
      </c>
      <c r="FQ15">
        <v>2346.1</v>
      </c>
      <c r="FR15">
        <v>2365.6999999999998</v>
      </c>
      <c r="FS15">
        <v>2378.3000000000002</v>
      </c>
      <c r="FT15">
        <v>2396</v>
      </c>
      <c r="FU15">
        <v>2403.6999999999998</v>
      </c>
      <c r="FV15">
        <v>2433.1999999999998</v>
      </c>
      <c r="FW15">
        <v>2484.5</v>
      </c>
      <c r="FX15">
        <v>2524.6</v>
      </c>
      <c r="FY15">
        <v>2552.1</v>
      </c>
      <c r="FZ15">
        <v>2597.6999999999998</v>
      </c>
      <c r="GA15">
        <v>2633.9</v>
      </c>
      <c r="GB15">
        <v>2647.8</v>
      </c>
      <c r="GC15">
        <v>2661.2</v>
      </c>
      <c r="GD15">
        <v>2686.2</v>
      </c>
      <c r="GE15">
        <v>2706.5</v>
      </c>
      <c r="GF15">
        <v>2726.3</v>
      </c>
      <c r="GG15">
        <v>2750.1</v>
      </c>
      <c r="GH15">
        <v>2779.6</v>
      </c>
      <c r="GI15">
        <v>2790</v>
      </c>
      <c r="GJ15">
        <v>2823.8</v>
      </c>
      <c r="GK15">
        <v>2837</v>
      </c>
      <c r="GL15">
        <v>2892.6</v>
      </c>
      <c r="GM15">
        <v>2918.5</v>
      </c>
      <c r="GN15">
        <v>2939.4</v>
      </c>
      <c r="GO15">
        <v>2954</v>
      </c>
      <c r="GP15">
        <v>3039.6</v>
      </c>
      <c r="GQ15">
        <v>3074.1</v>
      </c>
      <c r="GR15">
        <v>3101</v>
      </c>
      <c r="GS15">
        <v>3117.9</v>
      </c>
      <c r="GT15">
        <v>3173.8</v>
      </c>
      <c r="GU15">
        <v>5570.5</v>
      </c>
      <c r="GV15">
        <v>4310.5</v>
      </c>
      <c r="GW15">
        <v>3670.2</v>
      </c>
      <c r="GX15">
        <v>5920.6</v>
      </c>
      <c r="GY15">
        <v>4257.8</v>
      </c>
      <c r="GZ15">
        <v>4038.8</v>
      </c>
    </row>
    <row r="16" spans="1:208" x14ac:dyDescent="0.35">
      <c r="A16" t="s">
        <v>939</v>
      </c>
      <c r="B16">
        <v>1.2</v>
      </c>
      <c r="C16">
        <v>1.3</v>
      </c>
      <c r="D16">
        <v>1.3</v>
      </c>
      <c r="E16">
        <v>1.3</v>
      </c>
      <c r="F16">
        <v>1.4</v>
      </c>
      <c r="G16">
        <v>1.4</v>
      </c>
      <c r="H16">
        <v>1.5</v>
      </c>
      <c r="I16">
        <v>1.5</v>
      </c>
      <c r="J16">
        <v>1.7</v>
      </c>
      <c r="K16">
        <v>1.8</v>
      </c>
      <c r="L16">
        <v>1.8</v>
      </c>
      <c r="M16">
        <v>1.9</v>
      </c>
      <c r="N16">
        <v>1.8</v>
      </c>
      <c r="O16">
        <v>1.8</v>
      </c>
      <c r="P16">
        <v>1.8</v>
      </c>
      <c r="Q16">
        <v>1.9</v>
      </c>
      <c r="R16">
        <v>1.9</v>
      </c>
      <c r="S16">
        <v>2</v>
      </c>
      <c r="T16">
        <v>2.1</v>
      </c>
      <c r="U16">
        <v>2.2000000000000002</v>
      </c>
      <c r="V16">
        <v>2.2999999999999998</v>
      </c>
      <c r="W16">
        <v>2.4</v>
      </c>
      <c r="X16">
        <v>2.6</v>
      </c>
      <c r="Y16">
        <v>2.7</v>
      </c>
      <c r="Z16">
        <v>2.8</v>
      </c>
      <c r="AA16">
        <v>3</v>
      </c>
      <c r="AB16">
        <v>3.1</v>
      </c>
      <c r="AC16">
        <v>3.2</v>
      </c>
      <c r="AD16">
        <v>3.3</v>
      </c>
      <c r="AE16">
        <v>3.4</v>
      </c>
      <c r="AF16">
        <v>3.5</v>
      </c>
      <c r="AG16">
        <v>3.6</v>
      </c>
      <c r="AH16">
        <v>3.7</v>
      </c>
      <c r="AI16">
        <v>3.8</v>
      </c>
      <c r="AJ16">
        <v>3.9</v>
      </c>
      <c r="AK16">
        <v>4</v>
      </c>
      <c r="AL16">
        <v>4.0999999999999996</v>
      </c>
      <c r="AM16">
        <v>4.3</v>
      </c>
      <c r="AN16">
        <v>4.4000000000000004</v>
      </c>
      <c r="AO16">
        <v>4.5</v>
      </c>
      <c r="AP16">
        <v>4.5999999999999996</v>
      </c>
      <c r="AQ16">
        <v>4.8</v>
      </c>
      <c r="AR16">
        <v>5</v>
      </c>
      <c r="AS16">
        <v>5.3</v>
      </c>
      <c r="AT16">
        <v>5.6</v>
      </c>
      <c r="AU16">
        <v>5.9</v>
      </c>
      <c r="AV16">
        <v>6.1</v>
      </c>
      <c r="AW16">
        <v>6.3</v>
      </c>
      <c r="AX16">
        <v>6.7</v>
      </c>
      <c r="AY16">
        <v>6.9</v>
      </c>
      <c r="AZ16">
        <v>7.2</v>
      </c>
      <c r="BA16">
        <v>7.5</v>
      </c>
      <c r="BB16">
        <v>7.7</v>
      </c>
      <c r="BC16">
        <v>8</v>
      </c>
      <c r="BD16">
        <v>8.3000000000000007</v>
      </c>
      <c r="BE16">
        <v>8.5</v>
      </c>
      <c r="BF16">
        <v>8.8000000000000007</v>
      </c>
      <c r="BG16">
        <v>9.1</v>
      </c>
      <c r="BH16">
        <v>9.3000000000000007</v>
      </c>
      <c r="BI16">
        <v>9.5</v>
      </c>
      <c r="BJ16">
        <v>9.9</v>
      </c>
      <c r="BK16">
        <v>10.199999999999999</v>
      </c>
      <c r="BL16">
        <v>10.6</v>
      </c>
      <c r="BM16">
        <v>11</v>
      </c>
      <c r="BN16">
        <v>11.3</v>
      </c>
      <c r="BO16">
        <v>11.7</v>
      </c>
      <c r="BP16">
        <v>12.1</v>
      </c>
      <c r="BQ16">
        <v>12.7</v>
      </c>
      <c r="BR16">
        <v>12.7</v>
      </c>
      <c r="BS16">
        <v>12.9</v>
      </c>
      <c r="BT16">
        <v>13.5</v>
      </c>
      <c r="BU16">
        <v>13.7</v>
      </c>
      <c r="BV16">
        <v>14.2</v>
      </c>
      <c r="BW16">
        <v>14.8</v>
      </c>
      <c r="BX16">
        <v>15.1</v>
      </c>
      <c r="BY16">
        <v>15.4</v>
      </c>
      <c r="BZ16">
        <v>15.9</v>
      </c>
      <c r="CA16">
        <v>16.3</v>
      </c>
      <c r="CB16">
        <v>16.7</v>
      </c>
      <c r="CC16">
        <v>17.100000000000001</v>
      </c>
      <c r="CD16">
        <v>17.3</v>
      </c>
      <c r="CE16">
        <v>17.899999999999999</v>
      </c>
      <c r="CF16">
        <v>18.7</v>
      </c>
      <c r="CG16">
        <v>19.600000000000001</v>
      </c>
      <c r="CH16">
        <v>20.9</v>
      </c>
      <c r="CI16">
        <v>22.1</v>
      </c>
      <c r="CJ16">
        <v>23.1</v>
      </c>
      <c r="CK16">
        <v>24.2</v>
      </c>
      <c r="CL16">
        <v>25</v>
      </c>
      <c r="CM16">
        <v>25.8</v>
      </c>
      <c r="CN16">
        <v>26.4</v>
      </c>
      <c r="CO16">
        <v>26.8</v>
      </c>
      <c r="CP16">
        <v>28</v>
      </c>
      <c r="CQ16">
        <v>28.3</v>
      </c>
      <c r="CR16">
        <v>28.7</v>
      </c>
      <c r="CS16">
        <v>29.2</v>
      </c>
      <c r="CT16">
        <v>30.1</v>
      </c>
      <c r="CU16">
        <v>30.7</v>
      </c>
      <c r="CV16">
        <v>31.2</v>
      </c>
      <c r="CW16">
        <v>31.6</v>
      </c>
      <c r="CX16">
        <v>31.9</v>
      </c>
      <c r="CY16">
        <v>32.299999999999997</v>
      </c>
      <c r="CZ16">
        <v>32.9</v>
      </c>
      <c r="DA16">
        <v>33.5</v>
      </c>
      <c r="DB16">
        <v>34</v>
      </c>
      <c r="DC16">
        <v>34.6</v>
      </c>
      <c r="DD16">
        <v>35.200000000000003</v>
      </c>
      <c r="DE16">
        <v>35.799999999999997</v>
      </c>
      <c r="DF16">
        <v>37.200000000000003</v>
      </c>
      <c r="DG16">
        <v>38</v>
      </c>
      <c r="DH16">
        <v>38.6</v>
      </c>
      <c r="DI16">
        <v>39</v>
      </c>
      <c r="DJ16">
        <v>39.1</v>
      </c>
      <c r="DK16">
        <v>39.299999999999997</v>
      </c>
      <c r="DL16">
        <v>40</v>
      </c>
      <c r="DM16">
        <v>41.1</v>
      </c>
      <c r="DN16">
        <v>42.3</v>
      </c>
      <c r="DO16">
        <v>43.5</v>
      </c>
      <c r="DP16">
        <v>44.7</v>
      </c>
      <c r="DQ16">
        <v>45.8</v>
      </c>
      <c r="DR16">
        <v>46.9</v>
      </c>
      <c r="DS16">
        <v>48.1</v>
      </c>
      <c r="DT16">
        <v>49.3</v>
      </c>
      <c r="DU16">
        <v>50.6</v>
      </c>
      <c r="DV16">
        <v>51.5</v>
      </c>
      <c r="DW16">
        <v>52.5</v>
      </c>
      <c r="DX16">
        <v>53.4</v>
      </c>
      <c r="DY16">
        <v>54.3</v>
      </c>
      <c r="DZ16">
        <v>55.2</v>
      </c>
      <c r="EA16">
        <v>56</v>
      </c>
      <c r="EB16">
        <v>56.8</v>
      </c>
      <c r="EC16">
        <v>57.6</v>
      </c>
      <c r="ED16">
        <v>58.5</v>
      </c>
      <c r="EE16">
        <v>59.7</v>
      </c>
      <c r="EF16">
        <v>61.1</v>
      </c>
      <c r="EG16">
        <v>62.7</v>
      </c>
      <c r="EH16">
        <v>64.8</v>
      </c>
      <c r="EI16">
        <v>66.400000000000006</v>
      </c>
      <c r="EJ16">
        <v>67.7</v>
      </c>
      <c r="EK16">
        <v>68.7</v>
      </c>
      <c r="EL16">
        <v>70.3</v>
      </c>
      <c r="EM16">
        <v>71.2</v>
      </c>
      <c r="EN16">
        <v>72.099999999999994</v>
      </c>
      <c r="EO16">
        <v>73</v>
      </c>
      <c r="EP16">
        <v>74.400000000000006</v>
      </c>
      <c r="EQ16">
        <v>74.900000000000006</v>
      </c>
      <c r="ER16">
        <v>75.5</v>
      </c>
      <c r="ES16">
        <v>76.3</v>
      </c>
      <c r="ET16">
        <v>78</v>
      </c>
      <c r="EU16">
        <v>78.8</v>
      </c>
      <c r="EV16">
        <v>79.599999999999994</v>
      </c>
      <c r="EW16">
        <v>80.3</v>
      </c>
      <c r="EX16">
        <v>80.5</v>
      </c>
      <c r="EY16">
        <v>81</v>
      </c>
      <c r="EZ16">
        <v>81.2</v>
      </c>
      <c r="FA16">
        <v>81.2</v>
      </c>
      <c r="FB16">
        <v>80.599999999999994</v>
      </c>
      <c r="FC16">
        <v>80.3</v>
      </c>
      <c r="FD16">
        <v>79.900000000000006</v>
      </c>
      <c r="FE16">
        <v>79.5</v>
      </c>
      <c r="FF16">
        <v>79.5</v>
      </c>
      <c r="FG16">
        <v>79.3</v>
      </c>
      <c r="FH16">
        <v>79.3</v>
      </c>
      <c r="FI16">
        <v>79.5</v>
      </c>
      <c r="FJ16">
        <v>80.400000000000006</v>
      </c>
      <c r="FK16">
        <v>81.5</v>
      </c>
      <c r="FL16">
        <v>82.7</v>
      </c>
      <c r="FM16">
        <v>84.1</v>
      </c>
      <c r="FN16">
        <v>85.2</v>
      </c>
      <c r="FO16">
        <v>86.3</v>
      </c>
      <c r="FP16">
        <v>86.9</v>
      </c>
      <c r="FQ16">
        <v>86.8</v>
      </c>
      <c r="FR16">
        <v>86.6</v>
      </c>
      <c r="FS16">
        <v>86.8</v>
      </c>
      <c r="FT16">
        <v>87.5</v>
      </c>
      <c r="FU16">
        <v>88.9</v>
      </c>
      <c r="FV16">
        <v>90.9</v>
      </c>
      <c r="FW16">
        <v>92.6</v>
      </c>
      <c r="FX16">
        <v>94.2</v>
      </c>
      <c r="FY16">
        <v>95.7</v>
      </c>
      <c r="FZ16">
        <v>99.4</v>
      </c>
      <c r="GA16">
        <v>100.7</v>
      </c>
      <c r="GB16">
        <v>101.6</v>
      </c>
      <c r="GC16">
        <v>101.9</v>
      </c>
      <c r="GD16">
        <v>103</v>
      </c>
      <c r="GE16">
        <v>103.1</v>
      </c>
      <c r="GF16">
        <v>103.4</v>
      </c>
      <c r="GG16">
        <v>104</v>
      </c>
      <c r="GH16">
        <v>105.8</v>
      </c>
      <c r="GI16">
        <v>106.8</v>
      </c>
      <c r="GJ16">
        <v>108</v>
      </c>
      <c r="GK16">
        <v>109.3</v>
      </c>
      <c r="GL16">
        <v>111.5</v>
      </c>
      <c r="GM16">
        <v>113.1</v>
      </c>
      <c r="GN16">
        <v>114.7</v>
      </c>
      <c r="GO16">
        <v>116.4</v>
      </c>
      <c r="GP16">
        <v>117.6</v>
      </c>
      <c r="GQ16">
        <v>118.7</v>
      </c>
      <c r="GR16">
        <v>119.1</v>
      </c>
      <c r="GS16">
        <v>118.8</v>
      </c>
      <c r="GT16">
        <v>114.9</v>
      </c>
      <c r="GU16">
        <v>114.4</v>
      </c>
      <c r="GV16">
        <v>114.3</v>
      </c>
      <c r="GW16">
        <v>114.8</v>
      </c>
      <c r="GX16">
        <v>115.3</v>
      </c>
      <c r="GY16">
        <v>116</v>
      </c>
      <c r="GZ16">
        <v>116.8</v>
      </c>
    </row>
    <row r="17" spans="1:208" x14ac:dyDescent="0.35">
      <c r="A17" t="s">
        <v>940</v>
      </c>
      <c r="B17">
        <v>104.6</v>
      </c>
      <c r="C17">
        <v>105.5</v>
      </c>
      <c r="D17">
        <v>100.7</v>
      </c>
      <c r="E17">
        <v>101.5</v>
      </c>
      <c r="F17">
        <v>98.3</v>
      </c>
      <c r="G17">
        <v>100.7</v>
      </c>
      <c r="H17">
        <v>102.3</v>
      </c>
      <c r="I17">
        <v>105.5</v>
      </c>
      <c r="J17">
        <v>119.8</v>
      </c>
      <c r="K17">
        <v>123.4</v>
      </c>
      <c r="L17">
        <v>124.3</v>
      </c>
      <c r="M17">
        <v>127.1</v>
      </c>
      <c r="N17">
        <v>126.4</v>
      </c>
      <c r="O17">
        <v>129.19999999999999</v>
      </c>
      <c r="P17">
        <v>134.1</v>
      </c>
      <c r="Q17">
        <v>140</v>
      </c>
      <c r="R17">
        <v>142.80000000000001</v>
      </c>
      <c r="S17">
        <v>148.9</v>
      </c>
      <c r="T17">
        <v>154.9</v>
      </c>
      <c r="U17">
        <v>157.6</v>
      </c>
      <c r="V17">
        <v>158</v>
      </c>
      <c r="W17">
        <v>121.1</v>
      </c>
      <c r="X17">
        <v>152.80000000000001</v>
      </c>
      <c r="Y17">
        <v>158.5</v>
      </c>
      <c r="Z17">
        <v>162.5</v>
      </c>
      <c r="AA17">
        <v>169.3</v>
      </c>
      <c r="AB17">
        <v>176.1</v>
      </c>
      <c r="AC17">
        <v>182.7</v>
      </c>
      <c r="AD17">
        <v>188.8</v>
      </c>
      <c r="AE17">
        <v>195.7</v>
      </c>
      <c r="AF17">
        <v>198.6</v>
      </c>
      <c r="AG17">
        <v>208.5</v>
      </c>
      <c r="AH17">
        <v>212</v>
      </c>
      <c r="AI17">
        <v>223.1</v>
      </c>
      <c r="AJ17">
        <v>236.3</v>
      </c>
      <c r="AK17">
        <v>247.2</v>
      </c>
      <c r="AL17">
        <v>253.6</v>
      </c>
      <c r="AM17">
        <v>262</v>
      </c>
      <c r="AN17">
        <v>274.8</v>
      </c>
      <c r="AO17">
        <v>285.2</v>
      </c>
      <c r="AP17">
        <v>284.8</v>
      </c>
      <c r="AQ17">
        <v>292.2</v>
      </c>
      <c r="AR17">
        <v>302.2</v>
      </c>
      <c r="AS17">
        <v>318.89999999999998</v>
      </c>
      <c r="AT17">
        <v>330.9</v>
      </c>
      <c r="AU17">
        <v>342.7</v>
      </c>
      <c r="AV17">
        <v>356.9</v>
      </c>
      <c r="AW17">
        <v>352.7</v>
      </c>
      <c r="AX17">
        <v>352.5</v>
      </c>
      <c r="AY17">
        <v>359.7</v>
      </c>
      <c r="AZ17">
        <v>350.1</v>
      </c>
      <c r="BA17">
        <v>356.6</v>
      </c>
      <c r="BB17">
        <v>350.9</v>
      </c>
      <c r="BC17">
        <v>359.6</v>
      </c>
      <c r="BD17">
        <v>345.4</v>
      </c>
      <c r="BE17">
        <v>355.7</v>
      </c>
      <c r="BF17">
        <v>361.2</v>
      </c>
      <c r="BG17">
        <v>370.4</v>
      </c>
      <c r="BH17">
        <v>384.1</v>
      </c>
      <c r="BI17">
        <v>395.9</v>
      </c>
      <c r="BJ17">
        <v>432.3</v>
      </c>
      <c r="BK17">
        <v>388.5</v>
      </c>
      <c r="BL17">
        <v>421.5</v>
      </c>
      <c r="BM17">
        <v>428.9</v>
      </c>
      <c r="BN17">
        <v>426.3</v>
      </c>
      <c r="BO17">
        <v>429.4</v>
      </c>
      <c r="BP17">
        <v>439.5</v>
      </c>
      <c r="BQ17">
        <v>456</v>
      </c>
      <c r="BR17">
        <v>450.7</v>
      </c>
      <c r="BS17">
        <v>511.7</v>
      </c>
      <c r="BT17">
        <v>489</v>
      </c>
      <c r="BU17">
        <v>507</v>
      </c>
      <c r="BV17">
        <v>502.1</v>
      </c>
      <c r="BW17">
        <v>497.8</v>
      </c>
      <c r="BX17">
        <v>506.7</v>
      </c>
      <c r="BY17">
        <v>517.20000000000005</v>
      </c>
      <c r="BZ17">
        <v>552.9</v>
      </c>
      <c r="CA17">
        <v>566.70000000000005</v>
      </c>
      <c r="CB17">
        <v>571.6</v>
      </c>
      <c r="CC17">
        <v>579.79999999999995</v>
      </c>
      <c r="CD17">
        <v>582.5</v>
      </c>
      <c r="CE17">
        <v>594.6</v>
      </c>
      <c r="CF17">
        <v>600.70000000000005</v>
      </c>
      <c r="CG17">
        <v>600.79999999999995</v>
      </c>
      <c r="CH17">
        <v>580.79999999999995</v>
      </c>
      <c r="CI17">
        <v>585.9</v>
      </c>
      <c r="CJ17">
        <v>590.20000000000005</v>
      </c>
      <c r="CK17">
        <v>598.70000000000005</v>
      </c>
      <c r="CL17">
        <v>588.9</v>
      </c>
      <c r="CM17">
        <v>607.20000000000005</v>
      </c>
      <c r="CN17">
        <v>616.20000000000005</v>
      </c>
      <c r="CO17">
        <v>638.9</v>
      </c>
      <c r="CP17">
        <v>617</v>
      </c>
      <c r="CQ17">
        <v>643.5</v>
      </c>
      <c r="CR17">
        <v>659.2</v>
      </c>
      <c r="CS17">
        <v>675.3</v>
      </c>
      <c r="CT17">
        <v>673.7</v>
      </c>
      <c r="CU17">
        <v>697.8</v>
      </c>
      <c r="CV17">
        <v>695.4</v>
      </c>
      <c r="CW17">
        <v>705.4</v>
      </c>
      <c r="CX17">
        <v>724.6</v>
      </c>
      <c r="CY17">
        <v>746.8</v>
      </c>
      <c r="CZ17">
        <v>752.2</v>
      </c>
      <c r="DA17">
        <v>770</v>
      </c>
      <c r="DB17">
        <v>801.7</v>
      </c>
      <c r="DC17">
        <v>839.6</v>
      </c>
      <c r="DD17">
        <v>843.5</v>
      </c>
      <c r="DE17">
        <v>863.5</v>
      </c>
      <c r="DF17">
        <v>902.1</v>
      </c>
      <c r="DG17">
        <v>916.2</v>
      </c>
      <c r="DH17">
        <v>941.1</v>
      </c>
      <c r="DI17">
        <v>967.8</v>
      </c>
      <c r="DJ17">
        <v>996.1</v>
      </c>
      <c r="DK17">
        <v>1022.4</v>
      </c>
      <c r="DL17">
        <v>1043.2</v>
      </c>
      <c r="DM17">
        <v>1068</v>
      </c>
      <c r="DN17">
        <v>1077.9000000000001</v>
      </c>
      <c r="DO17">
        <v>1095.2</v>
      </c>
      <c r="DP17">
        <v>1120.5999999999999</v>
      </c>
      <c r="DQ17">
        <v>1154</v>
      </c>
      <c r="DR17">
        <v>1208.8</v>
      </c>
      <c r="DS17">
        <v>1230.2</v>
      </c>
      <c r="DT17">
        <v>1247.7</v>
      </c>
      <c r="DU17">
        <v>1258.7</v>
      </c>
      <c r="DV17">
        <v>1301.9000000000001</v>
      </c>
      <c r="DW17">
        <v>1308.9000000000001</v>
      </c>
      <c r="DX17">
        <v>1113.5999999999999</v>
      </c>
      <c r="DY17">
        <v>1231.8</v>
      </c>
      <c r="DZ17">
        <v>1075.2</v>
      </c>
      <c r="EA17">
        <v>1051</v>
      </c>
      <c r="EB17">
        <v>1044.0999999999999</v>
      </c>
      <c r="EC17">
        <v>1038.4000000000001</v>
      </c>
      <c r="ED17">
        <v>1021.3</v>
      </c>
      <c r="EE17">
        <v>1020.8</v>
      </c>
      <c r="EF17">
        <v>950.7</v>
      </c>
      <c r="EG17">
        <v>1021.3</v>
      </c>
      <c r="EH17">
        <v>1012.3</v>
      </c>
      <c r="EI17">
        <v>1026.8</v>
      </c>
      <c r="EJ17">
        <v>1064.4000000000001</v>
      </c>
      <c r="EK17">
        <v>1091.5999999999999</v>
      </c>
      <c r="EL17">
        <v>1172.3</v>
      </c>
      <c r="EM17">
        <v>1196.3</v>
      </c>
      <c r="EN17">
        <v>1225.5</v>
      </c>
      <c r="EO17">
        <v>1255.8</v>
      </c>
      <c r="EP17">
        <v>1320.5</v>
      </c>
      <c r="EQ17">
        <v>1351.3</v>
      </c>
      <c r="ER17">
        <v>1358.6</v>
      </c>
      <c r="ES17">
        <v>1397.5</v>
      </c>
      <c r="ET17">
        <v>1466.5</v>
      </c>
      <c r="EU17">
        <v>1495.9</v>
      </c>
      <c r="EV17">
        <v>1498.9</v>
      </c>
      <c r="EW17">
        <v>1508.6</v>
      </c>
      <c r="EX17">
        <v>1535.1</v>
      </c>
      <c r="EY17">
        <v>1552.5</v>
      </c>
      <c r="EZ17">
        <v>1497.5</v>
      </c>
      <c r="FA17">
        <v>1444.9</v>
      </c>
      <c r="FB17">
        <v>1202.4000000000001</v>
      </c>
      <c r="FC17">
        <v>1131.0999999999999</v>
      </c>
      <c r="FD17">
        <v>1135.3</v>
      </c>
      <c r="FE17">
        <v>1140.7</v>
      </c>
      <c r="FF17">
        <v>1191.8</v>
      </c>
      <c r="FG17">
        <v>1213.2</v>
      </c>
      <c r="FH17">
        <v>1256.3</v>
      </c>
      <c r="FI17">
        <v>1289.0999999999999</v>
      </c>
      <c r="FJ17">
        <v>1426.6</v>
      </c>
      <c r="FK17">
        <v>1445.9</v>
      </c>
      <c r="FL17">
        <v>1471.4</v>
      </c>
      <c r="FM17">
        <v>1470.9</v>
      </c>
      <c r="FN17">
        <v>1468.3</v>
      </c>
      <c r="FO17">
        <v>1487.7</v>
      </c>
      <c r="FP17">
        <v>1510</v>
      </c>
      <c r="FQ17">
        <v>1572</v>
      </c>
      <c r="FR17">
        <v>1650</v>
      </c>
      <c r="FS17">
        <v>1682.5</v>
      </c>
      <c r="FT17">
        <v>1674.9</v>
      </c>
      <c r="FU17">
        <v>1698.1</v>
      </c>
      <c r="FV17">
        <v>1744.8</v>
      </c>
      <c r="FW17">
        <v>1758.4</v>
      </c>
      <c r="FX17">
        <v>1798.6</v>
      </c>
      <c r="FY17">
        <v>1836.5</v>
      </c>
      <c r="FZ17">
        <v>1904.6</v>
      </c>
      <c r="GA17">
        <v>1943</v>
      </c>
      <c r="GB17">
        <v>1947.3</v>
      </c>
      <c r="GC17">
        <v>1964.9</v>
      </c>
      <c r="GD17">
        <v>1924.6</v>
      </c>
      <c r="GE17">
        <v>1943.4</v>
      </c>
      <c r="GF17">
        <v>1972</v>
      </c>
      <c r="GG17">
        <v>1992.9</v>
      </c>
      <c r="GH17">
        <v>2005</v>
      </c>
      <c r="GI17">
        <v>2007.2</v>
      </c>
      <c r="GJ17">
        <v>2056.1</v>
      </c>
      <c r="GK17">
        <v>2127.6</v>
      </c>
      <c r="GL17">
        <v>2076.1999999999998</v>
      </c>
      <c r="GM17">
        <v>2049.8000000000002</v>
      </c>
      <c r="GN17">
        <v>2091.3000000000002</v>
      </c>
      <c r="GO17">
        <v>2087.6999999999998</v>
      </c>
      <c r="GP17">
        <v>2169.3000000000002</v>
      </c>
      <c r="GQ17">
        <v>2222.8000000000002</v>
      </c>
      <c r="GR17">
        <v>2205.1999999999998</v>
      </c>
      <c r="GS17">
        <v>2223.1999999999998</v>
      </c>
      <c r="GT17">
        <v>2241.6</v>
      </c>
      <c r="GU17">
        <v>2099</v>
      </c>
      <c r="GV17">
        <v>2181.8000000000002</v>
      </c>
      <c r="GW17">
        <v>2259.8000000000002</v>
      </c>
      <c r="GX17">
        <v>2412.1</v>
      </c>
      <c r="GY17">
        <v>2514.8000000000002</v>
      </c>
      <c r="GZ17">
        <v>2592.1</v>
      </c>
    </row>
    <row r="18" spans="1:208" x14ac:dyDescent="0.35">
      <c r="A18" t="s">
        <v>941</v>
      </c>
      <c r="B18">
        <v>88.5</v>
      </c>
      <c r="C18">
        <v>90.5</v>
      </c>
      <c r="D18">
        <v>92.5</v>
      </c>
      <c r="E18">
        <v>94.1</v>
      </c>
      <c r="F18">
        <v>97.7</v>
      </c>
      <c r="G18">
        <v>98.9</v>
      </c>
      <c r="H18">
        <v>101.7</v>
      </c>
      <c r="I18">
        <v>103.7</v>
      </c>
      <c r="J18">
        <v>104.6</v>
      </c>
      <c r="K18">
        <v>106.8</v>
      </c>
      <c r="L18">
        <v>108.9</v>
      </c>
      <c r="M18">
        <v>111.5</v>
      </c>
      <c r="N18">
        <v>114.6</v>
      </c>
      <c r="O18">
        <v>116.2</v>
      </c>
      <c r="P18">
        <v>118.4</v>
      </c>
      <c r="Q18">
        <v>119.7</v>
      </c>
      <c r="R18">
        <v>120.8</v>
      </c>
      <c r="S18">
        <v>124.1</v>
      </c>
      <c r="T18">
        <v>127.1</v>
      </c>
      <c r="U18">
        <v>127.7</v>
      </c>
      <c r="V18">
        <v>128.80000000000001</v>
      </c>
      <c r="W18">
        <v>133</v>
      </c>
      <c r="X18">
        <v>138.19999999999999</v>
      </c>
      <c r="Y18">
        <v>141.1</v>
      </c>
      <c r="Z18">
        <v>141.69999999999999</v>
      </c>
      <c r="AA18">
        <v>144.9</v>
      </c>
      <c r="AB18">
        <v>147.69999999999999</v>
      </c>
      <c r="AC18">
        <v>151.30000000000001</v>
      </c>
      <c r="AD18">
        <v>154.80000000000001</v>
      </c>
      <c r="AE18">
        <v>158</v>
      </c>
      <c r="AF18">
        <v>161.5</v>
      </c>
      <c r="AG18">
        <v>164.3</v>
      </c>
      <c r="AH18">
        <v>166.9</v>
      </c>
      <c r="AI18">
        <v>173.1</v>
      </c>
      <c r="AJ18">
        <v>169.7</v>
      </c>
      <c r="AK18">
        <v>173.9</v>
      </c>
      <c r="AL18">
        <v>176.4</v>
      </c>
      <c r="AM18">
        <v>178.5</v>
      </c>
      <c r="AN18">
        <v>180.9</v>
      </c>
      <c r="AO18">
        <v>184.6</v>
      </c>
      <c r="AP18">
        <v>189.5</v>
      </c>
      <c r="AQ18">
        <v>196.9</v>
      </c>
      <c r="AR18">
        <v>204.3</v>
      </c>
      <c r="AS18">
        <v>210.6</v>
      </c>
      <c r="AT18">
        <v>230.8</v>
      </c>
      <c r="AU18">
        <v>235.5</v>
      </c>
      <c r="AV18">
        <v>237.5</v>
      </c>
      <c r="AW18">
        <v>238.8</v>
      </c>
      <c r="AX18">
        <v>237.4</v>
      </c>
      <c r="AY18">
        <v>238.3</v>
      </c>
      <c r="AZ18">
        <v>241.8</v>
      </c>
      <c r="BA18">
        <v>246.3</v>
      </c>
      <c r="BB18">
        <v>250.7</v>
      </c>
      <c r="BC18">
        <v>261.2</v>
      </c>
      <c r="BD18">
        <v>267.5</v>
      </c>
      <c r="BE18">
        <v>273.7</v>
      </c>
      <c r="BF18">
        <v>281.60000000000002</v>
      </c>
      <c r="BG18">
        <v>287.7</v>
      </c>
      <c r="BH18">
        <v>292.2</v>
      </c>
      <c r="BI18">
        <v>297.5</v>
      </c>
      <c r="BJ18">
        <v>301</v>
      </c>
      <c r="BK18">
        <v>305.7</v>
      </c>
      <c r="BL18">
        <v>311.89999999999998</v>
      </c>
      <c r="BM18">
        <v>313.89999999999998</v>
      </c>
      <c r="BN18">
        <v>317.5</v>
      </c>
      <c r="BO18">
        <v>319.5</v>
      </c>
      <c r="BP18">
        <v>326.2</v>
      </c>
      <c r="BQ18">
        <v>330.4</v>
      </c>
      <c r="BR18">
        <v>336</v>
      </c>
      <c r="BS18">
        <v>344.4</v>
      </c>
      <c r="BT18">
        <v>352.4</v>
      </c>
      <c r="BU18">
        <v>357.4</v>
      </c>
      <c r="BV18">
        <v>365.2</v>
      </c>
      <c r="BW18">
        <v>372.5</v>
      </c>
      <c r="BX18">
        <v>377.5</v>
      </c>
      <c r="BY18">
        <v>382.6</v>
      </c>
      <c r="BZ18">
        <v>391</v>
      </c>
      <c r="CA18">
        <v>397.5</v>
      </c>
      <c r="CB18">
        <v>403.9</v>
      </c>
      <c r="CC18">
        <v>403</v>
      </c>
      <c r="CD18">
        <v>419.5</v>
      </c>
      <c r="CE18">
        <v>419.5</v>
      </c>
      <c r="CF18">
        <v>426.8</v>
      </c>
      <c r="CG18">
        <v>434.2</v>
      </c>
      <c r="CH18">
        <v>444</v>
      </c>
      <c r="CI18">
        <v>451.6</v>
      </c>
      <c r="CJ18">
        <v>461.3</v>
      </c>
      <c r="CK18">
        <v>471.5</v>
      </c>
      <c r="CL18">
        <v>476.4</v>
      </c>
      <c r="CM18">
        <v>481.2</v>
      </c>
      <c r="CN18">
        <v>486</v>
      </c>
      <c r="CO18">
        <v>489.9</v>
      </c>
      <c r="CP18">
        <v>489.7</v>
      </c>
      <c r="CQ18">
        <v>497.6</v>
      </c>
      <c r="CR18">
        <v>504.9</v>
      </c>
      <c r="CS18">
        <v>520.29999999999995</v>
      </c>
      <c r="CT18">
        <v>531.5</v>
      </c>
      <c r="CU18">
        <v>544.4</v>
      </c>
      <c r="CV18">
        <v>550.5</v>
      </c>
      <c r="CW18">
        <v>554.6</v>
      </c>
      <c r="CX18">
        <v>555.29999999999995</v>
      </c>
      <c r="CY18">
        <v>553.6</v>
      </c>
      <c r="CZ18">
        <v>558.9</v>
      </c>
      <c r="DA18">
        <v>563.79999999999995</v>
      </c>
      <c r="DB18">
        <v>570.4</v>
      </c>
      <c r="DC18">
        <v>577.70000000000005</v>
      </c>
      <c r="DD18">
        <v>581.79999999999995</v>
      </c>
      <c r="DE18">
        <v>593.20000000000005</v>
      </c>
      <c r="DF18">
        <v>595.70000000000005</v>
      </c>
      <c r="DG18">
        <v>610.4</v>
      </c>
      <c r="DH18">
        <v>616.6</v>
      </c>
      <c r="DI18">
        <v>623.79999999999995</v>
      </c>
      <c r="DJ18">
        <v>629.1</v>
      </c>
      <c r="DK18">
        <v>635.5</v>
      </c>
      <c r="DL18">
        <v>643</v>
      </c>
      <c r="DM18">
        <v>650.29999999999995</v>
      </c>
      <c r="DN18">
        <v>657.5</v>
      </c>
      <c r="DO18">
        <v>667.1</v>
      </c>
      <c r="DP18">
        <v>679</v>
      </c>
      <c r="DQ18">
        <v>690.7</v>
      </c>
      <c r="DR18">
        <v>698.6</v>
      </c>
      <c r="DS18">
        <v>707.3</v>
      </c>
      <c r="DT18">
        <v>711.3</v>
      </c>
      <c r="DU18">
        <v>717.1</v>
      </c>
      <c r="DV18">
        <v>724.2</v>
      </c>
      <c r="DW18">
        <v>724.1</v>
      </c>
      <c r="DX18">
        <v>725.3</v>
      </c>
      <c r="DY18">
        <v>737.1</v>
      </c>
      <c r="DZ18">
        <v>744</v>
      </c>
      <c r="EA18">
        <v>751.3</v>
      </c>
      <c r="EB18">
        <v>768.5</v>
      </c>
      <c r="EC18">
        <v>776.3</v>
      </c>
      <c r="ED18">
        <v>788.6</v>
      </c>
      <c r="EE18">
        <v>800</v>
      </c>
      <c r="EF18">
        <v>813</v>
      </c>
      <c r="EG18">
        <v>820.9</v>
      </c>
      <c r="EH18">
        <v>847.3</v>
      </c>
      <c r="EI18">
        <v>859.9</v>
      </c>
      <c r="EJ18">
        <v>871.3</v>
      </c>
      <c r="EK18">
        <v>893.8</v>
      </c>
      <c r="EL18">
        <v>915.1</v>
      </c>
      <c r="EM18">
        <v>937.3</v>
      </c>
      <c r="EN18">
        <v>952.1</v>
      </c>
      <c r="EO18">
        <v>965.3</v>
      </c>
      <c r="EP18">
        <v>981.8</v>
      </c>
      <c r="EQ18">
        <v>991.7</v>
      </c>
      <c r="ER18">
        <v>1004.1</v>
      </c>
      <c r="ES18">
        <v>1010.5</v>
      </c>
      <c r="ET18">
        <v>1025.9000000000001</v>
      </c>
      <c r="EU18">
        <v>1033.0999999999999</v>
      </c>
      <c r="EV18">
        <v>1035.8</v>
      </c>
      <c r="EW18">
        <v>1052.5999999999999</v>
      </c>
      <c r="EX18">
        <v>1045.7</v>
      </c>
      <c r="EY18">
        <v>1054.7</v>
      </c>
      <c r="EZ18">
        <v>1058.5</v>
      </c>
      <c r="FA18">
        <v>1040</v>
      </c>
      <c r="FB18">
        <v>1015.9</v>
      </c>
      <c r="FC18">
        <v>1017.3</v>
      </c>
      <c r="FD18">
        <v>1028.8</v>
      </c>
      <c r="FE18">
        <v>1045.3</v>
      </c>
      <c r="FF18">
        <v>1044.5999999999999</v>
      </c>
      <c r="FG18">
        <v>1062.0999999999999</v>
      </c>
      <c r="FH18">
        <v>1069.0999999999999</v>
      </c>
      <c r="FI18">
        <v>1076.4000000000001</v>
      </c>
      <c r="FJ18">
        <v>1091.5</v>
      </c>
      <c r="FK18">
        <v>1105.5</v>
      </c>
      <c r="FL18">
        <v>1103.9000000000001</v>
      </c>
      <c r="FM18">
        <v>1114</v>
      </c>
      <c r="FN18">
        <v>1130.9000000000001</v>
      </c>
      <c r="FO18">
        <v>1133.9000000000001</v>
      </c>
      <c r="FP18">
        <v>1131.3</v>
      </c>
      <c r="FQ18">
        <v>1148.4000000000001</v>
      </c>
      <c r="FR18">
        <v>1174.5999999999999</v>
      </c>
      <c r="FS18">
        <v>1180.8</v>
      </c>
      <c r="FT18">
        <v>1195</v>
      </c>
      <c r="FU18">
        <v>1204.0999999999999</v>
      </c>
      <c r="FV18">
        <v>1220.5</v>
      </c>
      <c r="FW18">
        <v>1237.5</v>
      </c>
      <c r="FX18">
        <v>1248.4000000000001</v>
      </c>
      <c r="FY18">
        <v>1257</v>
      </c>
      <c r="FZ18">
        <v>1262.2</v>
      </c>
      <c r="GA18">
        <v>1273.0999999999999</v>
      </c>
      <c r="GB18">
        <v>1275.5</v>
      </c>
      <c r="GC18">
        <v>1289.9000000000001</v>
      </c>
      <c r="GD18">
        <v>1295.9000000000001</v>
      </c>
      <c r="GE18">
        <v>1301</v>
      </c>
      <c r="GF18">
        <v>1320.8</v>
      </c>
      <c r="GG18">
        <v>1328.9</v>
      </c>
      <c r="GH18">
        <v>1339.4</v>
      </c>
      <c r="GI18">
        <v>1359.4</v>
      </c>
      <c r="GJ18">
        <v>1372.1</v>
      </c>
      <c r="GK18">
        <v>1394.4</v>
      </c>
      <c r="GL18">
        <v>1427.2</v>
      </c>
      <c r="GM18">
        <v>1448.6</v>
      </c>
      <c r="GN18">
        <v>1468.9</v>
      </c>
      <c r="GO18">
        <v>1502.2</v>
      </c>
      <c r="GP18">
        <v>1504.8</v>
      </c>
      <c r="GQ18">
        <v>1520.9</v>
      </c>
      <c r="GR18">
        <v>1547.4</v>
      </c>
      <c r="GS18">
        <v>1556.3</v>
      </c>
      <c r="GT18">
        <v>1577.1</v>
      </c>
      <c r="GU18">
        <v>1460.5</v>
      </c>
      <c r="GV18">
        <v>1544</v>
      </c>
      <c r="GW18">
        <v>1557</v>
      </c>
      <c r="GX18">
        <v>1580.1</v>
      </c>
      <c r="GY18">
        <v>1636.3</v>
      </c>
      <c r="GZ18">
        <v>1658.9</v>
      </c>
    </row>
    <row r="19" spans="1:208" x14ac:dyDescent="0.35">
      <c r="A19" t="s">
        <v>942</v>
      </c>
      <c r="B19">
        <v>30.7</v>
      </c>
      <c r="C19">
        <v>30.8</v>
      </c>
      <c r="D19">
        <v>31.7</v>
      </c>
      <c r="E19">
        <v>30.2</v>
      </c>
      <c r="F19">
        <v>34</v>
      </c>
      <c r="G19">
        <v>34.9</v>
      </c>
      <c r="H19">
        <v>34.1</v>
      </c>
      <c r="I19">
        <v>34.6</v>
      </c>
      <c r="J19">
        <v>36.799999999999997</v>
      </c>
      <c r="K19">
        <v>37.1</v>
      </c>
      <c r="L19">
        <v>38.299999999999997</v>
      </c>
      <c r="M19">
        <v>42.4</v>
      </c>
      <c r="N19">
        <v>45.3</v>
      </c>
      <c r="O19">
        <v>45.4</v>
      </c>
      <c r="P19">
        <v>43.4</v>
      </c>
      <c r="Q19">
        <v>45.6</v>
      </c>
      <c r="R19">
        <v>43.7</v>
      </c>
      <c r="S19">
        <v>45.9</v>
      </c>
      <c r="T19">
        <v>50.8</v>
      </c>
      <c r="U19">
        <v>44.6</v>
      </c>
      <c r="V19">
        <v>37.6</v>
      </c>
      <c r="W19">
        <v>40.799999999999997</v>
      </c>
      <c r="X19">
        <v>51.4</v>
      </c>
      <c r="Y19">
        <v>52.3</v>
      </c>
      <c r="Z19">
        <v>59.6</v>
      </c>
      <c r="AA19">
        <v>58.6</v>
      </c>
      <c r="AB19">
        <v>58.1</v>
      </c>
      <c r="AC19">
        <v>57.1</v>
      </c>
      <c r="AD19">
        <v>61.5</v>
      </c>
      <c r="AE19">
        <v>67.099999999999994</v>
      </c>
      <c r="AF19">
        <v>69.7</v>
      </c>
      <c r="AG19">
        <v>70.099999999999994</v>
      </c>
      <c r="AH19">
        <v>65</v>
      </c>
      <c r="AI19">
        <v>78.599999999999994</v>
      </c>
      <c r="AJ19">
        <v>79.099999999999994</v>
      </c>
      <c r="AK19">
        <v>83.3</v>
      </c>
      <c r="AL19">
        <v>80.3</v>
      </c>
      <c r="AM19">
        <v>80.3</v>
      </c>
      <c r="AN19">
        <v>78.900000000000006</v>
      </c>
      <c r="AO19">
        <v>75.3</v>
      </c>
      <c r="AP19">
        <v>83.1</v>
      </c>
      <c r="AQ19">
        <v>62.6</v>
      </c>
      <c r="AR19">
        <v>69.900000000000006</v>
      </c>
      <c r="AS19">
        <v>76.8</v>
      </c>
      <c r="AT19">
        <v>75.400000000000006</v>
      </c>
      <c r="AU19">
        <v>65.900000000000006</v>
      </c>
      <c r="AV19">
        <v>68.400000000000006</v>
      </c>
      <c r="AW19">
        <v>58.9</v>
      </c>
      <c r="AX19">
        <v>47.6</v>
      </c>
      <c r="AY19">
        <v>49</v>
      </c>
      <c r="AZ19">
        <v>49.8</v>
      </c>
      <c r="BA19">
        <v>45.1</v>
      </c>
      <c r="BB19">
        <v>47.1</v>
      </c>
      <c r="BC19">
        <v>61.9</v>
      </c>
      <c r="BD19">
        <v>70.7</v>
      </c>
      <c r="BE19">
        <v>72.400000000000006</v>
      </c>
      <c r="BF19">
        <v>84.9</v>
      </c>
      <c r="BG19">
        <v>83.7</v>
      </c>
      <c r="BH19">
        <v>71.3</v>
      </c>
      <c r="BI19">
        <v>72.099999999999994</v>
      </c>
      <c r="BJ19">
        <v>77.7</v>
      </c>
      <c r="BK19">
        <v>76</v>
      </c>
      <c r="BL19">
        <v>81.7</v>
      </c>
      <c r="BM19">
        <v>79.5</v>
      </c>
      <c r="BN19">
        <v>84.4</v>
      </c>
      <c r="BO19">
        <v>85.5</v>
      </c>
      <c r="BP19">
        <v>86.9</v>
      </c>
      <c r="BQ19">
        <v>97.9</v>
      </c>
      <c r="BR19">
        <v>98.7</v>
      </c>
      <c r="BS19">
        <v>111.8</v>
      </c>
      <c r="BT19">
        <v>116.2</v>
      </c>
      <c r="BU19">
        <v>110.7</v>
      </c>
      <c r="BV19">
        <v>108</v>
      </c>
      <c r="BW19">
        <v>115.3</v>
      </c>
      <c r="BX19">
        <v>125.1</v>
      </c>
      <c r="BY19">
        <v>130.9</v>
      </c>
      <c r="BZ19">
        <v>132.69999999999999</v>
      </c>
      <c r="CA19">
        <v>118.7</v>
      </c>
      <c r="CB19">
        <v>114.4</v>
      </c>
      <c r="CC19">
        <v>113.5</v>
      </c>
      <c r="CD19">
        <v>112.5</v>
      </c>
      <c r="CE19">
        <v>116.8</v>
      </c>
      <c r="CF19">
        <v>119.9</v>
      </c>
      <c r="CG19">
        <v>118.8</v>
      </c>
      <c r="CH19">
        <v>115.3</v>
      </c>
      <c r="CI19">
        <v>110.9</v>
      </c>
      <c r="CJ19">
        <v>111.9</v>
      </c>
      <c r="CK19">
        <v>113.1</v>
      </c>
      <c r="CL19">
        <v>125</v>
      </c>
      <c r="CM19">
        <v>126.8</v>
      </c>
      <c r="CN19">
        <v>122.1</v>
      </c>
      <c r="CO19">
        <v>131.6</v>
      </c>
      <c r="CP19">
        <v>136.4</v>
      </c>
      <c r="CQ19">
        <v>148.69999999999999</v>
      </c>
      <c r="CR19">
        <v>140.69999999999999</v>
      </c>
      <c r="CS19">
        <v>171.9</v>
      </c>
      <c r="CT19">
        <v>149.5</v>
      </c>
      <c r="CU19">
        <v>158</v>
      </c>
      <c r="CV19">
        <v>173.8</v>
      </c>
      <c r="CW19">
        <v>183.6</v>
      </c>
      <c r="CX19">
        <v>187.8</v>
      </c>
      <c r="CY19">
        <v>184.4</v>
      </c>
      <c r="CZ19">
        <v>191</v>
      </c>
      <c r="DA19">
        <v>187.1</v>
      </c>
      <c r="DB19">
        <v>194.3</v>
      </c>
      <c r="DC19">
        <v>205.5</v>
      </c>
      <c r="DD19">
        <v>205.9</v>
      </c>
      <c r="DE19">
        <v>208.6</v>
      </c>
      <c r="DF19">
        <v>210</v>
      </c>
      <c r="DG19">
        <v>214</v>
      </c>
      <c r="DH19">
        <v>226</v>
      </c>
      <c r="DI19">
        <v>215.9</v>
      </c>
      <c r="DJ19">
        <v>213.5</v>
      </c>
      <c r="DK19">
        <v>209.9</v>
      </c>
      <c r="DL19">
        <v>215.8</v>
      </c>
      <c r="DM19">
        <v>211.3</v>
      </c>
      <c r="DN19">
        <v>222.3</v>
      </c>
      <c r="DO19">
        <v>219.9</v>
      </c>
      <c r="DP19">
        <v>223.3</v>
      </c>
      <c r="DQ19">
        <v>228</v>
      </c>
      <c r="DR19">
        <v>239.4</v>
      </c>
      <c r="DS19">
        <v>237.6</v>
      </c>
      <c r="DT19">
        <v>219</v>
      </c>
      <c r="DU19">
        <v>221.3</v>
      </c>
      <c r="DV19">
        <v>185.1</v>
      </c>
      <c r="DW19">
        <v>179</v>
      </c>
      <c r="DX19">
        <v>159.30000000000001</v>
      </c>
      <c r="DY19">
        <v>142.4</v>
      </c>
      <c r="DZ19">
        <v>143.80000000000001</v>
      </c>
      <c r="EA19">
        <v>150</v>
      </c>
      <c r="EB19">
        <v>158</v>
      </c>
      <c r="EC19">
        <v>175.5</v>
      </c>
      <c r="ED19">
        <v>196.1</v>
      </c>
      <c r="EE19">
        <v>192.6</v>
      </c>
      <c r="EF19">
        <v>213.9</v>
      </c>
      <c r="EG19">
        <v>236.6</v>
      </c>
      <c r="EH19">
        <v>247</v>
      </c>
      <c r="EI19">
        <v>266.8</v>
      </c>
      <c r="EJ19">
        <v>288.3</v>
      </c>
      <c r="EK19">
        <v>293.60000000000002</v>
      </c>
      <c r="EL19">
        <v>370.6</v>
      </c>
      <c r="EM19">
        <v>359</v>
      </c>
      <c r="EN19">
        <v>365.2</v>
      </c>
      <c r="EO19">
        <v>402.9</v>
      </c>
      <c r="EP19">
        <v>416.9</v>
      </c>
      <c r="EQ19">
        <v>427.6</v>
      </c>
      <c r="ER19">
        <v>446.6</v>
      </c>
      <c r="ES19">
        <v>409.8</v>
      </c>
      <c r="ET19">
        <v>413.6</v>
      </c>
      <c r="EU19">
        <v>407.2</v>
      </c>
      <c r="EV19">
        <v>370.9</v>
      </c>
      <c r="EW19">
        <v>352.7</v>
      </c>
      <c r="EX19">
        <v>291.89999999999998</v>
      </c>
      <c r="EY19">
        <v>278.7</v>
      </c>
      <c r="EZ19">
        <v>264.39999999999998</v>
      </c>
      <c r="FA19">
        <v>162.6</v>
      </c>
      <c r="FB19">
        <v>166.5</v>
      </c>
      <c r="FC19">
        <v>188.6</v>
      </c>
      <c r="FD19">
        <v>200.7</v>
      </c>
      <c r="FE19">
        <v>234.2</v>
      </c>
      <c r="FF19">
        <v>249.8</v>
      </c>
      <c r="FG19">
        <v>255.6</v>
      </c>
      <c r="FH19">
        <v>272.60000000000002</v>
      </c>
      <c r="FI19">
        <v>284</v>
      </c>
      <c r="FJ19">
        <v>277.3</v>
      </c>
      <c r="FK19">
        <v>276.89999999999998</v>
      </c>
      <c r="FL19">
        <v>248.2</v>
      </c>
      <c r="FM19">
        <v>287</v>
      </c>
      <c r="FN19">
        <v>310.7</v>
      </c>
      <c r="FO19">
        <v>325</v>
      </c>
      <c r="FP19">
        <v>332.9</v>
      </c>
      <c r="FQ19">
        <v>332.8</v>
      </c>
      <c r="FR19">
        <v>350.8</v>
      </c>
      <c r="FS19">
        <v>347.3</v>
      </c>
      <c r="FT19">
        <v>354.3</v>
      </c>
      <c r="FU19">
        <v>356.9</v>
      </c>
      <c r="FV19">
        <v>392.8</v>
      </c>
      <c r="FW19">
        <v>415.1</v>
      </c>
      <c r="FX19">
        <v>387.1</v>
      </c>
      <c r="FY19">
        <v>389.8</v>
      </c>
      <c r="FZ19">
        <v>403.5</v>
      </c>
      <c r="GA19">
        <v>408.5</v>
      </c>
      <c r="GB19">
        <v>379.6</v>
      </c>
      <c r="GC19">
        <v>349.7</v>
      </c>
      <c r="GD19">
        <v>364.6</v>
      </c>
      <c r="GE19">
        <v>367.7</v>
      </c>
      <c r="GF19">
        <v>374.8</v>
      </c>
      <c r="GG19">
        <v>353.8</v>
      </c>
      <c r="GH19">
        <v>288.60000000000002</v>
      </c>
      <c r="GI19">
        <v>295.2</v>
      </c>
      <c r="GJ19">
        <v>309.8</v>
      </c>
      <c r="GK19">
        <v>306.39999999999998</v>
      </c>
      <c r="GL19">
        <v>244.8</v>
      </c>
      <c r="GM19">
        <v>270.5</v>
      </c>
      <c r="GN19">
        <v>275</v>
      </c>
      <c r="GO19">
        <v>286.8</v>
      </c>
      <c r="GP19">
        <v>284.39999999999998</v>
      </c>
      <c r="GQ19">
        <v>291.7</v>
      </c>
      <c r="GR19">
        <v>279.60000000000002</v>
      </c>
      <c r="GS19">
        <v>303.89999999999998</v>
      </c>
      <c r="GT19">
        <v>233.3</v>
      </c>
      <c r="GU19">
        <v>229.3</v>
      </c>
      <c r="GV19">
        <v>288.5</v>
      </c>
      <c r="GW19">
        <v>304</v>
      </c>
      <c r="GX19">
        <v>331.9</v>
      </c>
      <c r="GY19">
        <v>366.9</v>
      </c>
      <c r="GZ19">
        <v>334.26666666666699</v>
      </c>
    </row>
    <row r="20" spans="1:208" x14ac:dyDescent="0.35">
      <c r="A20" t="s">
        <v>943</v>
      </c>
      <c r="B20">
        <v>247.9</v>
      </c>
      <c r="C20">
        <v>249.1</v>
      </c>
      <c r="D20">
        <v>254.6</v>
      </c>
      <c r="E20">
        <v>258.7</v>
      </c>
      <c r="F20">
        <v>261.89999999999998</v>
      </c>
      <c r="G20">
        <v>266.10000000000002</v>
      </c>
      <c r="H20">
        <v>269.8</v>
      </c>
      <c r="I20">
        <v>272.10000000000002</v>
      </c>
      <c r="J20">
        <v>282.2</v>
      </c>
      <c r="K20">
        <v>286.5</v>
      </c>
      <c r="L20">
        <v>284.3</v>
      </c>
      <c r="M20">
        <v>291.7</v>
      </c>
      <c r="N20">
        <v>299.60000000000002</v>
      </c>
      <c r="O20">
        <v>302.7</v>
      </c>
      <c r="P20">
        <v>304.2</v>
      </c>
      <c r="Q20">
        <v>312.60000000000002</v>
      </c>
      <c r="R20">
        <v>324.60000000000002</v>
      </c>
      <c r="S20">
        <v>335</v>
      </c>
      <c r="T20">
        <v>346.7</v>
      </c>
      <c r="U20">
        <v>359.2</v>
      </c>
      <c r="V20">
        <v>370.1</v>
      </c>
      <c r="W20">
        <v>373.4</v>
      </c>
      <c r="X20">
        <v>385.4</v>
      </c>
      <c r="Y20">
        <v>395.6</v>
      </c>
      <c r="Z20">
        <v>401.3</v>
      </c>
      <c r="AA20">
        <v>401</v>
      </c>
      <c r="AB20">
        <v>403.5</v>
      </c>
      <c r="AC20">
        <v>410.8</v>
      </c>
      <c r="AD20">
        <v>421.2</v>
      </c>
      <c r="AE20">
        <v>431.4</v>
      </c>
      <c r="AF20">
        <v>438</v>
      </c>
      <c r="AG20">
        <v>446.7</v>
      </c>
      <c r="AH20">
        <v>452.6</v>
      </c>
      <c r="AI20">
        <v>472.3</v>
      </c>
      <c r="AJ20">
        <v>484.2</v>
      </c>
      <c r="AK20">
        <v>496.2</v>
      </c>
      <c r="AL20">
        <v>501.8</v>
      </c>
      <c r="AM20">
        <v>516.5</v>
      </c>
      <c r="AN20">
        <v>533.1</v>
      </c>
      <c r="AO20">
        <v>547.79999999999995</v>
      </c>
      <c r="AP20">
        <v>568.79999999999995</v>
      </c>
      <c r="AQ20">
        <v>588.5</v>
      </c>
      <c r="AR20">
        <v>592.20000000000005</v>
      </c>
      <c r="AS20">
        <v>608.9</v>
      </c>
      <c r="AT20">
        <v>633.4</v>
      </c>
      <c r="AU20">
        <v>648.70000000000005</v>
      </c>
      <c r="AV20">
        <v>657.8</v>
      </c>
      <c r="AW20">
        <v>677.7</v>
      </c>
      <c r="AX20">
        <v>688.1</v>
      </c>
      <c r="AY20">
        <v>703.1</v>
      </c>
      <c r="AZ20">
        <v>717.3</v>
      </c>
      <c r="BA20">
        <v>737.4</v>
      </c>
      <c r="BB20">
        <v>747.9</v>
      </c>
      <c r="BC20">
        <v>761.1</v>
      </c>
      <c r="BD20">
        <v>782.2</v>
      </c>
      <c r="BE20">
        <v>775.1</v>
      </c>
      <c r="BF20">
        <v>794</v>
      </c>
      <c r="BG20">
        <v>819.1</v>
      </c>
      <c r="BH20">
        <v>835.7</v>
      </c>
      <c r="BI20">
        <v>862.8</v>
      </c>
      <c r="BJ20">
        <v>875.6</v>
      </c>
      <c r="BK20">
        <v>900.5</v>
      </c>
      <c r="BL20">
        <v>927.4</v>
      </c>
      <c r="BM20">
        <v>938.6</v>
      </c>
      <c r="BN20">
        <v>946.8</v>
      </c>
      <c r="BO20">
        <v>967.5</v>
      </c>
      <c r="BP20">
        <v>993.6</v>
      </c>
      <c r="BQ20">
        <v>996.4</v>
      </c>
      <c r="BR20">
        <v>1008.7</v>
      </c>
      <c r="BS20">
        <v>1025.2</v>
      </c>
      <c r="BT20">
        <v>1036.2</v>
      </c>
      <c r="BU20">
        <v>1056</v>
      </c>
      <c r="BV20">
        <v>1056.9000000000001</v>
      </c>
      <c r="BW20">
        <v>1070.4000000000001</v>
      </c>
      <c r="BX20">
        <v>1078.2</v>
      </c>
      <c r="BY20">
        <v>1109.9000000000001</v>
      </c>
      <c r="BZ20">
        <v>1116.5999999999999</v>
      </c>
      <c r="CA20">
        <v>1145.8</v>
      </c>
      <c r="CB20">
        <v>1164.5999999999999</v>
      </c>
      <c r="CC20">
        <v>1180.5</v>
      </c>
      <c r="CD20">
        <v>1212.5</v>
      </c>
      <c r="CE20">
        <v>1230.7</v>
      </c>
      <c r="CF20">
        <v>1242.5999999999999</v>
      </c>
      <c r="CG20">
        <v>1268.5</v>
      </c>
      <c r="CH20">
        <v>1284.2</v>
      </c>
      <c r="CI20">
        <v>1296.5999999999999</v>
      </c>
      <c r="CJ20">
        <v>1306.3</v>
      </c>
      <c r="CK20">
        <v>1308.8</v>
      </c>
      <c r="CL20">
        <v>1326.4</v>
      </c>
      <c r="CM20">
        <v>1334.8</v>
      </c>
      <c r="CN20">
        <v>1354</v>
      </c>
      <c r="CO20">
        <v>1362.8</v>
      </c>
      <c r="CP20">
        <v>1351.8</v>
      </c>
      <c r="CQ20">
        <v>1359.1</v>
      </c>
      <c r="CR20">
        <v>1367.4</v>
      </c>
      <c r="CS20">
        <v>1381.4</v>
      </c>
      <c r="CT20">
        <v>1373.4</v>
      </c>
      <c r="CU20">
        <v>1389.4</v>
      </c>
      <c r="CV20">
        <v>1423.4</v>
      </c>
      <c r="CW20">
        <v>1422.9</v>
      </c>
      <c r="CX20">
        <v>1437.6</v>
      </c>
      <c r="CY20">
        <v>1452.9</v>
      </c>
      <c r="CZ20">
        <v>1455.7</v>
      </c>
      <c r="DA20">
        <v>1451.6</v>
      </c>
      <c r="DB20">
        <v>1471.3</v>
      </c>
      <c r="DC20">
        <v>1487.7</v>
      </c>
      <c r="DD20">
        <v>1496.7</v>
      </c>
      <c r="DE20">
        <v>1515.7</v>
      </c>
      <c r="DF20">
        <v>1516</v>
      </c>
      <c r="DG20">
        <v>1542.5</v>
      </c>
      <c r="DH20">
        <v>1555.2</v>
      </c>
      <c r="DI20">
        <v>1574.8</v>
      </c>
      <c r="DJ20">
        <v>1568</v>
      </c>
      <c r="DK20">
        <v>1603.7</v>
      </c>
      <c r="DL20">
        <v>1627.3</v>
      </c>
      <c r="DM20">
        <v>1647.5</v>
      </c>
      <c r="DN20">
        <v>1669.1</v>
      </c>
      <c r="DO20">
        <v>1694.8</v>
      </c>
      <c r="DP20">
        <v>1734</v>
      </c>
      <c r="DQ20">
        <v>1781.7</v>
      </c>
      <c r="DR20">
        <v>1789.9</v>
      </c>
      <c r="DS20">
        <v>1822.5</v>
      </c>
      <c r="DT20">
        <v>1832.1</v>
      </c>
      <c r="DU20">
        <v>1861.3</v>
      </c>
      <c r="DV20">
        <v>1906.3</v>
      </c>
      <c r="DW20">
        <v>1947.7</v>
      </c>
      <c r="DX20">
        <v>1953.4</v>
      </c>
      <c r="DY20">
        <v>1992.7</v>
      </c>
      <c r="DZ20">
        <v>2040</v>
      </c>
      <c r="EA20">
        <v>2074.5</v>
      </c>
      <c r="EB20">
        <v>2101.3000000000002</v>
      </c>
      <c r="EC20">
        <v>2142.1999999999998</v>
      </c>
      <c r="ED20">
        <v>2172</v>
      </c>
      <c r="EE20">
        <v>2198.8000000000002</v>
      </c>
      <c r="EF20">
        <v>2220.4</v>
      </c>
      <c r="EG20">
        <v>2251.1999999999998</v>
      </c>
      <c r="EH20">
        <v>2286.6</v>
      </c>
      <c r="EI20">
        <v>2320.6999999999998</v>
      </c>
      <c r="EJ20">
        <v>2356.4</v>
      </c>
      <c r="EK20">
        <v>2388.8000000000002</v>
      </c>
      <c r="EL20">
        <v>2426.1</v>
      </c>
      <c r="EM20">
        <v>2452.1999999999998</v>
      </c>
      <c r="EN20">
        <v>2494.4</v>
      </c>
      <c r="EO20">
        <v>2528.4</v>
      </c>
      <c r="EP20">
        <v>2580.1</v>
      </c>
      <c r="EQ20">
        <v>2610.6</v>
      </c>
      <c r="ER20">
        <v>2630.3</v>
      </c>
      <c r="ES20">
        <v>2674.5</v>
      </c>
      <c r="ET20">
        <v>2718.5</v>
      </c>
      <c r="EU20">
        <v>2770</v>
      </c>
      <c r="EV20">
        <v>2808.7</v>
      </c>
      <c r="EW20">
        <v>2865.1</v>
      </c>
      <c r="EX20">
        <v>2909.6</v>
      </c>
      <c r="EY20">
        <v>2971.6</v>
      </c>
      <c r="EZ20">
        <v>3029</v>
      </c>
      <c r="FA20">
        <v>3021.8</v>
      </c>
      <c r="FB20">
        <v>3022</v>
      </c>
      <c r="FC20">
        <v>3070.5</v>
      </c>
      <c r="FD20">
        <v>3092.1</v>
      </c>
      <c r="FE20">
        <v>3120.8</v>
      </c>
      <c r="FF20">
        <v>3133.8</v>
      </c>
      <c r="FG20">
        <v>3165.8</v>
      </c>
      <c r="FH20">
        <v>3158.3</v>
      </c>
      <c r="FI20">
        <v>3164.3</v>
      </c>
      <c r="FJ20">
        <v>3155.8</v>
      </c>
      <c r="FK20">
        <v>3168.3</v>
      </c>
      <c r="FL20">
        <v>3136.9</v>
      </c>
      <c r="FM20">
        <v>3130.8</v>
      </c>
      <c r="FN20">
        <v>3144</v>
      </c>
      <c r="FO20">
        <v>3130.5</v>
      </c>
      <c r="FP20">
        <v>3139.1</v>
      </c>
      <c r="FQ20">
        <v>3132.3</v>
      </c>
      <c r="FR20">
        <v>3125.4</v>
      </c>
      <c r="FS20">
        <v>3132.6</v>
      </c>
      <c r="FT20">
        <v>3134.8</v>
      </c>
      <c r="FU20">
        <v>3139.3</v>
      </c>
      <c r="FV20">
        <v>3138.2</v>
      </c>
      <c r="FW20">
        <v>3154.1</v>
      </c>
      <c r="FX20">
        <v>3191.8</v>
      </c>
      <c r="FY20">
        <v>3191.2</v>
      </c>
      <c r="FZ20">
        <v>3189.3</v>
      </c>
      <c r="GA20">
        <v>3232</v>
      </c>
      <c r="GB20">
        <v>3250.6</v>
      </c>
      <c r="GC20">
        <v>3254.5</v>
      </c>
      <c r="GD20">
        <v>3270.2</v>
      </c>
      <c r="GE20">
        <v>3287.4</v>
      </c>
      <c r="GF20">
        <v>3315.8</v>
      </c>
      <c r="GG20">
        <v>3338.8</v>
      </c>
      <c r="GH20">
        <v>3357.3</v>
      </c>
      <c r="GI20">
        <v>3378.2</v>
      </c>
      <c r="GJ20">
        <v>3400.8</v>
      </c>
      <c r="GK20">
        <v>3459.9</v>
      </c>
      <c r="GL20">
        <v>3505.5</v>
      </c>
      <c r="GM20">
        <v>3564.3</v>
      </c>
      <c r="GN20">
        <v>3600.9</v>
      </c>
      <c r="GO20">
        <v>3617.4</v>
      </c>
      <c r="GP20">
        <v>3650.5</v>
      </c>
      <c r="GQ20">
        <v>3702.9</v>
      </c>
      <c r="GR20">
        <v>3731.3</v>
      </c>
      <c r="GS20">
        <v>3771</v>
      </c>
      <c r="GT20">
        <v>3831.6</v>
      </c>
      <c r="GU20">
        <v>3859.6</v>
      </c>
      <c r="GV20">
        <v>3861.7</v>
      </c>
      <c r="GW20">
        <v>3885.3</v>
      </c>
      <c r="GX20">
        <v>3977.3</v>
      </c>
      <c r="GY20">
        <v>4015.9</v>
      </c>
      <c r="GZ20">
        <v>4077</v>
      </c>
    </row>
    <row r="21" spans="1:208" x14ac:dyDescent="0.35">
      <c r="A21" t="s">
        <v>944</v>
      </c>
      <c r="B21">
        <v>46.2</v>
      </c>
      <c r="C21">
        <v>46.5</v>
      </c>
      <c r="D21">
        <v>46.9</v>
      </c>
      <c r="E21">
        <v>46.7</v>
      </c>
      <c r="F21">
        <v>50.8</v>
      </c>
      <c r="G21">
        <v>51.4</v>
      </c>
      <c r="H21">
        <v>51.6</v>
      </c>
      <c r="I21">
        <v>52.2</v>
      </c>
      <c r="J21">
        <v>58.5</v>
      </c>
      <c r="K21">
        <v>59.2</v>
      </c>
      <c r="L21">
        <v>59.9</v>
      </c>
      <c r="M21">
        <v>60.8</v>
      </c>
      <c r="N21">
        <v>74.099999999999994</v>
      </c>
      <c r="O21">
        <v>75.3</v>
      </c>
      <c r="P21">
        <v>76.599999999999994</v>
      </c>
      <c r="Q21">
        <v>78.099999999999994</v>
      </c>
      <c r="R21">
        <v>83.7</v>
      </c>
      <c r="S21">
        <v>85.3</v>
      </c>
      <c r="T21">
        <v>86.9</v>
      </c>
      <c r="U21">
        <v>87.1</v>
      </c>
      <c r="V21">
        <v>88.2</v>
      </c>
      <c r="W21">
        <v>88.6</v>
      </c>
      <c r="X21">
        <v>90.3</v>
      </c>
      <c r="Y21">
        <v>92.4</v>
      </c>
      <c r="Z21">
        <v>99.6</v>
      </c>
      <c r="AA21">
        <v>101.1</v>
      </c>
      <c r="AB21">
        <v>102.8</v>
      </c>
      <c r="AC21">
        <v>104.4</v>
      </c>
      <c r="AD21">
        <v>110</v>
      </c>
      <c r="AE21">
        <v>112.8</v>
      </c>
      <c r="AF21">
        <v>115.1</v>
      </c>
      <c r="AG21">
        <v>117.5</v>
      </c>
      <c r="AH21">
        <v>124.7</v>
      </c>
      <c r="AI21">
        <v>129.9</v>
      </c>
      <c r="AJ21">
        <v>134.19999999999999</v>
      </c>
      <c r="AK21">
        <v>139.6</v>
      </c>
      <c r="AL21">
        <v>146.9</v>
      </c>
      <c r="AM21">
        <v>151.19999999999999</v>
      </c>
      <c r="AN21">
        <v>156.30000000000001</v>
      </c>
      <c r="AO21">
        <v>160.30000000000001</v>
      </c>
      <c r="AP21">
        <v>162.9</v>
      </c>
      <c r="AQ21">
        <v>163.9</v>
      </c>
      <c r="AR21">
        <v>168</v>
      </c>
      <c r="AS21">
        <v>174</v>
      </c>
      <c r="AT21">
        <v>191</v>
      </c>
      <c r="AU21">
        <v>194.8</v>
      </c>
      <c r="AV21">
        <v>199.5</v>
      </c>
      <c r="AW21">
        <v>202.2</v>
      </c>
      <c r="AX21">
        <v>207.2</v>
      </c>
      <c r="AY21">
        <v>209.2</v>
      </c>
      <c r="AZ21">
        <v>211.5</v>
      </c>
      <c r="BA21">
        <v>212.4</v>
      </c>
      <c r="BB21">
        <v>220.2</v>
      </c>
      <c r="BC21">
        <v>224.2</v>
      </c>
      <c r="BD21">
        <v>228.9</v>
      </c>
      <c r="BE21">
        <v>235.5</v>
      </c>
      <c r="BF21">
        <v>250.8</v>
      </c>
      <c r="BG21">
        <v>256.8</v>
      </c>
      <c r="BH21">
        <v>261.8</v>
      </c>
      <c r="BI21">
        <v>265.8</v>
      </c>
      <c r="BJ21">
        <v>275.7</v>
      </c>
      <c r="BK21">
        <v>279.8</v>
      </c>
      <c r="BL21">
        <v>284.60000000000002</v>
      </c>
      <c r="BM21">
        <v>291.10000000000002</v>
      </c>
      <c r="BN21">
        <v>298.2</v>
      </c>
      <c r="BO21">
        <v>301.89999999999998</v>
      </c>
      <c r="BP21">
        <v>306.89999999999998</v>
      </c>
      <c r="BQ21">
        <v>312.60000000000002</v>
      </c>
      <c r="BR21">
        <v>317.39999999999998</v>
      </c>
      <c r="BS21">
        <v>321.5</v>
      </c>
      <c r="BT21">
        <v>326.3</v>
      </c>
      <c r="BU21">
        <v>333.3</v>
      </c>
      <c r="BV21">
        <v>352.7</v>
      </c>
      <c r="BW21">
        <v>360</v>
      </c>
      <c r="BX21">
        <v>366.2</v>
      </c>
      <c r="BY21">
        <v>373.7</v>
      </c>
      <c r="BZ21">
        <v>379.7</v>
      </c>
      <c r="CA21">
        <v>384.3</v>
      </c>
      <c r="CB21">
        <v>388.9</v>
      </c>
      <c r="CC21">
        <v>394.9</v>
      </c>
      <c r="CD21">
        <v>403.5</v>
      </c>
      <c r="CE21">
        <v>408.8</v>
      </c>
      <c r="CF21">
        <v>416.6</v>
      </c>
      <c r="CG21">
        <v>419.4</v>
      </c>
      <c r="CH21">
        <v>423</v>
      </c>
      <c r="CI21">
        <v>429.7</v>
      </c>
      <c r="CJ21">
        <v>435.6</v>
      </c>
      <c r="CK21">
        <v>440.6</v>
      </c>
      <c r="CL21">
        <v>452.5</v>
      </c>
      <c r="CM21">
        <v>458.1</v>
      </c>
      <c r="CN21">
        <v>461.2</v>
      </c>
      <c r="CO21">
        <v>456.5</v>
      </c>
      <c r="CP21">
        <v>475.9</v>
      </c>
      <c r="CQ21">
        <v>476.4</v>
      </c>
      <c r="CR21">
        <v>481</v>
      </c>
      <c r="CS21">
        <v>485.2</v>
      </c>
      <c r="CT21">
        <v>500.4</v>
      </c>
      <c r="CU21">
        <v>507.6</v>
      </c>
      <c r="CV21">
        <v>513.6</v>
      </c>
      <c r="CW21">
        <v>521.1</v>
      </c>
      <c r="CX21">
        <v>528.20000000000005</v>
      </c>
      <c r="CY21">
        <v>532.70000000000005</v>
      </c>
      <c r="CZ21">
        <v>538.1</v>
      </c>
      <c r="DA21">
        <v>543.1</v>
      </c>
      <c r="DB21">
        <v>545.9</v>
      </c>
      <c r="DC21">
        <v>554.4</v>
      </c>
      <c r="DD21">
        <v>561.79999999999995</v>
      </c>
      <c r="DE21">
        <v>569.4</v>
      </c>
      <c r="DF21">
        <v>577.29999999999995</v>
      </c>
      <c r="DG21">
        <v>584.9</v>
      </c>
      <c r="DH21">
        <v>593.6</v>
      </c>
      <c r="DI21">
        <v>605.29999999999995</v>
      </c>
      <c r="DJ21">
        <v>613.29999999999995</v>
      </c>
      <c r="DK21">
        <v>622.79999999999995</v>
      </c>
      <c r="DL21">
        <v>632.6</v>
      </c>
      <c r="DM21">
        <v>642.4</v>
      </c>
      <c r="DN21">
        <v>653.29999999999995</v>
      </c>
      <c r="DO21">
        <v>659</v>
      </c>
      <c r="DP21">
        <v>666.4</v>
      </c>
      <c r="DQ21">
        <v>679.6</v>
      </c>
      <c r="DR21">
        <v>699.5</v>
      </c>
      <c r="DS21">
        <v>701.9</v>
      </c>
      <c r="DT21">
        <v>715.2</v>
      </c>
      <c r="DU21">
        <v>721</v>
      </c>
      <c r="DV21">
        <v>736.1</v>
      </c>
      <c r="DW21">
        <v>736.9</v>
      </c>
      <c r="DX21">
        <v>736.1</v>
      </c>
      <c r="DY21">
        <v>738.7</v>
      </c>
      <c r="DZ21">
        <v>746.9</v>
      </c>
      <c r="EA21">
        <v>755.3</v>
      </c>
      <c r="EB21">
        <v>758.1</v>
      </c>
      <c r="EC21">
        <v>760.8</v>
      </c>
      <c r="ED21">
        <v>767.1</v>
      </c>
      <c r="EE21">
        <v>777.8</v>
      </c>
      <c r="EF21">
        <v>787.7</v>
      </c>
      <c r="EG21">
        <v>800.1</v>
      </c>
      <c r="EH21">
        <v>813.4</v>
      </c>
      <c r="EI21">
        <v>828</v>
      </c>
      <c r="EJ21">
        <v>843.7</v>
      </c>
      <c r="EK21">
        <v>849.5</v>
      </c>
      <c r="EL21">
        <v>862.7</v>
      </c>
      <c r="EM21">
        <v>871</v>
      </c>
      <c r="EN21">
        <v>884.2</v>
      </c>
      <c r="EO21">
        <v>894.1</v>
      </c>
      <c r="EP21">
        <v>917.9</v>
      </c>
      <c r="EQ21">
        <v>922.7</v>
      </c>
      <c r="ER21">
        <v>927.2</v>
      </c>
      <c r="ES21">
        <v>940.8</v>
      </c>
      <c r="ET21">
        <v>960.4</v>
      </c>
      <c r="EU21">
        <v>962</v>
      </c>
      <c r="EV21">
        <v>965.3</v>
      </c>
      <c r="EW21">
        <v>976.9</v>
      </c>
      <c r="EX21">
        <v>988.8</v>
      </c>
      <c r="EY21">
        <v>991</v>
      </c>
      <c r="EZ21">
        <v>996.4</v>
      </c>
      <c r="FA21">
        <v>996.6</v>
      </c>
      <c r="FB21">
        <v>964.7</v>
      </c>
      <c r="FC21">
        <v>971.2</v>
      </c>
      <c r="FD21">
        <v>968.8</v>
      </c>
      <c r="FE21">
        <v>972.2</v>
      </c>
      <c r="FF21">
        <v>978.6</v>
      </c>
      <c r="FG21">
        <v>989.5</v>
      </c>
      <c r="FH21">
        <v>992.3</v>
      </c>
      <c r="FI21">
        <v>994.3</v>
      </c>
      <c r="FJ21">
        <v>916.2</v>
      </c>
      <c r="FK21">
        <v>918.9</v>
      </c>
      <c r="FL21">
        <v>927.3</v>
      </c>
      <c r="FM21">
        <v>921.9</v>
      </c>
      <c r="FN21">
        <v>944.9</v>
      </c>
      <c r="FO21">
        <v>949.4</v>
      </c>
      <c r="FP21">
        <v>952.3</v>
      </c>
      <c r="FQ21">
        <v>974.1</v>
      </c>
      <c r="FR21">
        <v>1095.9000000000001</v>
      </c>
      <c r="FS21">
        <v>1108.2</v>
      </c>
      <c r="FT21">
        <v>1111.4000000000001</v>
      </c>
      <c r="FU21">
        <v>1122.3</v>
      </c>
      <c r="FV21">
        <v>1145</v>
      </c>
      <c r="FW21">
        <v>1149.7</v>
      </c>
      <c r="FX21">
        <v>1161.4000000000001</v>
      </c>
      <c r="FY21">
        <v>1179.0999999999999</v>
      </c>
      <c r="FZ21">
        <v>1194.2</v>
      </c>
      <c r="GA21">
        <v>1206.0999999999999</v>
      </c>
      <c r="GB21">
        <v>1216.0999999999999</v>
      </c>
      <c r="GC21">
        <v>1223.5999999999999</v>
      </c>
      <c r="GD21">
        <v>1230.8</v>
      </c>
      <c r="GE21">
        <v>1237</v>
      </c>
      <c r="GF21">
        <v>1248.0999999999999</v>
      </c>
      <c r="GG21">
        <v>1261.5</v>
      </c>
      <c r="GH21">
        <v>1282.4000000000001</v>
      </c>
      <c r="GI21">
        <v>1294.8</v>
      </c>
      <c r="GJ21">
        <v>1310</v>
      </c>
      <c r="GK21">
        <v>1328.9</v>
      </c>
      <c r="GL21">
        <v>1348.7</v>
      </c>
      <c r="GM21">
        <v>1358.3</v>
      </c>
      <c r="GN21">
        <v>1374.5</v>
      </c>
      <c r="GO21">
        <v>1381.9</v>
      </c>
      <c r="GP21">
        <v>1413</v>
      </c>
      <c r="GQ21">
        <v>1419.8</v>
      </c>
      <c r="GR21">
        <v>1427.2</v>
      </c>
      <c r="GS21">
        <v>1446.5</v>
      </c>
      <c r="GT21">
        <v>1477.2</v>
      </c>
      <c r="GU21">
        <v>1410.8</v>
      </c>
      <c r="GV21">
        <v>1463.7</v>
      </c>
      <c r="GW21">
        <v>1506.5</v>
      </c>
      <c r="GX21">
        <v>1539.2</v>
      </c>
      <c r="GY21">
        <v>1564.2</v>
      </c>
      <c r="GZ21">
        <v>1594.5</v>
      </c>
    </row>
    <row r="22" spans="1:208" x14ac:dyDescent="0.35">
      <c r="A22" t="s">
        <v>945</v>
      </c>
      <c r="B22">
        <v>20.568999999999999</v>
      </c>
      <c r="C22">
        <v>20.797000000000001</v>
      </c>
      <c r="D22">
        <v>20.998999999999999</v>
      </c>
      <c r="E22">
        <v>21.271000000000001</v>
      </c>
      <c r="F22">
        <v>21.472000000000001</v>
      </c>
      <c r="G22">
        <v>21.716000000000001</v>
      </c>
      <c r="H22">
        <v>21.928999999999998</v>
      </c>
      <c r="I22">
        <v>22.064</v>
      </c>
      <c r="J22">
        <v>22.295999999999999</v>
      </c>
      <c r="K22">
        <v>22.425000000000001</v>
      </c>
      <c r="L22">
        <v>22.622</v>
      </c>
      <c r="M22">
        <v>22.806999999999999</v>
      </c>
      <c r="N22">
        <v>23.084</v>
      </c>
      <c r="O22">
        <v>23.529</v>
      </c>
      <c r="P22">
        <v>23.957999999999998</v>
      </c>
      <c r="Q22">
        <v>24.45</v>
      </c>
      <c r="R22">
        <v>25.178000000000001</v>
      </c>
      <c r="S22">
        <v>25.890999999999998</v>
      </c>
      <c r="T22">
        <v>26.588999999999999</v>
      </c>
      <c r="U22">
        <v>27.262</v>
      </c>
      <c r="V22">
        <v>27.771000000000001</v>
      </c>
      <c r="W22">
        <v>28.109000000000002</v>
      </c>
      <c r="X22">
        <v>28.634</v>
      </c>
      <c r="Y22">
        <v>29.114999999999998</v>
      </c>
      <c r="Z22">
        <v>29.437000000000001</v>
      </c>
      <c r="AA22">
        <v>29.684999999999999</v>
      </c>
      <c r="AB22">
        <v>30.137</v>
      </c>
      <c r="AC22">
        <v>30.614000000000001</v>
      </c>
      <c r="AD22">
        <v>31.164999999999999</v>
      </c>
      <c r="AE22">
        <v>31.698</v>
      </c>
      <c r="AF22">
        <v>32.173999999999999</v>
      </c>
      <c r="AG22">
        <v>32.631</v>
      </c>
      <c r="AH22">
        <v>33.164999999999999</v>
      </c>
      <c r="AI22">
        <v>33.845999999999997</v>
      </c>
      <c r="AJ22">
        <v>34.441000000000003</v>
      </c>
      <c r="AK22">
        <v>35.091999999999999</v>
      </c>
      <c r="AL22">
        <v>35.755000000000003</v>
      </c>
      <c r="AM22">
        <v>36.732999999999997</v>
      </c>
      <c r="AN22">
        <v>37.646000000000001</v>
      </c>
      <c r="AO22">
        <v>38.558</v>
      </c>
      <c r="AP22">
        <v>39.716000000000001</v>
      </c>
      <c r="AQ22">
        <v>40.689</v>
      </c>
      <c r="AR22">
        <v>41.640999999999998</v>
      </c>
      <c r="AS22">
        <v>42.673000000000002</v>
      </c>
      <c r="AT22">
        <v>43.780999999999999</v>
      </c>
      <c r="AU22">
        <v>44.515000000000001</v>
      </c>
      <c r="AV22">
        <v>45.247999999999998</v>
      </c>
      <c r="AW22">
        <v>45.94</v>
      </c>
      <c r="AX22">
        <v>46.521000000000001</v>
      </c>
      <c r="AY22">
        <v>46.966999999999999</v>
      </c>
      <c r="AZ22">
        <v>47.707000000000001</v>
      </c>
      <c r="BA22">
        <v>48.231999999999999</v>
      </c>
      <c r="BB22">
        <v>48.628999999999998</v>
      </c>
      <c r="BC22">
        <v>49.073</v>
      </c>
      <c r="BD22">
        <v>49.718000000000004</v>
      </c>
      <c r="BE22">
        <v>50.048000000000002</v>
      </c>
      <c r="BF22">
        <v>50.591999999999999</v>
      </c>
      <c r="BG22">
        <v>51.082999999999998</v>
      </c>
      <c r="BH22">
        <v>51.478000000000002</v>
      </c>
      <c r="BI22">
        <v>51.795999999999999</v>
      </c>
      <c r="BJ22">
        <v>52.405999999999999</v>
      </c>
      <c r="BK22">
        <v>52.831000000000003</v>
      </c>
      <c r="BL22">
        <v>53.244999999999997</v>
      </c>
      <c r="BM22">
        <v>53.618000000000002</v>
      </c>
      <c r="BN22">
        <v>53.999000000000002</v>
      </c>
      <c r="BO22">
        <v>53.942999999999998</v>
      </c>
      <c r="BP22">
        <v>54.228000000000002</v>
      </c>
      <c r="BQ22">
        <v>54.555</v>
      </c>
      <c r="BR22">
        <v>55.067999999999998</v>
      </c>
      <c r="BS22">
        <v>55.597999999999999</v>
      </c>
      <c r="BT22">
        <v>56.122999999999998</v>
      </c>
      <c r="BU22">
        <v>56.606999999999999</v>
      </c>
      <c r="BV22">
        <v>57.054000000000002</v>
      </c>
      <c r="BW22">
        <v>57.683999999999997</v>
      </c>
      <c r="BX22">
        <v>58.395000000000003</v>
      </c>
      <c r="BY22">
        <v>58.987000000000002</v>
      </c>
      <c r="BZ22">
        <v>59.664999999999999</v>
      </c>
      <c r="CA22">
        <v>60.47</v>
      </c>
      <c r="CB22">
        <v>60.828000000000003</v>
      </c>
      <c r="CC22">
        <v>61.308</v>
      </c>
      <c r="CD22">
        <v>62.198</v>
      </c>
      <c r="CE22">
        <v>62.764000000000003</v>
      </c>
      <c r="CF22">
        <v>63.561999999999998</v>
      </c>
      <c r="CG22">
        <v>64.402000000000001</v>
      </c>
      <c r="CH22">
        <v>64.739999999999995</v>
      </c>
      <c r="CI22">
        <v>65.091999999999999</v>
      </c>
      <c r="CJ22">
        <v>65.533000000000001</v>
      </c>
      <c r="CK22">
        <v>66.007999999999996</v>
      </c>
      <c r="CL22">
        <v>66.421000000000006</v>
      </c>
      <c r="CM22">
        <v>66.861999999999995</v>
      </c>
      <c r="CN22">
        <v>67.287999999999997</v>
      </c>
      <c r="CO22">
        <v>67.757000000000005</v>
      </c>
      <c r="CP22">
        <v>68.162000000000006</v>
      </c>
      <c r="CQ22">
        <v>68.62</v>
      </c>
      <c r="CR22">
        <v>68.918000000000006</v>
      </c>
      <c r="CS22">
        <v>69.314999999999998</v>
      </c>
      <c r="CT22">
        <v>69.563999999999993</v>
      </c>
      <c r="CU22">
        <v>69.951999999999998</v>
      </c>
      <c r="CV22">
        <v>70.453999999999994</v>
      </c>
      <c r="CW22">
        <v>70.784999999999997</v>
      </c>
      <c r="CX22">
        <v>71.132000000000005</v>
      </c>
      <c r="CY22">
        <v>71.546000000000006</v>
      </c>
      <c r="CZ22">
        <v>71.837999999999994</v>
      </c>
      <c r="DA22">
        <v>72.153999999999996</v>
      </c>
      <c r="DB22">
        <v>72.555000000000007</v>
      </c>
      <c r="DC22">
        <v>73.040000000000006</v>
      </c>
      <c r="DD22">
        <v>73.352000000000004</v>
      </c>
      <c r="DE22">
        <v>73.852000000000004</v>
      </c>
      <c r="DF22">
        <v>74.177999999999997</v>
      </c>
      <c r="DG22">
        <v>74.364999999999995</v>
      </c>
      <c r="DH22">
        <v>74.561000000000007</v>
      </c>
      <c r="DI22">
        <v>74.795000000000002</v>
      </c>
      <c r="DJ22">
        <v>74.801000000000002</v>
      </c>
      <c r="DK22">
        <v>74.936000000000007</v>
      </c>
      <c r="DL22">
        <v>75.167000000000002</v>
      </c>
      <c r="DM22">
        <v>75.364000000000004</v>
      </c>
      <c r="DN22">
        <v>75.510999999999996</v>
      </c>
      <c r="DO22">
        <v>75.938999999999993</v>
      </c>
      <c r="DP22">
        <v>76.356999999999999</v>
      </c>
      <c r="DQ22">
        <v>76.820999999999998</v>
      </c>
      <c r="DR22">
        <v>77.445999999999998</v>
      </c>
      <c r="DS22">
        <v>77.814999999999998</v>
      </c>
      <c r="DT22">
        <v>78.317999999999998</v>
      </c>
      <c r="DU22">
        <v>78.762</v>
      </c>
      <c r="DV22">
        <v>79.347999999999999</v>
      </c>
      <c r="DW22">
        <v>79.72</v>
      </c>
      <c r="DX22">
        <v>79.760000000000005</v>
      </c>
      <c r="DY22">
        <v>79.793000000000006</v>
      </c>
      <c r="DZ22">
        <v>79.951999999999998</v>
      </c>
      <c r="EA22">
        <v>80.543999999999997</v>
      </c>
      <c r="EB22">
        <v>80.960999999999999</v>
      </c>
      <c r="EC22">
        <v>81.337999999999994</v>
      </c>
      <c r="ED22">
        <v>81.96</v>
      </c>
      <c r="EE22">
        <v>82.042000000000002</v>
      </c>
      <c r="EF22">
        <v>82.581999999999994</v>
      </c>
      <c r="EG22">
        <v>82.986999999999995</v>
      </c>
      <c r="EH22">
        <v>83.626999999999995</v>
      </c>
      <c r="EI22">
        <v>84.188999999999993</v>
      </c>
      <c r="EJ22">
        <v>84.602999999999994</v>
      </c>
      <c r="EK22">
        <v>85.325999999999993</v>
      </c>
      <c r="EL22">
        <v>85.822000000000003</v>
      </c>
      <c r="EM22">
        <v>86.364000000000004</v>
      </c>
      <c r="EN22">
        <v>87.296999999999997</v>
      </c>
      <c r="EO22">
        <v>87.992999999999995</v>
      </c>
      <c r="EP22">
        <v>88.451999999999998</v>
      </c>
      <c r="EQ22">
        <v>89.228999999999999</v>
      </c>
      <c r="ER22">
        <v>89.870999999999995</v>
      </c>
      <c r="ES22">
        <v>89.722999999999999</v>
      </c>
      <c r="ET22">
        <v>90.542000000000002</v>
      </c>
      <c r="EU22">
        <v>91.31</v>
      </c>
      <c r="EV22">
        <v>91.826999999999998</v>
      </c>
      <c r="EW22">
        <v>92.762</v>
      </c>
      <c r="EX22">
        <v>93.518000000000001</v>
      </c>
      <c r="EY22">
        <v>94.43</v>
      </c>
      <c r="EZ22">
        <v>95.438000000000002</v>
      </c>
      <c r="FA22">
        <v>93.915000000000006</v>
      </c>
      <c r="FB22">
        <v>93.28</v>
      </c>
      <c r="FC22">
        <v>93.65</v>
      </c>
      <c r="FD22">
        <v>94.295000000000002</v>
      </c>
      <c r="FE22">
        <v>95.022000000000006</v>
      </c>
      <c r="FF22">
        <v>95.388999999999996</v>
      </c>
      <c r="FG22">
        <v>95.536000000000001</v>
      </c>
      <c r="FH22">
        <v>95.72</v>
      </c>
      <c r="FI22">
        <v>96.332999999999998</v>
      </c>
      <c r="FJ22">
        <v>97.143000000000001</v>
      </c>
      <c r="FK22">
        <v>98.099000000000004</v>
      </c>
      <c r="FL22">
        <v>98.552999999999997</v>
      </c>
      <c r="FM22">
        <v>98.878</v>
      </c>
      <c r="FN22">
        <v>99.533000000000001</v>
      </c>
      <c r="FO22">
        <v>99.774000000000001</v>
      </c>
      <c r="FP22">
        <v>100.06399999999999</v>
      </c>
      <c r="FQ22">
        <v>100.625</v>
      </c>
      <c r="FR22">
        <v>100.98699999999999</v>
      </c>
      <c r="FS22">
        <v>101.059</v>
      </c>
      <c r="FT22">
        <v>101.46899999999999</v>
      </c>
      <c r="FU22">
        <v>101.89400000000001</v>
      </c>
      <c r="FV22">
        <v>102.384</v>
      </c>
      <c r="FW22">
        <v>102.896</v>
      </c>
      <c r="FX22">
        <v>103.187</v>
      </c>
      <c r="FY22">
        <v>103.069</v>
      </c>
      <c r="FZ22">
        <v>102.64100000000001</v>
      </c>
      <c r="GA22">
        <v>103.139</v>
      </c>
      <c r="GB22">
        <v>103.389</v>
      </c>
      <c r="GC22">
        <v>103.286</v>
      </c>
      <c r="GD22">
        <v>103.34</v>
      </c>
      <c r="GE22">
        <v>103.989</v>
      </c>
      <c r="GF22">
        <v>104.379</v>
      </c>
      <c r="GG22">
        <v>104.872</v>
      </c>
      <c r="GH22">
        <v>105.449</v>
      </c>
      <c r="GI22">
        <v>105.747</v>
      </c>
      <c r="GJ22">
        <v>106.142</v>
      </c>
      <c r="GK22">
        <v>106.851</v>
      </c>
      <c r="GL22">
        <v>107.553</v>
      </c>
      <c r="GM22">
        <v>108.18</v>
      </c>
      <c r="GN22">
        <v>108.542</v>
      </c>
      <c r="GO22">
        <v>108.983</v>
      </c>
      <c r="GP22">
        <v>109.09699999999999</v>
      </c>
      <c r="GQ22">
        <v>109.833</v>
      </c>
      <c r="GR22">
        <v>110.136</v>
      </c>
      <c r="GS22">
        <v>110.604</v>
      </c>
      <c r="GT22">
        <v>110.946</v>
      </c>
      <c r="GU22">
        <v>110.491</v>
      </c>
      <c r="GV22">
        <v>111.49</v>
      </c>
      <c r="GW22">
        <v>111.91</v>
      </c>
      <c r="GX22">
        <v>112.97</v>
      </c>
      <c r="GY22">
        <v>114.753</v>
      </c>
      <c r="GZ22">
        <v>116.232</v>
      </c>
    </row>
    <row r="23" spans="1:208" x14ac:dyDescent="0.35">
      <c r="A23" t="s">
        <v>521</v>
      </c>
      <c r="B23">
        <v>133.6</v>
      </c>
      <c r="C23">
        <v>131.80000000000001</v>
      </c>
      <c r="D23">
        <v>132.4</v>
      </c>
      <c r="E23">
        <v>133.5</v>
      </c>
      <c r="F23">
        <v>133.30000000000001</v>
      </c>
      <c r="G23">
        <v>134.30000000000001</v>
      </c>
      <c r="H23">
        <v>135.6</v>
      </c>
      <c r="I23">
        <v>134.69999999999999</v>
      </c>
      <c r="J23">
        <v>141.4</v>
      </c>
      <c r="K23">
        <v>144.19999999999999</v>
      </c>
      <c r="L23">
        <v>138.80000000000001</v>
      </c>
      <c r="M23">
        <v>142.19999999999999</v>
      </c>
      <c r="N23">
        <v>146.4</v>
      </c>
      <c r="O23">
        <v>146.5</v>
      </c>
      <c r="P23">
        <v>144.19999999999999</v>
      </c>
      <c r="Q23">
        <v>147.6</v>
      </c>
      <c r="R23">
        <v>152.69999999999999</v>
      </c>
      <c r="S23">
        <v>154.9</v>
      </c>
      <c r="T23">
        <v>160.4</v>
      </c>
      <c r="U23">
        <v>167.4</v>
      </c>
      <c r="V23">
        <v>168.6</v>
      </c>
      <c r="W23">
        <v>169.4</v>
      </c>
      <c r="X23">
        <v>176.1</v>
      </c>
      <c r="Y23">
        <v>180.8</v>
      </c>
      <c r="Z23">
        <v>181.6</v>
      </c>
      <c r="AA23">
        <v>182.5</v>
      </c>
      <c r="AB23">
        <v>184.9</v>
      </c>
      <c r="AC23">
        <v>190.2</v>
      </c>
      <c r="AD23">
        <v>194.2</v>
      </c>
      <c r="AE23">
        <v>198.9</v>
      </c>
      <c r="AF23">
        <v>201.9</v>
      </c>
      <c r="AG23">
        <v>206.3</v>
      </c>
      <c r="AH23">
        <v>208.8</v>
      </c>
      <c r="AI23">
        <v>217</v>
      </c>
      <c r="AJ23">
        <v>222.1</v>
      </c>
      <c r="AK23">
        <v>227.8</v>
      </c>
      <c r="AL23">
        <v>231.7</v>
      </c>
      <c r="AM23">
        <v>237.6</v>
      </c>
      <c r="AN23">
        <v>243.7</v>
      </c>
      <c r="AO23">
        <v>249.3</v>
      </c>
      <c r="AP23">
        <v>261.10000000000002</v>
      </c>
      <c r="AQ23">
        <v>276.5</v>
      </c>
      <c r="AR23">
        <v>276.10000000000002</v>
      </c>
      <c r="AS23">
        <v>285.8</v>
      </c>
      <c r="AT23">
        <v>297.2</v>
      </c>
      <c r="AU23">
        <v>311.89999999999998</v>
      </c>
      <c r="AV23">
        <v>317.39999999999998</v>
      </c>
      <c r="AW23">
        <v>329.3</v>
      </c>
      <c r="AX23">
        <v>334.9</v>
      </c>
      <c r="AY23">
        <v>342.9</v>
      </c>
      <c r="AZ23">
        <v>351.5</v>
      </c>
      <c r="BA23">
        <v>364.1</v>
      </c>
      <c r="BB23">
        <v>370.5</v>
      </c>
      <c r="BC23">
        <v>380.3</v>
      </c>
      <c r="BD23">
        <v>394.4</v>
      </c>
      <c r="BE23">
        <v>384.2</v>
      </c>
      <c r="BF23">
        <v>392.4</v>
      </c>
      <c r="BG23">
        <v>408.3</v>
      </c>
      <c r="BH23">
        <v>414</v>
      </c>
      <c r="BI23">
        <v>432.5</v>
      </c>
      <c r="BJ23">
        <v>434.8</v>
      </c>
      <c r="BK23">
        <v>447.3</v>
      </c>
      <c r="BL23">
        <v>463.1</v>
      </c>
      <c r="BM23">
        <v>466.4</v>
      </c>
      <c r="BN23">
        <v>464</v>
      </c>
      <c r="BO23">
        <v>477.8</v>
      </c>
      <c r="BP23">
        <v>495.1</v>
      </c>
      <c r="BQ23">
        <v>489.8</v>
      </c>
      <c r="BR23">
        <v>492.1</v>
      </c>
      <c r="BS23">
        <v>501.2</v>
      </c>
      <c r="BT23">
        <v>504.1</v>
      </c>
      <c r="BU23">
        <v>513.70000000000005</v>
      </c>
      <c r="BV23">
        <v>505.8</v>
      </c>
      <c r="BW23">
        <v>506.9</v>
      </c>
      <c r="BX23">
        <v>507.4</v>
      </c>
      <c r="BY23">
        <v>525.6</v>
      </c>
      <c r="BZ23">
        <v>519.9</v>
      </c>
      <c r="CA23">
        <v>534.29999999999995</v>
      </c>
      <c r="CB23">
        <v>541.4</v>
      </c>
      <c r="CC23">
        <v>540.79999999999995</v>
      </c>
      <c r="CD23">
        <v>553.70000000000005</v>
      </c>
      <c r="CE23">
        <v>563.9</v>
      </c>
      <c r="CF23">
        <v>562.20000000000005</v>
      </c>
      <c r="CG23">
        <v>569.70000000000005</v>
      </c>
      <c r="CH23">
        <v>581.4</v>
      </c>
      <c r="CI23">
        <v>586.6</v>
      </c>
      <c r="CJ23">
        <v>586.29999999999995</v>
      </c>
      <c r="CK23">
        <v>577.4</v>
      </c>
      <c r="CL23">
        <v>580.29999999999995</v>
      </c>
      <c r="CM23">
        <v>580.9</v>
      </c>
      <c r="CN23">
        <v>594.20000000000005</v>
      </c>
      <c r="CO23">
        <v>598.4</v>
      </c>
      <c r="CP23">
        <v>580.29999999999995</v>
      </c>
      <c r="CQ23">
        <v>576.70000000000005</v>
      </c>
      <c r="CR23">
        <v>578.70000000000005</v>
      </c>
      <c r="CS23">
        <v>584.9</v>
      </c>
      <c r="CT23">
        <v>567</v>
      </c>
      <c r="CU23">
        <v>569.4</v>
      </c>
      <c r="CV23">
        <v>586.5</v>
      </c>
      <c r="CW23">
        <v>575.79999999999995</v>
      </c>
      <c r="CX23">
        <v>579.1</v>
      </c>
      <c r="CY23">
        <v>581</v>
      </c>
      <c r="CZ23">
        <v>579.29999999999995</v>
      </c>
      <c r="DA23">
        <v>567.29999999999995</v>
      </c>
      <c r="DB23">
        <v>579.79999999999995</v>
      </c>
      <c r="DC23">
        <v>582.1</v>
      </c>
      <c r="DD23">
        <v>577.79999999999995</v>
      </c>
      <c r="DE23">
        <v>576.9</v>
      </c>
      <c r="DF23">
        <v>570.70000000000005</v>
      </c>
      <c r="DG23">
        <v>587.20000000000005</v>
      </c>
      <c r="DH23">
        <v>586</v>
      </c>
      <c r="DI23">
        <v>589.20000000000005</v>
      </c>
      <c r="DJ23">
        <v>572.20000000000005</v>
      </c>
      <c r="DK23">
        <v>587.1</v>
      </c>
      <c r="DL23">
        <v>588.6</v>
      </c>
      <c r="DM23">
        <v>594.20000000000005</v>
      </c>
      <c r="DN23">
        <v>595.1</v>
      </c>
      <c r="DO23">
        <v>599.20000000000005</v>
      </c>
      <c r="DP23">
        <v>614.20000000000005</v>
      </c>
      <c r="DQ23">
        <v>634.29999999999995</v>
      </c>
      <c r="DR23">
        <v>619.4</v>
      </c>
      <c r="DS23">
        <v>641.20000000000005</v>
      </c>
      <c r="DT23">
        <v>633.6</v>
      </c>
      <c r="DU23">
        <v>638.20000000000005</v>
      </c>
      <c r="DV23">
        <v>653.29999999999995</v>
      </c>
      <c r="DW23">
        <v>666.2</v>
      </c>
      <c r="DX23">
        <v>674.4</v>
      </c>
      <c r="DY23">
        <v>686.9</v>
      </c>
      <c r="DZ23">
        <v>714</v>
      </c>
      <c r="EA23">
        <v>734.8</v>
      </c>
      <c r="EB23">
        <v>748.4</v>
      </c>
      <c r="EC23">
        <v>775.2</v>
      </c>
      <c r="ED23">
        <v>792.7</v>
      </c>
      <c r="EE23">
        <v>826</v>
      </c>
      <c r="EF23">
        <v>833.3</v>
      </c>
      <c r="EG23">
        <v>855.1</v>
      </c>
      <c r="EH23">
        <v>871.8</v>
      </c>
      <c r="EI23">
        <v>884.6</v>
      </c>
      <c r="EJ23">
        <v>902.5</v>
      </c>
      <c r="EK23">
        <v>909.6</v>
      </c>
      <c r="EL23">
        <v>931.8</v>
      </c>
      <c r="EM23">
        <v>939.3</v>
      </c>
      <c r="EN23">
        <v>956.4</v>
      </c>
      <c r="EO23">
        <v>963.7</v>
      </c>
      <c r="EP23">
        <v>997.1</v>
      </c>
      <c r="EQ23">
        <v>997.2</v>
      </c>
      <c r="ER23">
        <v>995.4</v>
      </c>
      <c r="ES23">
        <v>1015.1</v>
      </c>
      <c r="ET23">
        <v>1017.5</v>
      </c>
      <c r="EU23">
        <v>1042.5</v>
      </c>
      <c r="EV23">
        <v>1058.8</v>
      </c>
      <c r="EW23">
        <v>1085.3</v>
      </c>
      <c r="EX23">
        <v>1111.2</v>
      </c>
      <c r="EY23">
        <v>1146.5999999999999</v>
      </c>
      <c r="EZ23">
        <v>1170.2</v>
      </c>
      <c r="FA23">
        <v>1179.8</v>
      </c>
      <c r="FB23">
        <v>1185.2</v>
      </c>
      <c r="FC23">
        <v>1213.5</v>
      </c>
      <c r="FD23">
        <v>1228.3</v>
      </c>
      <c r="FE23">
        <v>1256.2</v>
      </c>
      <c r="FF23">
        <v>1278.4000000000001</v>
      </c>
      <c r="FG23">
        <v>1305.0999999999999</v>
      </c>
      <c r="FH23">
        <v>1304.3</v>
      </c>
      <c r="FI23">
        <v>1312.9</v>
      </c>
      <c r="FJ23">
        <v>1306</v>
      </c>
      <c r="FK23">
        <v>1312.7</v>
      </c>
      <c r="FL23">
        <v>1288.7</v>
      </c>
      <c r="FM23">
        <v>1291.7</v>
      </c>
      <c r="FN23">
        <v>1296.0999999999999</v>
      </c>
      <c r="FO23">
        <v>1288.5999999999999</v>
      </c>
      <c r="FP23">
        <v>1293.8</v>
      </c>
      <c r="FQ23">
        <v>1269.5</v>
      </c>
      <c r="FR23">
        <v>1240.5</v>
      </c>
      <c r="FS23">
        <v>1232.9000000000001</v>
      </c>
      <c r="FT23">
        <v>1219</v>
      </c>
      <c r="FU23">
        <v>1216.3</v>
      </c>
      <c r="FV23">
        <v>1211.8</v>
      </c>
      <c r="FW23">
        <v>1210</v>
      </c>
      <c r="FX23">
        <v>1229.3</v>
      </c>
      <c r="FY23">
        <v>1212.9000000000001</v>
      </c>
      <c r="FZ23">
        <v>1216</v>
      </c>
      <c r="GA23">
        <v>1220.5999999999999</v>
      </c>
      <c r="GB23">
        <v>1221.2</v>
      </c>
      <c r="GC23">
        <v>1229.3</v>
      </c>
      <c r="GD23">
        <v>1229.3</v>
      </c>
      <c r="GE23">
        <v>1225.8</v>
      </c>
      <c r="GF23">
        <v>1238.0999999999999</v>
      </c>
      <c r="GG23">
        <v>1244.8</v>
      </c>
      <c r="GH23">
        <v>1242.5</v>
      </c>
      <c r="GI23">
        <v>1257.5999999999999</v>
      </c>
      <c r="GJ23">
        <v>1263.3</v>
      </c>
      <c r="GK23">
        <v>1287.7</v>
      </c>
      <c r="GL23">
        <v>1305.8</v>
      </c>
      <c r="GM23">
        <v>1331.7</v>
      </c>
      <c r="GN23">
        <v>1350.8</v>
      </c>
      <c r="GO23">
        <v>1367.7</v>
      </c>
      <c r="GP23">
        <v>1387</v>
      </c>
      <c r="GQ23">
        <v>1406.9</v>
      </c>
      <c r="GR23">
        <v>1424.1</v>
      </c>
      <c r="GS23">
        <v>1441.7</v>
      </c>
      <c r="GT23">
        <v>1454.7</v>
      </c>
      <c r="GU23">
        <v>1525</v>
      </c>
      <c r="GV23">
        <v>1515.1</v>
      </c>
      <c r="GW23">
        <v>1512.3</v>
      </c>
      <c r="GX23">
        <v>1568.6</v>
      </c>
      <c r="GY23">
        <v>1563.3</v>
      </c>
      <c r="GZ23">
        <v>1562.1</v>
      </c>
    </row>
    <row r="24" spans="1:208" x14ac:dyDescent="0.35">
      <c r="A24" t="s">
        <v>531</v>
      </c>
      <c r="B24">
        <v>114.3</v>
      </c>
      <c r="C24">
        <v>117.4</v>
      </c>
      <c r="D24">
        <v>122.2</v>
      </c>
      <c r="E24">
        <v>125.2</v>
      </c>
      <c r="F24">
        <v>128.6</v>
      </c>
      <c r="G24">
        <v>131.9</v>
      </c>
      <c r="H24">
        <v>134.19999999999999</v>
      </c>
      <c r="I24">
        <v>137.4</v>
      </c>
      <c r="J24">
        <v>140.80000000000001</v>
      </c>
      <c r="K24">
        <v>142.19999999999999</v>
      </c>
      <c r="L24">
        <v>145.6</v>
      </c>
      <c r="M24">
        <v>149.6</v>
      </c>
      <c r="N24">
        <v>153.19999999999999</v>
      </c>
      <c r="O24">
        <v>156.19999999999999</v>
      </c>
      <c r="P24">
        <v>159.9</v>
      </c>
      <c r="Q24">
        <v>165</v>
      </c>
      <c r="R24">
        <v>171.9</v>
      </c>
      <c r="S24">
        <v>180.1</v>
      </c>
      <c r="T24">
        <v>186.3</v>
      </c>
      <c r="U24">
        <v>191.9</v>
      </c>
      <c r="V24">
        <v>201.5</v>
      </c>
      <c r="W24">
        <v>204</v>
      </c>
      <c r="X24">
        <v>209.3</v>
      </c>
      <c r="Y24">
        <v>214.8</v>
      </c>
      <c r="Z24">
        <v>219.7</v>
      </c>
      <c r="AA24">
        <v>218.5</v>
      </c>
      <c r="AB24">
        <v>218.6</v>
      </c>
      <c r="AC24">
        <v>220.6</v>
      </c>
      <c r="AD24">
        <v>227</v>
      </c>
      <c r="AE24">
        <v>232.4</v>
      </c>
      <c r="AF24">
        <v>236.1</v>
      </c>
      <c r="AG24">
        <v>240.5</v>
      </c>
      <c r="AH24">
        <v>243.8</v>
      </c>
      <c r="AI24">
        <v>255.3</v>
      </c>
      <c r="AJ24">
        <v>262.2</v>
      </c>
      <c r="AK24">
        <v>268.39999999999998</v>
      </c>
      <c r="AL24">
        <v>270.10000000000002</v>
      </c>
      <c r="AM24">
        <v>278.89999999999998</v>
      </c>
      <c r="AN24">
        <v>289.39999999999998</v>
      </c>
      <c r="AO24">
        <v>298.39999999999998</v>
      </c>
      <c r="AP24">
        <v>307.7</v>
      </c>
      <c r="AQ24">
        <v>312</v>
      </c>
      <c r="AR24">
        <v>316.10000000000002</v>
      </c>
      <c r="AS24">
        <v>323.10000000000002</v>
      </c>
      <c r="AT24">
        <v>336.1</v>
      </c>
      <c r="AU24">
        <v>336.8</v>
      </c>
      <c r="AV24">
        <v>340.3</v>
      </c>
      <c r="AW24">
        <v>348.4</v>
      </c>
      <c r="AX24">
        <v>353.2</v>
      </c>
      <c r="AY24">
        <v>360.2</v>
      </c>
      <c r="AZ24">
        <v>365.8</v>
      </c>
      <c r="BA24">
        <v>373.3</v>
      </c>
      <c r="BB24">
        <v>377.4</v>
      </c>
      <c r="BC24">
        <v>380.7</v>
      </c>
      <c r="BD24">
        <v>387.8</v>
      </c>
      <c r="BE24">
        <v>390.9</v>
      </c>
      <c r="BF24">
        <v>401.6</v>
      </c>
      <c r="BG24">
        <v>410.8</v>
      </c>
      <c r="BH24">
        <v>421.7</v>
      </c>
      <c r="BI24">
        <v>430.2</v>
      </c>
      <c r="BJ24">
        <v>440.8</v>
      </c>
      <c r="BK24">
        <v>453.2</v>
      </c>
      <c r="BL24">
        <v>464.3</v>
      </c>
      <c r="BM24">
        <v>472.1</v>
      </c>
      <c r="BN24">
        <v>482.8</v>
      </c>
      <c r="BO24">
        <v>489.7</v>
      </c>
      <c r="BP24">
        <v>498.5</v>
      </c>
      <c r="BQ24">
        <v>506.6</v>
      </c>
      <c r="BR24">
        <v>516.5</v>
      </c>
      <c r="BS24">
        <v>524</v>
      </c>
      <c r="BT24">
        <v>532.1</v>
      </c>
      <c r="BU24">
        <v>542.29999999999995</v>
      </c>
      <c r="BV24">
        <v>551.1</v>
      </c>
      <c r="BW24">
        <v>563.5</v>
      </c>
      <c r="BX24">
        <v>570.79999999999995</v>
      </c>
      <c r="BY24">
        <v>584.29999999999995</v>
      </c>
      <c r="BZ24">
        <v>596.70000000000005</v>
      </c>
      <c r="CA24">
        <v>611.5</v>
      </c>
      <c r="CB24">
        <v>623.20000000000005</v>
      </c>
      <c r="CC24">
        <v>639.70000000000005</v>
      </c>
      <c r="CD24">
        <v>658.8</v>
      </c>
      <c r="CE24">
        <v>666.8</v>
      </c>
      <c r="CF24">
        <v>680.3</v>
      </c>
      <c r="CG24">
        <v>698.8</v>
      </c>
      <c r="CH24">
        <v>702.8</v>
      </c>
      <c r="CI24">
        <v>709.9</v>
      </c>
      <c r="CJ24">
        <v>719.9</v>
      </c>
      <c r="CK24">
        <v>731.4</v>
      </c>
      <c r="CL24">
        <v>746.1</v>
      </c>
      <c r="CM24">
        <v>753.9</v>
      </c>
      <c r="CN24">
        <v>759.8</v>
      </c>
      <c r="CO24">
        <v>764.4</v>
      </c>
      <c r="CP24">
        <v>771.5</v>
      </c>
      <c r="CQ24">
        <v>782.3</v>
      </c>
      <c r="CR24">
        <v>788.7</v>
      </c>
      <c r="CS24">
        <v>796.5</v>
      </c>
      <c r="CT24">
        <v>806.3</v>
      </c>
      <c r="CU24">
        <v>820</v>
      </c>
      <c r="CV24">
        <v>836.9</v>
      </c>
      <c r="CW24">
        <v>847.1</v>
      </c>
      <c r="CX24">
        <v>858.5</v>
      </c>
      <c r="CY24">
        <v>871.9</v>
      </c>
      <c r="CZ24">
        <v>876.3</v>
      </c>
      <c r="DA24">
        <v>884.3</v>
      </c>
      <c r="DB24">
        <v>891.5</v>
      </c>
      <c r="DC24">
        <v>905.5</v>
      </c>
      <c r="DD24">
        <v>919</v>
      </c>
      <c r="DE24">
        <v>938.8</v>
      </c>
      <c r="DF24">
        <v>945.3</v>
      </c>
      <c r="DG24">
        <v>955.4</v>
      </c>
      <c r="DH24">
        <v>969.2</v>
      </c>
      <c r="DI24">
        <v>985.6</v>
      </c>
      <c r="DJ24">
        <v>995.9</v>
      </c>
      <c r="DK24">
        <v>1016.6</v>
      </c>
      <c r="DL24">
        <v>1038.5999999999999</v>
      </c>
      <c r="DM24">
        <v>1053.2</v>
      </c>
      <c r="DN24">
        <v>1074</v>
      </c>
      <c r="DO24">
        <v>1095.5</v>
      </c>
      <c r="DP24">
        <v>1119.8</v>
      </c>
      <c r="DQ24">
        <v>1147.4000000000001</v>
      </c>
      <c r="DR24">
        <v>1170.5</v>
      </c>
      <c r="DS24">
        <v>1181.3</v>
      </c>
      <c r="DT24">
        <v>1198.5</v>
      </c>
      <c r="DU24">
        <v>1223.0999999999999</v>
      </c>
      <c r="DV24">
        <v>1253</v>
      </c>
      <c r="DW24">
        <v>1281.5</v>
      </c>
      <c r="DX24">
        <v>1279</v>
      </c>
      <c r="DY24">
        <v>1305.9000000000001</v>
      </c>
      <c r="DZ24">
        <v>1326</v>
      </c>
      <c r="EA24">
        <v>1339.7</v>
      </c>
      <c r="EB24">
        <v>1352.9</v>
      </c>
      <c r="EC24">
        <v>1367</v>
      </c>
      <c r="ED24">
        <v>1379.3</v>
      </c>
      <c r="EE24">
        <v>1372.8</v>
      </c>
      <c r="EF24">
        <v>1387.2</v>
      </c>
      <c r="EG24">
        <v>1396</v>
      </c>
      <c r="EH24">
        <v>1414.8</v>
      </c>
      <c r="EI24">
        <v>1436.1</v>
      </c>
      <c r="EJ24">
        <v>1453.9</v>
      </c>
      <c r="EK24">
        <v>1479.2</v>
      </c>
      <c r="EL24">
        <v>1494.3</v>
      </c>
      <c r="EM24">
        <v>1513</v>
      </c>
      <c r="EN24">
        <v>1538</v>
      </c>
      <c r="EO24">
        <v>1564.8</v>
      </c>
      <c r="EP24">
        <v>1583</v>
      </c>
      <c r="EQ24">
        <v>1613.4</v>
      </c>
      <c r="ER24">
        <v>1634.8</v>
      </c>
      <c r="ES24">
        <v>1659.4</v>
      </c>
      <c r="ET24">
        <v>1700.9</v>
      </c>
      <c r="EU24">
        <v>1727.5</v>
      </c>
      <c r="EV24">
        <v>1749.9</v>
      </c>
      <c r="EW24">
        <v>1779.8</v>
      </c>
      <c r="EX24">
        <v>1798.5</v>
      </c>
      <c r="EY24">
        <v>1825</v>
      </c>
      <c r="EZ24">
        <v>1858.8</v>
      </c>
      <c r="FA24">
        <v>1842</v>
      </c>
      <c r="FB24">
        <v>1836.8</v>
      </c>
      <c r="FC24">
        <v>1857</v>
      </c>
      <c r="FD24">
        <v>1863.8</v>
      </c>
      <c r="FE24">
        <v>1864.6</v>
      </c>
      <c r="FF24">
        <v>1855.5</v>
      </c>
      <c r="FG24">
        <v>1860.7</v>
      </c>
      <c r="FH24">
        <v>1854</v>
      </c>
      <c r="FI24">
        <v>1851.4</v>
      </c>
      <c r="FJ24">
        <v>1849.8</v>
      </c>
      <c r="FK24">
        <v>1855.5</v>
      </c>
      <c r="FL24">
        <v>1848.3</v>
      </c>
      <c r="FM24">
        <v>1839.1</v>
      </c>
      <c r="FN24">
        <v>1847.9</v>
      </c>
      <c r="FO24">
        <v>1841.8</v>
      </c>
      <c r="FP24">
        <v>1845.3</v>
      </c>
      <c r="FQ24">
        <v>1862.7</v>
      </c>
      <c r="FR24">
        <v>1884.9</v>
      </c>
      <c r="FS24">
        <v>1899.8</v>
      </c>
      <c r="FT24">
        <v>1915.8</v>
      </c>
      <c r="FU24">
        <v>1923</v>
      </c>
      <c r="FV24">
        <v>1926.4</v>
      </c>
      <c r="FW24">
        <v>1944.1</v>
      </c>
      <c r="FX24">
        <v>1962.5</v>
      </c>
      <c r="FY24">
        <v>1978.3</v>
      </c>
      <c r="FZ24">
        <v>1973.3</v>
      </c>
      <c r="GA24">
        <v>2011.4</v>
      </c>
      <c r="GB24">
        <v>2029.4</v>
      </c>
      <c r="GC24">
        <v>2025.2</v>
      </c>
      <c r="GD24">
        <v>2040.9</v>
      </c>
      <c r="GE24">
        <v>2061.6</v>
      </c>
      <c r="GF24">
        <v>2077.6999999999998</v>
      </c>
      <c r="GG24">
        <v>2094</v>
      </c>
      <c r="GH24">
        <v>2114.8000000000002</v>
      </c>
      <c r="GI24">
        <v>2120.6</v>
      </c>
      <c r="GJ24">
        <v>2137.5</v>
      </c>
      <c r="GK24">
        <v>2172.1999999999998</v>
      </c>
      <c r="GL24">
        <v>2199.6999999999998</v>
      </c>
      <c r="GM24">
        <v>2232.6</v>
      </c>
      <c r="GN24">
        <v>2250.1</v>
      </c>
      <c r="GO24">
        <v>2249.6999999999998</v>
      </c>
      <c r="GP24">
        <v>2263.5</v>
      </c>
      <c r="GQ24">
        <v>2296</v>
      </c>
      <c r="GR24">
        <v>2307.1999999999998</v>
      </c>
      <c r="GS24">
        <v>2329.1999999999998</v>
      </c>
      <c r="GT24">
        <v>2376.9</v>
      </c>
      <c r="GU24">
        <v>2334.6</v>
      </c>
      <c r="GV24">
        <v>2346.5</v>
      </c>
      <c r="GW24">
        <v>2373</v>
      </c>
      <c r="GX24">
        <v>2408.6999999999998</v>
      </c>
      <c r="GY24">
        <v>2452.6</v>
      </c>
      <c r="GZ24">
        <v>2514.9</v>
      </c>
    </row>
    <row r="25" spans="1:208" x14ac:dyDescent="0.35">
      <c r="A25" t="s">
        <v>946</v>
      </c>
      <c r="B25">
        <v>714</v>
      </c>
      <c r="C25">
        <v>695.2</v>
      </c>
      <c r="D25">
        <v>686.7</v>
      </c>
      <c r="E25">
        <v>684.1</v>
      </c>
      <c r="F25">
        <v>662.1</v>
      </c>
      <c r="G25">
        <v>654.4</v>
      </c>
      <c r="H25">
        <v>651.5</v>
      </c>
      <c r="I25">
        <v>634.4</v>
      </c>
      <c r="J25">
        <v>639.70000000000005</v>
      </c>
      <c r="K25">
        <v>645.9</v>
      </c>
      <c r="L25">
        <v>616.29999999999995</v>
      </c>
      <c r="M25">
        <v>617.9</v>
      </c>
      <c r="N25">
        <v>625.9</v>
      </c>
      <c r="O25">
        <v>615.79999999999995</v>
      </c>
      <c r="P25">
        <v>594</v>
      </c>
      <c r="Q25">
        <v>595.4</v>
      </c>
      <c r="R25">
        <v>609.70000000000005</v>
      </c>
      <c r="S25">
        <v>607.6</v>
      </c>
      <c r="T25">
        <v>611.5</v>
      </c>
      <c r="U25">
        <v>617.6</v>
      </c>
      <c r="V25">
        <v>611.1</v>
      </c>
      <c r="W25">
        <v>605</v>
      </c>
      <c r="X25">
        <v>620.6</v>
      </c>
      <c r="Y25">
        <v>622.70000000000005</v>
      </c>
      <c r="Z25">
        <v>616.5</v>
      </c>
      <c r="AA25">
        <v>614.4</v>
      </c>
      <c r="AB25">
        <v>615.29999999999995</v>
      </c>
      <c r="AC25">
        <v>616.70000000000005</v>
      </c>
      <c r="AD25">
        <v>620.9</v>
      </c>
      <c r="AE25">
        <v>628.79999999999995</v>
      </c>
      <c r="AF25">
        <v>635.1</v>
      </c>
      <c r="AG25">
        <v>630.70000000000005</v>
      </c>
      <c r="AH25">
        <v>631.1</v>
      </c>
      <c r="AI25">
        <v>643.29999999999995</v>
      </c>
      <c r="AJ25">
        <v>647.5</v>
      </c>
      <c r="AK25">
        <v>653</v>
      </c>
      <c r="AL25">
        <v>652</v>
      </c>
      <c r="AM25">
        <v>658.6</v>
      </c>
      <c r="AN25">
        <v>660.2</v>
      </c>
      <c r="AO25">
        <v>660.9</v>
      </c>
      <c r="AP25">
        <v>678.5</v>
      </c>
      <c r="AQ25">
        <v>691.9</v>
      </c>
      <c r="AR25">
        <v>684</v>
      </c>
      <c r="AS25">
        <v>687.4</v>
      </c>
      <c r="AT25">
        <v>700.9</v>
      </c>
      <c r="AU25">
        <v>718.9</v>
      </c>
      <c r="AV25">
        <v>715.9</v>
      </c>
      <c r="AW25">
        <v>728.8</v>
      </c>
      <c r="AX25">
        <v>729.3</v>
      </c>
      <c r="AY25">
        <v>732.3</v>
      </c>
      <c r="AZ25">
        <v>744.3</v>
      </c>
      <c r="BA25">
        <v>761.9</v>
      </c>
      <c r="BB25">
        <v>773.9</v>
      </c>
      <c r="BC25">
        <v>788.3</v>
      </c>
      <c r="BD25">
        <v>808.7</v>
      </c>
      <c r="BE25">
        <v>782.5</v>
      </c>
      <c r="BF25">
        <v>789.2</v>
      </c>
      <c r="BG25">
        <v>813.1</v>
      </c>
      <c r="BH25">
        <v>812.3</v>
      </c>
      <c r="BI25">
        <v>838.4</v>
      </c>
      <c r="BJ25">
        <v>846</v>
      </c>
      <c r="BK25">
        <v>868.3</v>
      </c>
      <c r="BL25">
        <v>894.2</v>
      </c>
      <c r="BM25">
        <v>894.7</v>
      </c>
      <c r="BN25">
        <v>892.2</v>
      </c>
      <c r="BO25">
        <v>921.1</v>
      </c>
      <c r="BP25">
        <v>953</v>
      </c>
      <c r="BQ25">
        <v>941.8</v>
      </c>
      <c r="BR25">
        <v>947.9</v>
      </c>
      <c r="BS25">
        <v>960.8</v>
      </c>
      <c r="BT25">
        <v>959.5</v>
      </c>
      <c r="BU25">
        <v>975.7</v>
      </c>
      <c r="BV25">
        <v>947.7</v>
      </c>
      <c r="BW25">
        <v>940.6</v>
      </c>
      <c r="BX25">
        <v>936.1</v>
      </c>
      <c r="BY25">
        <v>962.1</v>
      </c>
      <c r="BZ25">
        <v>944.5</v>
      </c>
      <c r="CA25">
        <v>963.7</v>
      </c>
      <c r="CB25">
        <v>971.6</v>
      </c>
      <c r="CC25">
        <v>967.1</v>
      </c>
      <c r="CD25">
        <v>983.2</v>
      </c>
      <c r="CE25">
        <v>984.5</v>
      </c>
      <c r="CF25">
        <v>980.1</v>
      </c>
      <c r="CG25">
        <v>981.3</v>
      </c>
      <c r="CH25">
        <v>992.5</v>
      </c>
      <c r="CI25">
        <v>996.6</v>
      </c>
      <c r="CJ25">
        <v>983.4</v>
      </c>
      <c r="CK25">
        <v>958.8</v>
      </c>
      <c r="CL25">
        <v>962.4</v>
      </c>
      <c r="CM25">
        <v>959.9</v>
      </c>
      <c r="CN25">
        <v>973.4</v>
      </c>
      <c r="CO25">
        <v>974.1</v>
      </c>
      <c r="CP25">
        <v>942.2</v>
      </c>
      <c r="CQ25">
        <v>932.3</v>
      </c>
      <c r="CR25">
        <v>928.8</v>
      </c>
      <c r="CS25">
        <v>930.4</v>
      </c>
      <c r="CT25">
        <v>897.9</v>
      </c>
      <c r="CU25">
        <v>894.1</v>
      </c>
      <c r="CV25">
        <v>915.8</v>
      </c>
      <c r="CW25">
        <v>891.7</v>
      </c>
      <c r="CX25">
        <v>889.2</v>
      </c>
      <c r="CY25">
        <v>886.2</v>
      </c>
      <c r="CZ25">
        <v>879.1</v>
      </c>
      <c r="DA25">
        <v>849.1</v>
      </c>
      <c r="DB25">
        <v>865.9</v>
      </c>
      <c r="DC25">
        <v>874.1</v>
      </c>
      <c r="DD25">
        <v>862.5</v>
      </c>
      <c r="DE25">
        <v>858.3</v>
      </c>
      <c r="DF25">
        <v>846.2</v>
      </c>
      <c r="DG25">
        <v>865</v>
      </c>
      <c r="DH25">
        <v>861.3</v>
      </c>
      <c r="DI25">
        <v>859.9</v>
      </c>
      <c r="DJ25">
        <v>838.5</v>
      </c>
      <c r="DK25">
        <v>854.9</v>
      </c>
      <c r="DL25">
        <v>851.6</v>
      </c>
      <c r="DM25">
        <v>857</v>
      </c>
      <c r="DN25">
        <v>856.3</v>
      </c>
      <c r="DO25">
        <v>855.4</v>
      </c>
      <c r="DP25">
        <v>869</v>
      </c>
      <c r="DQ25">
        <v>886.8</v>
      </c>
      <c r="DR25">
        <v>857.6</v>
      </c>
      <c r="DS25">
        <v>884.1</v>
      </c>
      <c r="DT25">
        <v>867</v>
      </c>
      <c r="DU25">
        <v>868.9</v>
      </c>
      <c r="DV25">
        <v>887.5</v>
      </c>
      <c r="DW25">
        <v>900.4</v>
      </c>
      <c r="DX25">
        <v>905.8</v>
      </c>
      <c r="DY25">
        <v>916.6</v>
      </c>
      <c r="DZ25">
        <v>946.8</v>
      </c>
      <c r="EA25">
        <v>965.2</v>
      </c>
      <c r="EB25">
        <v>974.7</v>
      </c>
      <c r="EC25">
        <v>991.3</v>
      </c>
      <c r="ED25">
        <v>1002.5</v>
      </c>
      <c r="EE25">
        <v>1037.0999999999999</v>
      </c>
      <c r="EF25">
        <v>1036.8</v>
      </c>
      <c r="EG25">
        <v>1056.0999999999999</v>
      </c>
      <c r="EH25">
        <v>1067.5999999999999</v>
      </c>
      <c r="EI25">
        <v>1073.9000000000001</v>
      </c>
      <c r="EJ25">
        <v>1085.7</v>
      </c>
      <c r="EK25">
        <v>1083.7</v>
      </c>
      <c r="EL25">
        <v>1095.8</v>
      </c>
      <c r="EM25">
        <v>1094.5999999999999</v>
      </c>
      <c r="EN25">
        <v>1103.0999999999999</v>
      </c>
      <c r="EO25">
        <v>1103.5</v>
      </c>
      <c r="EP25">
        <v>1132.2</v>
      </c>
      <c r="EQ25">
        <v>1124.4000000000001</v>
      </c>
      <c r="ER25">
        <v>1114.3</v>
      </c>
      <c r="ES25">
        <v>1130.4000000000001</v>
      </c>
      <c r="ET25">
        <v>1123.7</v>
      </c>
      <c r="EU25">
        <v>1142.0999999999999</v>
      </c>
      <c r="EV25">
        <v>1152.0999999999999</v>
      </c>
      <c r="EW25">
        <v>1171.3</v>
      </c>
      <c r="EX25">
        <v>1189.0999999999999</v>
      </c>
      <c r="EY25">
        <v>1214.5</v>
      </c>
      <c r="EZ25">
        <v>1230.3</v>
      </c>
      <c r="FA25">
        <v>1246.3</v>
      </c>
      <c r="FB25">
        <v>1262.8</v>
      </c>
      <c r="FC25">
        <v>1292.8</v>
      </c>
      <c r="FD25">
        <v>1304.5999999999999</v>
      </c>
      <c r="FE25">
        <v>1324</v>
      </c>
      <c r="FF25">
        <v>1338.8</v>
      </c>
      <c r="FG25">
        <v>1356.4</v>
      </c>
      <c r="FH25">
        <v>1350.2</v>
      </c>
      <c r="FI25">
        <v>1348</v>
      </c>
      <c r="FJ25">
        <v>1329</v>
      </c>
      <c r="FK25">
        <v>1323.9</v>
      </c>
      <c r="FL25">
        <v>1295.0999999999999</v>
      </c>
      <c r="FM25">
        <v>1299.9000000000001</v>
      </c>
      <c r="FN25">
        <v>1299.9000000000001</v>
      </c>
      <c r="FO25">
        <v>1289.5</v>
      </c>
      <c r="FP25">
        <v>1292.2</v>
      </c>
      <c r="FQ25">
        <v>1266.4000000000001</v>
      </c>
      <c r="FR25">
        <v>1237.4000000000001</v>
      </c>
      <c r="FS25">
        <v>1227.4000000000001</v>
      </c>
      <c r="FT25">
        <v>1209.5999999999999</v>
      </c>
      <c r="FU25">
        <v>1188.9000000000001</v>
      </c>
      <c r="FV25">
        <v>1187.7</v>
      </c>
      <c r="FW25">
        <v>1180.7</v>
      </c>
      <c r="FX25">
        <v>1193.9000000000001</v>
      </c>
      <c r="FY25">
        <v>1176.5</v>
      </c>
      <c r="FZ25">
        <v>1181.3</v>
      </c>
      <c r="GA25">
        <v>1183.5</v>
      </c>
      <c r="GB25">
        <v>1182.3</v>
      </c>
      <c r="GC25">
        <v>1191.0999999999999</v>
      </c>
      <c r="GD25">
        <v>1194</v>
      </c>
      <c r="GE25">
        <v>1184.3</v>
      </c>
      <c r="GF25">
        <v>1191.5</v>
      </c>
      <c r="GG25">
        <v>1192.3</v>
      </c>
      <c r="GH25">
        <v>1183.8</v>
      </c>
      <c r="GI25">
        <v>1193.7</v>
      </c>
      <c r="GJ25">
        <v>1193.4000000000001</v>
      </c>
      <c r="GK25">
        <v>1207.7</v>
      </c>
      <c r="GL25">
        <v>1213</v>
      </c>
      <c r="GM25">
        <v>1228.0999999999999</v>
      </c>
      <c r="GN25">
        <v>1238.5</v>
      </c>
      <c r="GO25">
        <v>1244.2</v>
      </c>
      <c r="GP25">
        <v>1248.7</v>
      </c>
      <c r="GQ25">
        <v>1275.5</v>
      </c>
      <c r="GR25">
        <v>1286.8</v>
      </c>
      <c r="GS25">
        <v>1298</v>
      </c>
      <c r="GT25">
        <v>1305.8</v>
      </c>
      <c r="GU25">
        <v>1368.4</v>
      </c>
      <c r="GV25">
        <v>1349.6</v>
      </c>
      <c r="GW25">
        <v>1338.8</v>
      </c>
      <c r="GX25">
        <v>1375.2</v>
      </c>
      <c r="GY25">
        <v>1356.7</v>
      </c>
      <c r="GZ25">
        <v>1340.4</v>
      </c>
    </row>
    <row r="26" spans="1:208" x14ac:dyDescent="0.35">
      <c r="A26" t="s">
        <v>947</v>
      </c>
      <c r="B26">
        <v>834.4</v>
      </c>
      <c r="C26">
        <v>838.9</v>
      </c>
      <c r="D26">
        <v>858.1</v>
      </c>
      <c r="E26">
        <v>862.4</v>
      </c>
      <c r="F26">
        <v>866</v>
      </c>
      <c r="G26">
        <v>872.4</v>
      </c>
      <c r="H26">
        <v>875.4</v>
      </c>
      <c r="I26">
        <v>886.4</v>
      </c>
      <c r="J26">
        <v>888.8</v>
      </c>
      <c r="K26">
        <v>887.3</v>
      </c>
      <c r="L26">
        <v>894.4</v>
      </c>
      <c r="M26">
        <v>906.7</v>
      </c>
      <c r="N26">
        <v>910.9</v>
      </c>
      <c r="O26">
        <v>912.4</v>
      </c>
      <c r="P26">
        <v>921.9</v>
      </c>
      <c r="Q26">
        <v>933.1</v>
      </c>
      <c r="R26">
        <v>944.9</v>
      </c>
      <c r="S26">
        <v>956.6</v>
      </c>
      <c r="T26">
        <v>954.8</v>
      </c>
      <c r="U26">
        <v>955.2</v>
      </c>
      <c r="V26">
        <v>983.4</v>
      </c>
      <c r="W26">
        <v>976.4</v>
      </c>
      <c r="X26">
        <v>988.9</v>
      </c>
      <c r="Y26">
        <v>1002.1</v>
      </c>
      <c r="Z26">
        <v>1013.3</v>
      </c>
      <c r="AA26">
        <v>995.6</v>
      </c>
      <c r="AB26">
        <v>989</v>
      </c>
      <c r="AC26">
        <v>986</v>
      </c>
      <c r="AD26">
        <v>995.8</v>
      </c>
      <c r="AE26">
        <v>1001.9</v>
      </c>
      <c r="AF26">
        <v>1000.8</v>
      </c>
      <c r="AG26">
        <v>1002.4</v>
      </c>
      <c r="AH26">
        <v>1002.2</v>
      </c>
      <c r="AI26">
        <v>1032.3</v>
      </c>
      <c r="AJ26">
        <v>1044.2</v>
      </c>
      <c r="AK26">
        <v>1054.0999999999999</v>
      </c>
      <c r="AL26">
        <v>1036.2</v>
      </c>
      <c r="AM26">
        <v>1046</v>
      </c>
      <c r="AN26">
        <v>1049.5999999999999</v>
      </c>
      <c r="AO26">
        <v>1061.4000000000001</v>
      </c>
      <c r="AP26">
        <v>1066.3</v>
      </c>
      <c r="AQ26">
        <v>1052.2</v>
      </c>
      <c r="AR26">
        <v>1035.9000000000001</v>
      </c>
      <c r="AS26">
        <v>1030.8</v>
      </c>
      <c r="AT26">
        <v>1038.9000000000001</v>
      </c>
      <c r="AU26">
        <v>1019</v>
      </c>
      <c r="AV26">
        <v>1016.1</v>
      </c>
      <c r="AW26">
        <v>1024</v>
      </c>
      <c r="AX26">
        <v>1021.2</v>
      </c>
      <c r="AY26">
        <v>1024.8</v>
      </c>
      <c r="AZ26">
        <v>1024.8</v>
      </c>
      <c r="BA26">
        <v>1032.5</v>
      </c>
      <c r="BB26">
        <v>1036.3</v>
      </c>
      <c r="BC26">
        <v>1034.2</v>
      </c>
      <c r="BD26">
        <v>1043.2</v>
      </c>
      <c r="BE26">
        <v>1043.9000000000001</v>
      </c>
      <c r="BF26">
        <v>1057.0999999999999</v>
      </c>
      <c r="BG26">
        <v>1071.2</v>
      </c>
      <c r="BH26">
        <v>1089.5</v>
      </c>
      <c r="BI26">
        <v>1100.5</v>
      </c>
      <c r="BJ26">
        <v>1114.4000000000001</v>
      </c>
      <c r="BK26">
        <v>1134.5999999999999</v>
      </c>
      <c r="BL26">
        <v>1152.7</v>
      </c>
      <c r="BM26">
        <v>1161.5</v>
      </c>
      <c r="BN26">
        <v>1182.9000000000001</v>
      </c>
      <c r="BO26">
        <v>1194.4000000000001</v>
      </c>
      <c r="BP26">
        <v>1205.5</v>
      </c>
      <c r="BQ26">
        <v>1209.5</v>
      </c>
      <c r="BR26">
        <v>1215.9000000000001</v>
      </c>
      <c r="BS26">
        <v>1218.5999999999999</v>
      </c>
      <c r="BT26">
        <v>1222.8</v>
      </c>
      <c r="BU26">
        <v>1238.9000000000001</v>
      </c>
      <c r="BV26">
        <v>1252.5999999999999</v>
      </c>
      <c r="BW26">
        <v>1268.4000000000001</v>
      </c>
      <c r="BX26">
        <v>1274.0999999999999</v>
      </c>
      <c r="BY26">
        <v>1289.4000000000001</v>
      </c>
      <c r="BZ26">
        <v>1299.8</v>
      </c>
      <c r="CA26">
        <v>1314.2</v>
      </c>
      <c r="CB26">
        <v>1326.9</v>
      </c>
      <c r="CC26">
        <v>1344.6</v>
      </c>
      <c r="CD26">
        <v>1365.4</v>
      </c>
      <c r="CE26">
        <v>1367.9</v>
      </c>
      <c r="CF26">
        <v>1377</v>
      </c>
      <c r="CG26">
        <v>1392.4</v>
      </c>
      <c r="CH26">
        <v>1394.5</v>
      </c>
      <c r="CI26">
        <v>1400.1</v>
      </c>
      <c r="CJ26">
        <v>1408.3</v>
      </c>
      <c r="CK26">
        <v>1418.2</v>
      </c>
      <c r="CL26">
        <v>1436.5</v>
      </c>
      <c r="CM26">
        <v>1434.4</v>
      </c>
      <c r="CN26">
        <v>1435</v>
      </c>
      <c r="CO26">
        <v>1433.9</v>
      </c>
      <c r="CP26">
        <v>1438.9</v>
      </c>
      <c r="CQ26">
        <v>1450.6</v>
      </c>
      <c r="CR26">
        <v>1458.2</v>
      </c>
      <c r="CS26">
        <v>1465.3</v>
      </c>
      <c r="CT26">
        <v>1471.3</v>
      </c>
      <c r="CU26">
        <v>1488.1</v>
      </c>
      <c r="CV26">
        <v>1505.6</v>
      </c>
      <c r="CW26">
        <v>1511.1</v>
      </c>
      <c r="CX26">
        <v>1522.9</v>
      </c>
      <c r="CY26">
        <v>1534.9</v>
      </c>
      <c r="CZ26">
        <v>1536.4</v>
      </c>
      <c r="DA26">
        <v>1544.4</v>
      </c>
      <c r="DB26">
        <v>1541.6</v>
      </c>
      <c r="DC26">
        <v>1563.8</v>
      </c>
      <c r="DD26">
        <v>1577.1</v>
      </c>
      <c r="DE26">
        <v>1599.6</v>
      </c>
      <c r="DF26">
        <v>1600.1</v>
      </c>
      <c r="DG26">
        <v>1611.9</v>
      </c>
      <c r="DH26">
        <v>1628.1</v>
      </c>
      <c r="DI26">
        <v>1642.8</v>
      </c>
      <c r="DJ26">
        <v>1657.8</v>
      </c>
      <c r="DK26">
        <v>1684.9</v>
      </c>
      <c r="DL26">
        <v>1708.6</v>
      </c>
      <c r="DM26">
        <v>1718.3</v>
      </c>
      <c r="DN26">
        <v>1737.3</v>
      </c>
      <c r="DO26">
        <v>1748.4</v>
      </c>
      <c r="DP26">
        <v>1766</v>
      </c>
      <c r="DQ26">
        <v>1788.9</v>
      </c>
      <c r="DR26">
        <v>1801.7</v>
      </c>
      <c r="DS26">
        <v>1799.2</v>
      </c>
      <c r="DT26">
        <v>1806.2</v>
      </c>
      <c r="DU26">
        <v>1820.6</v>
      </c>
      <c r="DV26">
        <v>1842.9</v>
      </c>
      <c r="DW26">
        <v>1877.7</v>
      </c>
      <c r="DX26">
        <v>1869</v>
      </c>
      <c r="DY26">
        <v>1904.3</v>
      </c>
      <c r="DZ26">
        <v>1923.7</v>
      </c>
      <c r="EA26">
        <v>1926.3</v>
      </c>
      <c r="EB26">
        <v>1931.3</v>
      </c>
      <c r="EC26">
        <v>1935.3</v>
      </c>
      <c r="ED26">
        <v>1925.3</v>
      </c>
      <c r="EE26">
        <v>1914.9</v>
      </c>
      <c r="EF26">
        <v>1921.9</v>
      </c>
      <c r="EG26">
        <v>1919.2</v>
      </c>
      <c r="EH26">
        <v>1920.6</v>
      </c>
      <c r="EI26">
        <v>1922.1</v>
      </c>
      <c r="EJ26">
        <v>1914.9</v>
      </c>
      <c r="EK26">
        <v>1915.3</v>
      </c>
      <c r="EL26">
        <v>1917.6</v>
      </c>
      <c r="EM26">
        <v>1917</v>
      </c>
      <c r="EN26">
        <v>1918.2</v>
      </c>
      <c r="EO26">
        <v>1920.2</v>
      </c>
      <c r="EP26">
        <v>1928.9</v>
      </c>
      <c r="EQ26">
        <v>1936.2</v>
      </c>
      <c r="ER26">
        <v>1942.4</v>
      </c>
      <c r="ES26">
        <v>1951</v>
      </c>
      <c r="ET26">
        <v>1962.4</v>
      </c>
      <c r="EU26">
        <v>1971.8</v>
      </c>
      <c r="EV26">
        <v>1975.8</v>
      </c>
      <c r="EW26">
        <v>1980.8</v>
      </c>
      <c r="EX26">
        <v>1970</v>
      </c>
      <c r="EY26">
        <v>1971.6</v>
      </c>
      <c r="EZ26">
        <v>1981.5</v>
      </c>
      <c r="FA26">
        <v>1987.3</v>
      </c>
      <c r="FB26">
        <v>2007.7</v>
      </c>
      <c r="FC26">
        <v>2025.2</v>
      </c>
      <c r="FD26">
        <v>2022.3</v>
      </c>
      <c r="FE26">
        <v>2008.4</v>
      </c>
      <c r="FF26">
        <v>1978.9</v>
      </c>
      <c r="FG26">
        <v>1971.3</v>
      </c>
      <c r="FH26">
        <v>1953.9</v>
      </c>
      <c r="FI26">
        <v>1934.9</v>
      </c>
      <c r="FJ26">
        <v>1913.8</v>
      </c>
      <c r="FK26">
        <v>1896.9</v>
      </c>
      <c r="FL26">
        <v>1879.8</v>
      </c>
      <c r="FM26">
        <v>1872.6</v>
      </c>
      <c r="FN26">
        <v>1859</v>
      </c>
      <c r="FO26">
        <v>1852.9</v>
      </c>
      <c r="FP26">
        <v>1845.5</v>
      </c>
      <c r="FQ26">
        <v>1840.5</v>
      </c>
      <c r="FR26">
        <v>1841.3</v>
      </c>
      <c r="FS26">
        <v>1846</v>
      </c>
      <c r="FT26">
        <v>1847</v>
      </c>
      <c r="FU26">
        <v>1843.4</v>
      </c>
      <c r="FV26">
        <v>1832.2</v>
      </c>
      <c r="FW26">
        <v>1842.7</v>
      </c>
      <c r="FX26">
        <v>1849.9</v>
      </c>
      <c r="FY26">
        <v>1865.4</v>
      </c>
      <c r="FZ26">
        <v>1876.3</v>
      </c>
      <c r="GA26">
        <v>1900</v>
      </c>
      <c r="GB26">
        <v>1915.1</v>
      </c>
      <c r="GC26">
        <v>1917.5</v>
      </c>
      <c r="GD26">
        <v>1946.9</v>
      </c>
      <c r="GE26">
        <v>1951.6</v>
      </c>
      <c r="GF26">
        <v>1960.4</v>
      </c>
      <c r="GG26">
        <v>1966.2</v>
      </c>
      <c r="GH26">
        <v>1967.8</v>
      </c>
      <c r="GI26">
        <v>1967.5</v>
      </c>
      <c r="GJ26">
        <v>1965.3</v>
      </c>
      <c r="GK26">
        <v>1973.4</v>
      </c>
      <c r="GL26">
        <v>1974.9</v>
      </c>
      <c r="GM26">
        <v>1982.5</v>
      </c>
      <c r="GN26">
        <v>1980.2</v>
      </c>
      <c r="GO26">
        <v>1968.1</v>
      </c>
      <c r="GP26">
        <v>1985.4</v>
      </c>
      <c r="GQ26">
        <v>1998.7</v>
      </c>
      <c r="GR26">
        <v>2004.3</v>
      </c>
      <c r="GS26">
        <v>2017.6</v>
      </c>
      <c r="GT26">
        <v>2039.7</v>
      </c>
      <c r="GU26">
        <v>2011</v>
      </c>
      <c r="GV26">
        <v>2011.4</v>
      </c>
      <c r="GW26">
        <v>2017.6</v>
      </c>
      <c r="GX26">
        <v>2017.1</v>
      </c>
      <c r="GY26">
        <v>2017.9</v>
      </c>
      <c r="GZ26">
        <v>2039.6</v>
      </c>
    </row>
    <row r="27" spans="1:208" x14ac:dyDescent="0.35">
      <c r="A27" t="s">
        <v>158</v>
      </c>
      <c r="B27">
        <v>90.6</v>
      </c>
      <c r="C27">
        <v>91.4</v>
      </c>
      <c r="D27">
        <v>86.3</v>
      </c>
      <c r="E27">
        <v>87.2</v>
      </c>
      <c r="F27">
        <v>83.6</v>
      </c>
      <c r="G27">
        <v>85.1</v>
      </c>
      <c r="H27">
        <v>86.3</v>
      </c>
      <c r="I27">
        <v>88.2</v>
      </c>
      <c r="J27">
        <v>100.3</v>
      </c>
      <c r="K27">
        <v>102.4</v>
      </c>
      <c r="L27">
        <v>103.1</v>
      </c>
      <c r="M27">
        <v>105.3</v>
      </c>
      <c r="N27">
        <v>104.5</v>
      </c>
      <c r="O27">
        <v>106.9</v>
      </c>
      <c r="P27">
        <v>111</v>
      </c>
      <c r="Q27">
        <v>116</v>
      </c>
      <c r="R27">
        <v>119.5</v>
      </c>
      <c r="S27">
        <v>124.8</v>
      </c>
      <c r="T27">
        <v>129.69999999999999</v>
      </c>
      <c r="U27">
        <v>132</v>
      </c>
      <c r="V27">
        <v>132.30000000000001</v>
      </c>
      <c r="W27">
        <v>94.6</v>
      </c>
      <c r="X27">
        <v>125.7</v>
      </c>
      <c r="Y27">
        <v>130.4</v>
      </c>
      <c r="Z27">
        <v>133</v>
      </c>
      <c r="AA27">
        <v>138.69999999999999</v>
      </c>
      <c r="AB27">
        <v>144.5</v>
      </c>
      <c r="AC27">
        <v>150.1</v>
      </c>
      <c r="AD27">
        <v>155.30000000000001</v>
      </c>
      <c r="AE27">
        <v>161</v>
      </c>
      <c r="AF27">
        <v>162.6</v>
      </c>
      <c r="AG27">
        <v>171.2</v>
      </c>
      <c r="AH27">
        <v>173.4</v>
      </c>
      <c r="AI27">
        <v>182.9</v>
      </c>
      <c r="AJ27">
        <v>195.4</v>
      </c>
      <c r="AK27">
        <v>205.1</v>
      </c>
      <c r="AL27">
        <v>211.6</v>
      </c>
      <c r="AM27">
        <v>219.9</v>
      </c>
      <c r="AN27">
        <v>229.4</v>
      </c>
      <c r="AO27">
        <v>238.6</v>
      </c>
      <c r="AP27">
        <v>238.3</v>
      </c>
      <c r="AQ27">
        <v>244.2</v>
      </c>
      <c r="AR27">
        <v>252.8</v>
      </c>
      <c r="AS27">
        <v>267.2</v>
      </c>
      <c r="AT27">
        <v>278.39999999999998</v>
      </c>
      <c r="AU27">
        <v>289</v>
      </c>
      <c r="AV27">
        <v>301.39999999999998</v>
      </c>
      <c r="AW27">
        <v>295.89999999999998</v>
      </c>
      <c r="AX27">
        <v>295.2</v>
      </c>
      <c r="AY27">
        <v>301.7</v>
      </c>
      <c r="AZ27">
        <v>289.7</v>
      </c>
      <c r="BA27">
        <v>295.8</v>
      </c>
      <c r="BB27">
        <v>289.5</v>
      </c>
      <c r="BC27">
        <v>295.3</v>
      </c>
      <c r="BD27">
        <v>277.3</v>
      </c>
      <c r="BE27">
        <v>284.89999999999998</v>
      </c>
      <c r="BF27">
        <v>287.89999999999998</v>
      </c>
      <c r="BG27">
        <v>294.60000000000002</v>
      </c>
      <c r="BH27">
        <v>307.3</v>
      </c>
      <c r="BI27">
        <v>317.7</v>
      </c>
      <c r="BJ27">
        <v>353</v>
      </c>
      <c r="BK27">
        <v>307.60000000000002</v>
      </c>
      <c r="BL27">
        <v>340</v>
      </c>
      <c r="BM27">
        <v>345.2</v>
      </c>
      <c r="BN27">
        <v>341.8</v>
      </c>
      <c r="BO27">
        <v>344.4</v>
      </c>
      <c r="BP27">
        <v>352</v>
      </c>
      <c r="BQ27">
        <v>364.2</v>
      </c>
      <c r="BR27">
        <v>358.3</v>
      </c>
      <c r="BS27">
        <v>410.2</v>
      </c>
      <c r="BT27">
        <v>394.9</v>
      </c>
      <c r="BU27">
        <v>408.5</v>
      </c>
      <c r="BV27">
        <v>402.6</v>
      </c>
      <c r="BW27">
        <v>400.6</v>
      </c>
      <c r="BX27">
        <v>402.5</v>
      </c>
      <c r="BY27">
        <v>409.6</v>
      </c>
      <c r="BZ27">
        <v>439.5</v>
      </c>
      <c r="CA27">
        <v>448.4</v>
      </c>
      <c r="CB27">
        <v>457.1</v>
      </c>
      <c r="CC27">
        <v>467.4</v>
      </c>
      <c r="CD27">
        <v>463.2</v>
      </c>
      <c r="CE27">
        <v>472</v>
      </c>
      <c r="CF27">
        <v>477</v>
      </c>
      <c r="CG27">
        <v>476.2</v>
      </c>
      <c r="CH27">
        <v>459.6</v>
      </c>
      <c r="CI27">
        <v>461.4</v>
      </c>
      <c r="CJ27">
        <v>464.1</v>
      </c>
      <c r="CK27">
        <v>469.2</v>
      </c>
      <c r="CL27">
        <v>461.3</v>
      </c>
      <c r="CM27">
        <v>470.2</v>
      </c>
      <c r="CN27">
        <v>479.4</v>
      </c>
      <c r="CO27">
        <v>499</v>
      </c>
      <c r="CP27">
        <v>480.3</v>
      </c>
      <c r="CQ27">
        <v>505.3</v>
      </c>
      <c r="CR27">
        <v>515.6</v>
      </c>
      <c r="CS27">
        <v>529.5</v>
      </c>
      <c r="CT27">
        <v>526.70000000000005</v>
      </c>
      <c r="CU27">
        <v>555.9</v>
      </c>
      <c r="CV27">
        <v>544.20000000000005</v>
      </c>
      <c r="CW27">
        <v>553.4</v>
      </c>
      <c r="CX27">
        <v>567.70000000000005</v>
      </c>
      <c r="CY27">
        <v>594.4</v>
      </c>
      <c r="CZ27">
        <v>591.5</v>
      </c>
      <c r="DA27">
        <v>607.6</v>
      </c>
      <c r="DB27">
        <v>636.4</v>
      </c>
      <c r="DC27">
        <v>673.6</v>
      </c>
      <c r="DD27">
        <v>674.2</v>
      </c>
      <c r="DE27">
        <v>689.4</v>
      </c>
      <c r="DF27">
        <v>724.3</v>
      </c>
      <c r="DG27">
        <v>739.3</v>
      </c>
      <c r="DH27">
        <v>757</v>
      </c>
      <c r="DI27">
        <v>778.6</v>
      </c>
      <c r="DJ27">
        <v>800.6</v>
      </c>
      <c r="DK27">
        <v>820.9</v>
      </c>
      <c r="DL27">
        <v>841.6</v>
      </c>
      <c r="DM27">
        <v>861.7</v>
      </c>
      <c r="DN27">
        <v>869.8</v>
      </c>
      <c r="DO27">
        <v>885.8</v>
      </c>
      <c r="DP27">
        <v>904.2</v>
      </c>
      <c r="DQ27">
        <v>930</v>
      </c>
      <c r="DR27">
        <v>976.6</v>
      </c>
      <c r="DS27">
        <v>986.9</v>
      </c>
      <c r="DT27">
        <v>1011.1</v>
      </c>
      <c r="DU27">
        <v>1023.9</v>
      </c>
      <c r="DV27">
        <v>1051</v>
      </c>
      <c r="DW27">
        <v>1049</v>
      </c>
      <c r="DX27">
        <v>881.7</v>
      </c>
      <c r="DY27">
        <v>1002.4</v>
      </c>
      <c r="DZ27">
        <v>847.8</v>
      </c>
      <c r="EA27">
        <v>836.7</v>
      </c>
      <c r="EB27">
        <v>825.3</v>
      </c>
      <c r="EC27">
        <v>819.6</v>
      </c>
      <c r="ED27">
        <v>803.5</v>
      </c>
      <c r="EE27">
        <v>812.9</v>
      </c>
      <c r="EF27">
        <v>716.5</v>
      </c>
      <c r="EG27">
        <v>781.6</v>
      </c>
      <c r="EH27">
        <v>773.2</v>
      </c>
      <c r="EI27">
        <v>792.4</v>
      </c>
      <c r="EJ27">
        <v>816.7</v>
      </c>
      <c r="EK27">
        <v>829.8</v>
      </c>
      <c r="EL27">
        <v>902.9</v>
      </c>
      <c r="EM27">
        <v>925.8</v>
      </c>
      <c r="EN27">
        <v>949.5</v>
      </c>
      <c r="EO27">
        <v>970.6</v>
      </c>
      <c r="EP27">
        <v>1025.5</v>
      </c>
      <c r="EQ27">
        <v>1041.2</v>
      </c>
      <c r="ER27">
        <v>1060.9000000000001</v>
      </c>
      <c r="ES27">
        <v>1095.8</v>
      </c>
      <c r="ET27">
        <v>1146</v>
      </c>
      <c r="EU27">
        <v>1163.9000000000001</v>
      </c>
      <c r="EV27">
        <v>1179.3</v>
      </c>
      <c r="EW27">
        <v>1194.4000000000001</v>
      </c>
      <c r="EX27">
        <v>1201.7</v>
      </c>
      <c r="EY27">
        <v>1191.3</v>
      </c>
      <c r="EZ27">
        <v>1173.7</v>
      </c>
      <c r="FA27">
        <v>1139.8</v>
      </c>
      <c r="FB27">
        <v>921.2</v>
      </c>
      <c r="FC27">
        <v>855.5</v>
      </c>
      <c r="FD27">
        <v>842</v>
      </c>
      <c r="FE27">
        <v>847.5</v>
      </c>
      <c r="FF27">
        <v>903.4</v>
      </c>
      <c r="FG27">
        <v>935.2</v>
      </c>
      <c r="FH27">
        <v>958.5</v>
      </c>
      <c r="FI27">
        <v>977.2</v>
      </c>
      <c r="FJ27">
        <v>1111.4000000000001</v>
      </c>
      <c r="FK27">
        <v>1126.5</v>
      </c>
      <c r="FL27">
        <v>1144.2</v>
      </c>
      <c r="FM27">
        <v>1141</v>
      </c>
      <c r="FN27">
        <v>1138.3</v>
      </c>
      <c r="FO27">
        <v>1150.5999999999999</v>
      </c>
      <c r="FP27">
        <v>1163.8</v>
      </c>
      <c r="FQ27">
        <v>1212.9000000000001</v>
      </c>
      <c r="FR27">
        <v>1273.5</v>
      </c>
      <c r="FS27">
        <v>1296.4000000000001</v>
      </c>
      <c r="FT27">
        <v>1308.3</v>
      </c>
      <c r="FU27">
        <v>1333.2</v>
      </c>
      <c r="FV27">
        <v>1369.1</v>
      </c>
      <c r="FW27">
        <v>1389</v>
      </c>
      <c r="FX27">
        <v>1413.3</v>
      </c>
      <c r="FY27">
        <v>1443.5</v>
      </c>
      <c r="FZ27">
        <v>1509.1</v>
      </c>
      <c r="GA27">
        <v>1527.7</v>
      </c>
      <c r="GB27">
        <v>1540.9</v>
      </c>
      <c r="GC27">
        <v>1552.6</v>
      </c>
      <c r="GD27">
        <v>1526.8</v>
      </c>
      <c r="GE27">
        <v>1536.7</v>
      </c>
      <c r="GF27">
        <v>1553.8</v>
      </c>
      <c r="GG27">
        <v>1574.5</v>
      </c>
      <c r="GH27">
        <v>1580.3</v>
      </c>
      <c r="GI27">
        <v>1600.7</v>
      </c>
      <c r="GJ27">
        <v>1623.8</v>
      </c>
      <c r="GK27">
        <v>1649.4</v>
      </c>
      <c r="GL27">
        <v>1597.2</v>
      </c>
      <c r="GM27">
        <v>1607.4</v>
      </c>
      <c r="GN27">
        <v>1627.1</v>
      </c>
      <c r="GO27">
        <v>1634.1</v>
      </c>
      <c r="GP27">
        <v>1696.4</v>
      </c>
      <c r="GQ27">
        <v>1701.9</v>
      </c>
      <c r="GR27">
        <v>1707.8</v>
      </c>
      <c r="GS27">
        <v>1728.6</v>
      </c>
      <c r="GT27">
        <v>1737.9</v>
      </c>
      <c r="GU27">
        <v>1581.5</v>
      </c>
      <c r="GV27">
        <v>1662.2</v>
      </c>
      <c r="GW27">
        <v>1736.9</v>
      </c>
      <c r="GX27">
        <v>1851.9</v>
      </c>
      <c r="GY27">
        <v>1928.3</v>
      </c>
      <c r="GZ27">
        <v>1994.3</v>
      </c>
    </row>
    <row r="28" spans="1:208" x14ac:dyDescent="0.35">
      <c r="A28" t="s">
        <v>160</v>
      </c>
      <c r="B28">
        <v>17.899999999999999</v>
      </c>
      <c r="C28">
        <v>18.100000000000001</v>
      </c>
      <c r="D28">
        <v>18.2</v>
      </c>
      <c r="E28">
        <v>18.2</v>
      </c>
      <c r="F28">
        <v>19.399999999999999</v>
      </c>
      <c r="G28">
        <v>18.7</v>
      </c>
      <c r="H28">
        <v>18.899999999999999</v>
      </c>
      <c r="I28">
        <v>19</v>
      </c>
      <c r="J28">
        <v>18.2</v>
      </c>
      <c r="K28">
        <v>18.3</v>
      </c>
      <c r="L28">
        <v>18.5</v>
      </c>
      <c r="M28">
        <v>19</v>
      </c>
      <c r="N28">
        <v>19.5</v>
      </c>
      <c r="O28">
        <v>19.899999999999999</v>
      </c>
      <c r="P28">
        <v>19.7</v>
      </c>
      <c r="Q28">
        <v>20.100000000000001</v>
      </c>
      <c r="R28">
        <v>19.8</v>
      </c>
      <c r="S28">
        <v>20.100000000000001</v>
      </c>
      <c r="T28">
        <v>20.2</v>
      </c>
      <c r="U28">
        <v>20.2</v>
      </c>
      <c r="V28">
        <v>19.8</v>
      </c>
      <c r="W28">
        <v>21.3</v>
      </c>
      <c r="X28">
        <v>23.3</v>
      </c>
      <c r="Y28">
        <v>23.9</v>
      </c>
      <c r="Z28">
        <v>20.8</v>
      </c>
      <c r="AA28">
        <v>21.3</v>
      </c>
      <c r="AB28">
        <v>21.7</v>
      </c>
      <c r="AC28">
        <v>21.7</v>
      </c>
      <c r="AD28">
        <v>22</v>
      </c>
      <c r="AE28">
        <v>22.5</v>
      </c>
      <c r="AF28">
        <v>23.2</v>
      </c>
      <c r="AG28">
        <v>23.2</v>
      </c>
      <c r="AH28">
        <v>24</v>
      </c>
      <c r="AI28">
        <v>25.4</v>
      </c>
      <c r="AJ28">
        <v>25.5</v>
      </c>
      <c r="AK28">
        <v>26.3</v>
      </c>
      <c r="AL28">
        <v>25.9</v>
      </c>
      <c r="AM28">
        <v>25.9</v>
      </c>
      <c r="AN28">
        <v>25.3</v>
      </c>
      <c r="AO28">
        <v>25.6</v>
      </c>
      <c r="AP28">
        <v>27.6</v>
      </c>
      <c r="AQ28">
        <v>33.6</v>
      </c>
      <c r="AR28">
        <v>36.1</v>
      </c>
      <c r="AS28">
        <v>37.299999999999997</v>
      </c>
      <c r="AT28">
        <v>50.7</v>
      </c>
      <c r="AU28">
        <v>51.8</v>
      </c>
      <c r="AV28">
        <v>49.1</v>
      </c>
      <c r="AW28">
        <v>48.1</v>
      </c>
      <c r="AX28">
        <v>43.5</v>
      </c>
      <c r="AY28">
        <v>40</v>
      </c>
      <c r="AZ28">
        <v>40.1</v>
      </c>
      <c r="BA28">
        <v>40.299999999999997</v>
      </c>
      <c r="BB28">
        <v>41.1</v>
      </c>
      <c r="BC28">
        <v>45.3</v>
      </c>
      <c r="BD28">
        <v>45.5</v>
      </c>
      <c r="BE28">
        <v>45.8</v>
      </c>
      <c r="BF28">
        <v>47</v>
      </c>
      <c r="BG28">
        <v>47.5</v>
      </c>
      <c r="BH28">
        <v>47.4</v>
      </c>
      <c r="BI28">
        <v>47.3</v>
      </c>
      <c r="BJ28">
        <v>46.4</v>
      </c>
      <c r="BK28">
        <v>45.7</v>
      </c>
      <c r="BL28">
        <v>46.8</v>
      </c>
      <c r="BM28">
        <v>45.4</v>
      </c>
      <c r="BN28">
        <v>44.5</v>
      </c>
      <c r="BO28">
        <v>42.9</v>
      </c>
      <c r="BP28">
        <v>43.8</v>
      </c>
      <c r="BQ28">
        <v>43.6</v>
      </c>
      <c r="BR28">
        <v>44.1</v>
      </c>
      <c r="BS28">
        <v>45.8</v>
      </c>
      <c r="BT28">
        <v>46.4</v>
      </c>
      <c r="BU28">
        <v>47.4</v>
      </c>
      <c r="BV28">
        <v>49.6</v>
      </c>
      <c r="BW28">
        <v>49.3</v>
      </c>
      <c r="BX28">
        <v>50.2</v>
      </c>
      <c r="BY28">
        <v>50.2</v>
      </c>
      <c r="BZ28">
        <v>50.8</v>
      </c>
      <c r="CA28">
        <v>49.2</v>
      </c>
      <c r="CB28">
        <v>50</v>
      </c>
      <c r="CC28">
        <v>48.9</v>
      </c>
      <c r="CD28">
        <v>50.3</v>
      </c>
      <c r="CE28">
        <v>50.8</v>
      </c>
      <c r="CF28">
        <v>51.1</v>
      </c>
      <c r="CG28">
        <v>51.5</v>
      </c>
      <c r="CH28">
        <v>59.7</v>
      </c>
      <c r="CI28">
        <v>61.3</v>
      </c>
      <c r="CJ28">
        <v>61.8</v>
      </c>
      <c r="CK28">
        <v>64.2</v>
      </c>
      <c r="CL28">
        <v>63.6</v>
      </c>
      <c r="CM28">
        <v>63.1</v>
      </c>
      <c r="CN28">
        <v>61.9</v>
      </c>
      <c r="CO28">
        <v>64.599999999999994</v>
      </c>
      <c r="CP28">
        <v>62.2</v>
      </c>
      <c r="CQ28">
        <v>64.8</v>
      </c>
      <c r="CR28">
        <v>65.400000000000006</v>
      </c>
      <c r="CS28">
        <v>73.099999999999994</v>
      </c>
      <c r="CT28">
        <v>75.5</v>
      </c>
      <c r="CU28">
        <v>78.599999999999994</v>
      </c>
      <c r="CV28">
        <v>80.5</v>
      </c>
      <c r="CW28">
        <v>81.400000000000006</v>
      </c>
      <c r="CX28">
        <v>76.599999999999994</v>
      </c>
      <c r="CY28">
        <v>75.7</v>
      </c>
      <c r="CZ28">
        <v>75.400000000000006</v>
      </c>
      <c r="DA28">
        <v>74.5</v>
      </c>
      <c r="DB28">
        <v>72.599999999999994</v>
      </c>
      <c r="DC28">
        <v>71.2</v>
      </c>
      <c r="DD28">
        <v>71.7</v>
      </c>
      <c r="DE28">
        <v>75.900000000000006</v>
      </c>
      <c r="DF28">
        <v>72</v>
      </c>
      <c r="DG28">
        <v>79.7</v>
      </c>
      <c r="DH28">
        <v>79.900000000000006</v>
      </c>
      <c r="DI28">
        <v>79.7</v>
      </c>
      <c r="DJ28">
        <v>79.5</v>
      </c>
      <c r="DK28">
        <v>80.099999999999994</v>
      </c>
      <c r="DL28">
        <v>81.5</v>
      </c>
      <c r="DM28">
        <v>81.7</v>
      </c>
      <c r="DN28">
        <v>81.3</v>
      </c>
      <c r="DO28">
        <v>81.599999999999994</v>
      </c>
      <c r="DP28">
        <v>83.8</v>
      </c>
      <c r="DQ28">
        <v>87</v>
      </c>
      <c r="DR28">
        <v>86.1</v>
      </c>
      <c r="DS28">
        <v>88.4</v>
      </c>
      <c r="DT28">
        <v>87.5</v>
      </c>
      <c r="DU28">
        <v>87</v>
      </c>
      <c r="DV28">
        <v>87.1</v>
      </c>
      <c r="DW28">
        <v>86.3</v>
      </c>
      <c r="DX28">
        <v>83.6</v>
      </c>
      <c r="DY28">
        <v>84.1</v>
      </c>
      <c r="DZ28">
        <v>84.7</v>
      </c>
      <c r="EA28">
        <v>87.3</v>
      </c>
      <c r="EB28">
        <v>88</v>
      </c>
      <c r="EC28">
        <v>87.3</v>
      </c>
      <c r="ED28">
        <v>90.1</v>
      </c>
      <c r="EE28">
        <v>90</v>
      </c>
      <c r="EF28">
        <v>89.6</v>
      </c>
      <c r="EG28">
        <v>91.1</v>
      </c>
      <c r="EH28">
        <v>94.1</v>
      </c>
      <c r="EI28">
        <v>94.8</v>
      </c>
      <c r="EJ28">
        <v>95.9</v>
      </c>
      <c r="EK28">
        <v>96.2</v>
      </c>
      <c r="EL28">
        <v>97.2</v>
      </c>
      <c r="EM28">
        <v>101.4</v>
      </c>
      <c r="EN28">
        <v>100.3</v>
      </c>
      <c r="EO28">
        <v>98.7</v>
      </c>
      <c r="EP28">
        <v>99.1</v>
      </c>
      <c r="EQ28">
        <v>99.5</v>
      </c>
      <c r="ER28">
        <v>100.2</v>
      </c>
      <c r="ES28">
        <v>98.1</v>
      </c>
      <c r="ET28">
        <v>93.9</v>
      </c>
      <c r="EU28">
        <v>93.7</v>
      </c>
      <c r="EV28">
        <v>95.4</v>
      </c>
      <c r="EW28">
        <v>95.5</v>
      </c>
      <c r="EX28">
        <v>93.2</v>
      </c>
      <c r="EY28">
        <v>95.3</v>
      </c>
      <c r="EZ28">
        <v>93.7</v>
      </c>
      <c r="FA28">
        <v>93.7</v>
      </c>
      <c r="FB28">
        <v>86.7</v>
      </c>
      <c r="FC28">
        <v>94.3</v>
      </c>
      <c r="FD28">
        <v>91.4</v>
      </c>
      <c r="FE28">
        <v>93.2</v>
      </c>
      <c r="FF28">
        <v>93.1</v>
      </c>
      <c r="FG28">
        <v>96.4</v>
      </c>
      <c r="FH28">
        <v>98.9</v>
      </c>
      <c r="FI28">
        <v>98.7</v>
      </c>
      <c r="FJ28">
        <v>104.7</v>
      </c>
      <c r="FK28">
        <v>109.1</v>
      </c>
      <c r="FL28">
        <v>109.4</v>
      </c>
      <c r="FM28">
        <v>111.4</v>
      </c>
      <c r="FN28">
        <v>113.9</v>
      </c>
      <c r="FO28">
        <v>114.4</v>
      </c>
      <c r="FP28">
        <v>114.7</v>
      </c>
      <c r="FQ28">
        <v>117.6</v>
      </c>
      <c r="FR28">
        <v>122.3</v>
      </c>
      <c r="FS28">
        <v>124.4</v>
      </c>
      <c r="FT28">
        <v>126.4</v>
      </c>
      <c r="FU28">
        <v>128.80000000000001</v>
      </c>
      <c r="FV28">
        <v>136.6</v>
      </c>
      <c r="FW28">
        <v>135.30000000000001</v>
      </c>
      <c r="FX28">
        <v>136.9</v>
      </c>
      <c r="FY28">
        <v>136.4</v>
      </c>
      <c r="FZ28">
        <v>139.9</v>
      </c>
      <c r="GA28">
        <v>143.5</v>
      </c>
      <c r="GB28">
        <v>136.1</v>
      </c>
      <c r="GC28">
        <v>141.69999999999999</v>
      </c>
      <c r="GD28">
        <v>138.19999999999999</v>
      </c>
      <c r="GE28">
        <v>135.69999999999999</v>
      </c>
      <c r="GF28">
        <v>136</v>
      </c>
      <c r="GG28">
        <v>136.1</v>
      </c>
      <c r="GH28">
        <v>127.7</v>
      </c>
      <c r="GI28">
        <v>132.30000000000001</v>
      </c>
      <c r="GJ28">
        <v>131.9</v>
      </c>
      <c r="GK28">
        <v>134.5</v>
      </c>
      <c r="GL28">
        <v>150.9</v>
      </c>
      <c r="GM28">
        <v>157.4</v>
      </c>
      <c r="GN28">
        <v>162.5</v>
      </c>
      <c r="GO28">
        <v>183.7</v>
      </c>
      <c r="GP28">
        <v>173.4</v>
      </c>
      <c r="GQ28">
        <v>172.2</v>
      </c>
      <c r="GR28">
        <v>175.3</v>
      </c>
      <c r="GS28">
        <v>177.9</v>
      </c>
      <c r="GT28">
        <v>185.8</v>
      </c>
      <c r="GU28">
        <v>138.30000000000001</v>
      </c>
      <c r="GV28">
        <v>151.30000000000001</v>
      </c>
      <c r="GW28">
        <v>156.6</v>
      </c>
      <c r="GX28">
        <v>166.2</v>
      </c>
      <c r="GY28">
        <v>177.8</v>
      </c>
      <c r="GZ28">
        <v>173.1</v>
      </c>
    </row>
    <row r="29" spans="1:208" x14ac:dyDescent="0.35">
      <c r="A29" t="s">
        <v>162</v>
      </c>
      <c r="B29">
        <v>27</v>
      </c>
      <c r="C29">
        <v>27</v>
      </c>
      <c r="D29">
        <v>27.9</v>
      </c>
      <c r="E29">
        <v>26.6</v>
      </c>
      <c r="F29">
        <v>29.9</v>
      </c>
      <c r="G29">
        <v>30.7</v>
      </c>
      <c r="H29">
        <v>29.8</v>
      </c>
      <c r="I29">
        <v>30.1</v>
      </c>
      <c r="J29">
        <v>31.8</v>
      </c>
      <c r="K29">
        <v>32</v>
      </c>
      <c r="L29">
        <v>33.1</v>
      </c>
      <c r="M29">
        <v>36.6</v>
      </c>
      <c r="N29">
        <v>39.299999999999997</v>
      </c>
      <c r="O29">
        <v>39.4</v>
      </c>
      <c r="P29">
        <v>37.6</v>
      </c>
      <c r="Q29">
        <v>39.4</v>
      </c>
      <c r="R29">
        <v>37.4</v>
      </c>
      <c r="S29">
        <v>39.299999999999997</v>
      </c>
      <c r="T29">
        <v>43.5</v>
      </c>
      <c r="U29">
        <v>38.1</v>
      </c>
      <c r="V29">
        <v>31.5</v>
      </c>
      <c r="W29">
        <v>34.200000000000003</v>
      </c>
      <c r="X29">
        <v>43.2</v>
      </c>
      <c r="Y29">
        <v>43.9</v>
      </c>
      <c r="Z29">
        <v>49.9</v>
      </c>
      <c r="AA29">
        <v>49</v>
      </c>
      <c r="AB29">
        <v>48.5</v>
      </c>
      <c r="AC29">
        <v>47.5</v>
      </c>
      <c r="AD29">
        <v>51</v>
      </c>
      <c r="AE29">
        <v>55.7</v>
      </c>
      <c r="AF29">
        <v>57.9</v>
      </c>
      <c r="AG29">
        <v>58.1</v>
      </c>
      <c r="AH29">
        <v>54.4</v>
      </c>
      <c r="AI29">
        <v>66.2</v>
      </c>
      <c r="AJ29">
        <v>66.7</v>
      </c>
      <c r="AK29">
        <v>70.3</v>
      </c>
      <c r="AL29">
        <v>66.599999999999994</v>
      </c>
      <c r="AM29">
        <v>66.5</v>
      </c>
      <c r="AN29">
        <v>65.3</v>
      </c>
      <c r="AO29">
        <v>62.1</v>
      </c>
      <c r="AP29">
        <v>67</v>
      </c>
      <c r="AQ29">
        <v>49.8</v>
      </c>
      <c r="AR29">
        <v>56</v>
      </c>
      <c r="AS29">
        <v>61.7</v>
      </c>
      <c r="AT29">
        <v>58.5</v>
      </c>
      <c r="AU29">
        <v>50.7</v>
      </c>
      <c r="AV29">
        <v>52.7</v>
      </c>
      <c r="AW29">
        <v>44.8</v>
      </c>
      <c r="AX29">
        <v>33.5</v>
      </c>
      <c r="AY29">
        <v>34.700000000000003</v>
      </c>
      <c r="AZ29">
        <v>35.4</v>
      </c>
      <c r="BA29">
        <v>31.7</v>
      </c>
      <c r="BB29">
        <v>34.299999999999997</v>
      </c>
      <c r="BC29">
        <v>46.3</v>
      </c>
      <c r="BD29">
        <v>53.3</v>
      </c>
      <c r="BE29">
        <v>54.6</v>
      </c>
      <c r="BF29">
        <v>64.8</v>
      </c>
      <c r="BG29">
        <v>63.8</v>
      </c>
      <c r="BH29">
        <v>53.8</v>
      </c>
      <c r="BI29">
        <v>54.3</v>
      </c>
      <c r="BJ29">
        <v>57.7</v>
      </c>
      <c r="BK29">
        <v>56.3</v>
      </c>
      <c r="BL29">
        <v>60.8</v>
      </c>
      <c r="BM29">
        <v>59</v>
      </c>
      <c r="BN29">
        <v>63</v>
      </c>
      <c r="BO29">
        <v>63.4</v>
      </c>
      <c r="BP29">
        <v>64.599999999999994</v>
      </c>
      <c r="BQ29">
        <v>73.099999999999994</v>
      </c>
      <c r="BR29">
        <v>76</v>
      </c>
      <c r="BS29">
        <v>87.3</v>
      </c>
      <c r="BT29">
        <v>91.3</v>
      </c>
      <c r="BU29">
        <v>87.1</v>
      </c>
      <c r="BV29">
        <v>84.5</v>
      </c>
      <c r="BW29">
        <v>90</v>
      </c>
      <c r="BX29">
        <v>97.8</v>
      </c>
      <c r="BY29">
        <v>102.7</v>
      </c>
      <c r="BZ29">
        <v>104.9</v>
      </c>
      <c r="CA29">
        <v>94.4</v>
      </c>
      <c r="CB29">
        <v>91.6</v>
      </c>
      <c r="CC29">
        <v>91.4</v>
      </c>
      <c r="CD29">
        <v>91.1</v>
      </c>
      <c r="CE29">
        <v>94.7</v>
      </c>
      <c r="CF29">
        <v>97</v>
      </c>
      <c r="CG29">
        <v>95.4</v>
      </c>
      <c r="CH29">
        <v>91.5</v>
      </c>
      <c r="CI29">
        <v>87.5</v>
      </c>
      <c r="CJ29">
        <v>88.2</v>
      </c>
      <c r="CK29">
        <v>89.5</v>
      </c>
      <c r="CL29">
        <v>99.8</v>
      </c>
      <c r="CM29">
        <v>102</v>
      </c>
      <c r="CN29">
        <v>98.9</v>
      </c>
      <c r="CO29">
        <v>107.2</v>
      </c>
      <c r="CP29">
        <v>111.5</v>
      </c>
      <c r="CQ29">
        <v>121.9</v>
      </c>
      <c r="CR29">
        <v>115.5</v>
      </c>
      <c r="CS29">
        <v>141</v>
      </c>
      <c r="CT29">
        <v>122.4</v>
      </c>
      <c r="CU29">
        <v>129.30000000000001</v>
      </c>
      <c r="CV29">
        <v>142.4</v>
      </c>
      <c r="CW29">
        <v>150.9</v>
      </c>
      <c r="CX29">
        <v>155.30000000000001</v>
      </c>
      <c r="CY29">
        <v>153.1</v>
      </c>
      <c r="CZ29">
        <v>159.1</v>
      </c>
      <c r="DA29">
        <v>156.19999999999999</v>
      </c>
      <c r="DB29">
        <v>162.4</v>
      </c>
      <c r="DC29">
        <v>171.9</v>
      </c>
      <c r="DD29">
        <v>172.6</v>
      </c>
      <c r="DE29">
        <v>175.3</v>
      </c>
      <c r="DF29">
        <v>176.9</v>
      </c>
      <c r="DG29">
        <v>180.5</v>
      </c>
      <c r="DH29">
        <v>190.5</v>
      </c>
      <c r="DI29">
        <v>181.5</v>
      </c>
      <c r="DJ29">
        <v>178.8</v>
      </c>
      <c r="DK29">
        <v>175.4</v>
      </c>
      <c r="DL29">
        <v>180.1</v>
      </c>
      <c r="DM29">
        <v>176.4</v>
      </c>
      <c r="DN29">
        <v>186</v>
      </c>
      <c r="DO29">
        <v>184.4</v>
      </c>
      <c r="DP29">
        <v>187.7</v>
      </c>
      <c r="DQ29">
        <v>192.1</v>
      </c>
      <c r="DR29">
        <v>202.2</v>
      </c>
      <c r="DS29">
        <v>201.1</v>
      </c>
      <c r="DT29">
        <v>185.6</v>
      </c>
      <c r="DU29">
        <v>187.6</v>
      </c>
      <c r="DV29">
        <v>154.9</v>
      </c>
      <c r="DW29">
        <v>148.69999999999999</v>
      </c>
      <c r="DX29">
        <v>130.9</v>
      </c>
      <c r="DY29">
        <v>115.8</v>
      </c>
      <c r="DZ29">
        <v>115.5</v>
      </c>
      <c r="EA29">
        <v>119.9</v>
      </c>
      <c r="EB29">
        <v>126.5</v>
      </c>
      <c r="EC29">
        <v>142</v>
      </c>
      <c r="ED29">
        <v>161.5</v>
      </c>
      <c r="EE29">
        <v>160.9</v>
      </c>
      <c r="EF29">
        <v>180.3</v>
      </c>
      <c r="EG29">
        <v>200.4</v>
      </c>
      <c r="EH29">
        <v>209.2</v>
      </c>
      <c r="EI29">
        <v>226</v>
      </c>
      <c r="EJ29">
        <v>244.5</v>
      </c>
      <c r="EK29">
        <v>249.2</v>
      </c>
      <c r="EL29">
        <v>315.3</v>
      </c>
      <c r="EM29">
        <v>306.10000000000002</v>
      </c>
      <c r="EN29">
        <v>311.89999999999998</v>
      </c>
      <c r="EO29">
        <v>344.7</v>
      </c>
      <c r="EP29">
        <v>357.2</v>
      </c>
      <c r="EQ29">
        <v>367.3</v>
      </c>
      <c r="ER29">
        <v>384.8</v>
      </c>
      <c r="ES29">
        <v>354.6</v>
      </c>
      <c r="ET29">
        <v>354.5</v>
      </c>
      <c r="EU29">
        <v>347.7</v>
      </c>
      <c r="EV29">
        <v>314.60000000000002</v>
      </c>
      <c r="EW29">
        <v>296.2</v>
      </c>
      <c r="EX29">
        <v>241.7</v>
      </c>
      <c r="EY29">
        <v>227.1</v>
      </c>
      <c r="EZ29">
        <v>211.5</v>
      </c>
      <c r="FA29">
        <v>127.5</v>
      </c>
      <c r="FB29">
        <v>122.7</v>
      </c>
      <c r="FC29">
        <v>138.9</v>
      </c>
      <c r="FD29">
        <v>159.4</v>
      </c>
      <c r="FE29">
        <v>190.8</v>
      </c>
      <c r="FF29">
        <v>204.7</v>
      </c>
      <c r="FG29">
        <v>212.2</v>
      </c>
      <c r="FH29">
        <v>227.1</v>
      </c>
      <c r="FI29">
        <v>233.6</v>
      </c>
      <c r="FJ29">
        <v>228.9</v>
      </c>
      <c r="FK29">
        <v>227.2</v>
      </c>
      <c r="FL29">
        <v>201.7</v>
      </c>
      <c r="FM29">
        <v>238</v>
      </c>
      <c r="FN29">
        <v>261.5</v>
      </c>
      <c r="FO29">
        <v>275.5</v>
      </c>
      <c r="FP29">
        <v>280.8</v>
      </c>
      <c r="FQ29">
        <v>280.89999999999998</v>
      </c>
      <c r="FR29">
        <v>297</v>
      </c>
      <c r="FS29">
        <v>293.2</v>
      </c>
      <c r="FT29">
        <v>301.2</v>
      </c>
      <c r="FU29">
        <v>302.3</v>
      </c>
      <c r="FV29">
        <v>336.4</v>
      </c>
      <c r="FW29">
        <v>360</v>
      </c>
      <c r="FX29">
        <v>330.1</v>
      </c>
      <c r="FY29">
        <v>332.1</v>
      </c>
      <c r="FZ29">
        <v>345.9</v>
      </c>
      <c r="GA29">
        <v>351</v>
      </c>
      <c r="GB29">
        <v>323.8</v>
      </c>
      <c r="GC29">
        <v>295.60000000000002</v>
      </c>
      <c r="GD29">
        <v>310.60000000000002</v>
      </c>
      <c r="GE29">
        <v>315.2</v>
      </c>
      <c r="GF29">
        <v>322</v>
      </c>
      <c r="GG29">
        <v>299.60000000000002</v>
      </c>
      <c r="GH29">
        <v>233.3</v>
      </c>
      <c r="GI29">
        <v>241.6</v>
      </c>
      <c r="GJ29">
        <v>255.4</v>
      </c>
      <c r="GK29">
        <v>251.3</v>
      </c>
      <c r="GL29">
        <v>189.2</v>
      </c>
      <c r="GM29">
        <v>210.3</v>
      </c>
      <c r="GN29">
        <v>213.3</v>
      </c>
      <c r="GO29">
        <v>222.5</v>
      </c>
      <c r="GP29">
        <v>211.3</v>
      </c>
      <c r="GQ29">
        <v>218.9</v>
      </c>
      <c r="GR29">
        <v>206.5</v>
      </c>
      <c r="GS29">
        <v>231.4</v>
      </c>
      <c r="GT29">
        <v>166.7</v>
      </c>
      <c r="GU29">
        <v>167.4</v>
      </c>
      <c r="GV29">
        <v>211.7</v>
      </c>
      <c r="GW29">
        <v>225.1</v>
      </c>
      <c r="GX29">
        <v>246.4</v>
      </c>
      <c r="GY29">
        <v>275.10000000000002</v>
      </c>
      <c r="GZ29">
        <v>248.86666666666699</v>
      </c>
    </row>
    <row r="30" spans="1:208" x14ac:dyDescent="0.35">
      <c r="A30" t="s">
        <v>164</v>
      </c>
      <c r="B30">
        <v>45.1</v>
      </c>
      <c r="C30">
        <v>45.4</v>
      </c>
      <c r="D30">
        <v>45.9</v>
      </c>
      <c r="E30">
        <v>45.6</v>
      </c>
      <c r="F30">
        <v>49.6</v>
      </c>
      <c r="G30">
        <v>50.2</v>
      </c>
      <c r="H30">
        <v>50.5</v>
      </c>
      <c r="I30">
        <v>51</v>
      </c>
      <c r="J30">
        <v>57.3</v>
      </c>
      <c r="K30">
        <v>57.9</v>
      </c>
      <c r="L30">
        <v>58.5</v>
      </c>
      <c r="M30">
        <v>59.4</v>
      </c>
      <c r="N30">
        <v>72.7</v>
      </c>
      <c r="O30">
        <v>73.8</v>
      </c>
      <c r="P30">
        <v>75.099999999999994</v>
      </c>
      <c r="Q30">
        <v>76.599999999999994</v>
      </c>
      <c r="R30">
        <v>82.1</v>
      </c>
      <c r="S30">
        <v>83.6</v>
      </c>
      <c r="T30">
        <v>85.2</v>
      </c>
      <c r="U30">
        <v>85.4</v>
      </c>
      <c r="V30">
        <v>86.5</v>
      </c>
      <c r="W30">
        <v>86.8</v>
      </c>
      <c r="X30">
        <v>88.5</v>
      </c>
      <c r="Y30">
        <v>90.5</v>
      </c>
      <c r="Z30">
        <v>97.5</v>
      </c>
      <c r="AA30">
        <v>98.9</v>
      </c>
      <c r="AB30">
        <v>100.6</v>
      </c>
      <c r="AC30">
        <v>102.1</v>
      </c>
      <c r="AD30">
        <v>107.5</v>
      </c>
      <c r="AE30">
        <v>110.1</v>
      </c>
      <c r="AF30">
        <v>112.2</v>
      </c>
      <c r="AG30">
        <v>114.4</v>
      </c>
      <c r="AH30">
        <v>121.6</v>
      </c>
      <c r="AI30">
        <v>126.5</v>
      </c>
      <c r="AJ30">
        <v>130.80000000000001</v>
      </c>
      <c r="AK30">
        <v>136</v>
      </c>
      <c r="AL30">
        <v>143.1</v>
      </c>
      <c r="AM30">
        <v>147.4</v>
      </c>
      <c r="AN30">
        <v>152.4</v>
      </c>
      <c r="AO30">
        <v>156.30000000000001</v>
      </c>
      <c r="AP30">
        <v>159.30000000000001</v>
      </c>
      <c r="AQ30">
        <v>161</v>
      </c>
      <c r="AR30">
        <v>164.2</v>
      </c>
      <c r="AS30">
        <v>170.1</v>
      </c>
      <c r="AT30">
        <v>187.3</v>
      </c>
      <c r="AU30">
        <v>190.9</v>
      </c>
      <c r="AV30">
        <v>195.6</v>
      </c>
      <c r="AW30">
        <v>198.2</v>
      </c>
      <c r="AX30">
        <v>203.2</v>
      </c>
      <c r="AY30">
        <v>205.2</v>
      </c>
      <c r="AZ30">
        <v>207.5</v>
      </c>
      <c r="BA30">
        <v>208.3</v>
      </c>
      <c r="BB30">
        <v>216.1</v>
      </c>
      <c r="BC30">
        <v>220.2</v>
      </c>
      <c r="BD30">
        <v>224.8</v>
      </c>
      <c r="BE30">
        <v>231.2</v>
      </c>
      <c r="BF30">
        <v>246.3</v>
      </c>
      <c r="BG30">
        <v>252.1</v>
      </c>
      <c r="BH30">
        <v>257.10000000000002</v>
      </c>
      <c r="BI30">
        <v>261.10000000000002</v>
      </c>
      <c r="BJ30">
        <v>271</v>
      </c>
      <c r="BK30">
        <v>275</v>
      </c>
      <c r="BL30">
        <v>279.7</v>
      </c>
      <c r="BM30">
        <v>285.89999999999998</v>
      </c>
      <c r="BN30">
        <v>292.7</v>
      </c>
      <c r="BO30">
        <v>296.10000000000002</v>
      </c>
      <c r="BP30">
        <v>300.8</v>
      </c>
      <c r="BQ30">
        <v>306.2</v>
      </c>
      <c r="BR30">
        <v>310.7</v>
      </c>
      <c r="BS30">
        <v>314.5</v>
      </c>
      <c r="BT30">
        <v>319</v>
      </c>
      <c r="BU30">
        <v>325.60000000000002</v>
      </c>
      <c r="BV30">
        <v>344.7</v>
      </c>
      <c r="BW30">
        <v>351.7</v>
      </c>
      <c r="BX30">
        <v>357.7</v>
      </c>
      <c r="BY30">
        <v>365</v>
      </c>
      <c r="BZ30">
        <v>370.9</v>
      </c>
      <c r="CA30">
        <v>375.4</v>
      </c>
      <c r="CB30">
        <v>379.8</v>
      </c>
      <c r="CC30">
        <v>385.6</v>
      </c>
      <c r="CD30">
        <v>394</v>
      </c>
      <c r="CE30">
        <v>399</v>
      </c>
      <c r="CF30">
        <v>406.4</v>
      </c>
      <c r="CG30">
        <v>408.9</v>
      </c>
      <c r="CH30">
        <v>412</v>
      </c>
      <c r="CI30">
        <v>418.3</v>
      </c>
      <c r="CJ30">
        <v>423.7</v>
      </c>
      <c r="CK30">
        <v>428.4</v>
      </c>
      <c r="CL30">
        <v>439.9</v>
      </c>
      <c r="CM30">
        <v>445.1</v>
      </c>
      <c r="CN30">
        <v>447.9</v>
      </c>
      <c r="CO30">
        <v>442.9</v>
      </c>
      <c r="CP30">
        <v>462.1</v>
      </c>
      <c r="CQ30">
        <v>462.4</v>
      </c>
      <c r="CR30">
        <v>466.8</v>
      </c>
      <c r="CS30">
        <v>470.8</v>
      </c>
      <c r="CT30">
        <v>485.8</v>
      </c>
      <c r="CU30">
        <v>493</v>
      </c>
      <c r="CV30">
        <v>499</v>
      </c>
      <c r="CW30">
        <v>506.8</v>
      </c>
      <c r="CX30">
        <v>514.20000000000005</v>
      </c>
      <c r="CY30">
        <v>519</v>
      </c>
      <c r="CZ30">
        <v>524.6</v>
      </c>
      <c r="DA30">
        <v>529.9</v>
      </c>
      <c r="DB30">
        <v>532.9</v>
      </c>
      <c r="DC30">
        <v>541.70000000000005</v>
      </c>
      <c r="DD30">
        <v>549.5</v>
      </c>
      <c r="DE30">
        <v>557.5</v>
      </c>
      <c r="DF30">
        <v>566</v>
      </c>
      <c r="DG30">
        <v>574</v>
      </c>
      <c r="DH30">
        <v>582.9</v>
      </c>
      <c r="DI30">
        <v>594.79999999999995</v>
      </c>
      <c r="DJ30">
        <v>602.79999999999995</v>
      </c>
      <c r="DK30">
        <v>612.29999999999995</v>
      </c>
      <c r="DL30">
        <v>622.20000000000005</v>
      </c>
      <c r="DM30">
        <v>632.20000000000005</v>
      </c>
      <c r="DN30">
        <v>643.5</v>
      </c>
      <c r="DO30">
        <v>649.29999999999995</v>
      </c>
      <c r="DP30">
        <v>656.7</v>
      </c>
      <c r="DQ30">
        <v>669.8</v>
      </c>
      <c r="DR30">
        <v>689.4</v>
      </c>
      <c r="DS30">
        <v>691.5</v>
      </c>
      <c r="DT30">
        <v>704.2</v>
      </c>
      <c r="DU30">
        <v>709.2</v>
      </c>
      <c r="DV30">
        <v>723.4</v>
      </c>
      <c r="DW30">
        <v>723.4</v>
      </c>
      <c r="DX30">
        <v>722</v>
      </c>
      <c r="DY30">
        <v>724.2</v>
      </c>
      <c r="DZ30">
        <v>732</v>
      </c>
      <c r="EA30">
        <v>739.9</v>
      </c>
      <c r="EB30">
        <v>742</v>
      </c>
      <c r="EC30">
        <v>743.8</v>
      </c>
      <c r="ED30">
        <v>749.1</v>
      </c>
      <c r="EE30">
        <v>758.6</v>
      </c>
      <c r="EF30">
        <v>767.2</v>
      </c>
      <c r="EG30">
        <v>778.2</v>
      </c>
      <c r="EH30">
        <v>790</v>
      </c>
      <c r="EI30">
        <v>803.5</v>
      </c>
      <c r="EJ30">
        <v>818.4</v>
      </c>
      <c r="EK30">
        <v>824</v>
      </c>
      <c r="EL30">
        <v>837.4</v>
      </c>
      <c r="EM30">
        <v>846</v>
      </c>
      <c r="EN30">
        <v>859.8</v>
      </c>
      <c r="EO30">
        <v>870.4</v>
      </c>
      <c r="EP30">
        <v>895.1</v>
      </c>
      <c r="EQ30">
        <v>900.8</v>
      </c>
      <c r="ER30">
        <v>906.2</v>
      </c>
      <c r="ES30">
        <v>920.6</v>
      </c>
      <c r="ET30">
        <v>940.9</v>
      </c>
      <c r="EU30">
        <v>943.1</v>
      </c>
      <c r="EV30">
        <v>946.7</v>
      </c>
      <c r="EW30">
        <v>958.4</v>
      </c>
      <c r="EX30">
        <v>970.2</v>
      </c>
      <c r="EY30">
        <v>972.3</v>
      </c>
      <c r="EZ30">
        <v>977.6</v>
      </c>
      <c r="FA30">
        <v>977.8</v>
      </c>
      <c r="FB30">
        <v>946</v>
      </c>
      <c r="FC30">
        <v>952.6</v>
      </c>
      <c r="FD30">
        <v>950.3</v>
      </c>
      <c r="FE30">
        <v>953.9</v>
      </c>
      <c r="FF30">
        <v>960.6</v>
      </c>
      <c r="FG30">
        <v>971.7</v>
      </c>
      <c r="FH30">
        <v>974.6</v>
      </c>
      <c r="FI30">
        <v>976.6</v>
      </c>
      <c r="FJ30">
        <v>898.3</v>
      </c>
      <c r="FK30">
        <v>900.9</v>
      </c>
      <c r="FL30">
        <v>909.4</v>
      </c>
      <c r="FM30">
        <v>904.2</v>
      </c>
      <c r="FN30">
        <v>927.5</v>
      </c>
      <c r="FO30">
        <v>932.2</v>
      </c>
      <c r="FP30">
        <v>935.2</v>
      </c>
      <c r="FQ30">
        <v>957</v>
      </c>
      <c r="FR30">
        <v>1078.5999999999999</v>
      </c>
      <c r="FS30">
        <v>1090.7</v>
      </c>
      <c r="FT30">
        <v>1093.5999999999999</v>
      </c>
      <c r="FU30">
        <v>1104.2</v>
      </c>
      <c r="FV30">
        <v>1126.5999999999999</v>
      </c>
      <c r="FW30">
        <v>1131</v>
      </c>
      <c r="FX30">
        <v>1142.5</v>
      </c>
      <c r="FY30">
        <v>1160.0999999999999</v>
      </c>
      <c r="FZ30">
        <v>1175.2</v>
      </c>
      <c r="GA30">
        <v>1187</v>
      </c>
      <c r="GB30">
        <v>1196.8</v>
      </c>
      <c r="GC30">
        <v>1204.0999999999999</v>
      </c>
      <c r="GD30">
        <v>1211</v>
      </c>
      <c r="GE30">
        <v>1217</v>
      </c>
      <c r="GF30">
        <v>1228</v>
      </c>
      <c r="GG30">
        <v>1241.5</v>
      </c>
      <c r="GH30">
        <v>1262.5</v>
      </c>
      <c r="GI30">
        <v>1275.0999999999999</v>
      </c>
      <c r="GJ30">
        <v>1290.2</v>
      </c>
      <c r="GK30">
        <v>1308.9000000000001</v>
      </c>
      <c r="GL30">
        <v>1328.5</v>
      </c>
      <c r="GM30">
        <v>1338</v>
      </c>
      <c r="GN30">
        <v>1353.9</v>
      </c>
      <c r="GO30">
        <v>1361.4</v>
      </c>
      <c r="GP30">
        <v>1392.4</v>
      </c>
      <c r="GQ30">
        <v>1399.3</v>
      </c>
      <c r="GR30">
        <v>1406.9</v>
      </c>
      <c r="GS30">
        <v>1426.4</v>
      </c>
      <c r="GT30">
        <v>1457.1</v>
      </c>
      <c r="GU30">
        <v>1391.6</v>
      </c>
      <c r="GV30">
        <v>1443.8</v>
      </c>
      <c r="GW30">
        <v>1486</v>
      </c>
      <c r="GX30">
        <v>1517.9</v>
      </c>
      <c r="GY30">
        <v>1542.2</v>
      </c>
      <c r="GZ30">
        <v>1572.1</v>
      </c>
    </row>
    <row r="31" spans="1:208" x14ac:dyDescent="0.35">
      <c r="A31" t="s">
        <v>640</v>
      </c>
      <c r="B31">
        <v>48.3</v>
      </c>
      <c r="C31">
        <v>57.5</v>
      </c>
      <c r="D31">
        <v>56.9</v>
      </c>
      <c r="E31">
        <v>59.8</v>
      </c>
      <c r="F31">
        <v>61</v>
      </c>
      <c r="G31">
        <v>67.900000000000006</v>
      </c>
      <c r="H31">
        <v>67.2</v>
      </c>
      <c r="I31">
        <v>68.2</v>
      </c>
      <c r="J31">
        <v>70.2</v>
      </c>
      <c r="K31">
        <v>70.2</v>
      </c>
      <c r="L31">
        <v>70.3</v>
      </c>
      <c r="M31">
        <v>80.599999999999994</v>
      </c>
      <c r="N31">
        <v>82.2</v>
      </c>
      <c r="O31">
        <v>83.6</v>
      </c>
      <c r="P31">
        <v>85.1</v>
      </c>
      <c r="Q31">
        <v>87.3</v>
      </c>
      <c r="R31">
        <v>94.1</v>
      </c>
      <c r="S31">
        <v>100.7</v>
      </c>
      <c r="T31">
        <v>106.4</v>
      </c>
      <c r="U31">
        <v>112</v>
      </c>
      <c r="V31">
        <v>120.5</v>
      </c>
      <c r="W31">
        <v>134.19999999999999</v>
      </c>
      <c r="X31">
        <v>136.80000000000001</v>
      </c>
      <c r="Y31">
        <v>137.80000000000001</v>
      </c>
      <c r="Z31">
        <v>141.30000000000001</v>
      </c>
      <c r="AA31">
        <v>139.6</v>
      </c>
      <c r="AB31">
        <v>145.4</v>
      </c>
      <c r="AC31">
        <v>147.69999999999999</v>
      </c>
      <c r="AD31">
        <v>149.80000000000001</v>
      </c>
      <c r="AE31">
        <v>148.9</v>
      </c>
      <c r="AF31">
        <v>154.4</v>
      </c>
      <c r="AG31">
        <v>156.6</v>
      </c>
      <c r="AH31">
        <v>158.5</v>
      </c>
      <c r="AI31">
        <v>158</v>
      </c>
      <c r="AJ31">
        <v>165.9</v>
      </c>
      <c r="AK31">
        <v>168.3</v>
      </c>
      <c r="AL31">
        <v>172.5</v>
      </c>
      <c r="AM31">
        <v>175.7</v>
      </c>
      <c r="AN31">
        <v>190.1</v>
      </c>
      <c r="AO31">
        <v>193.8</v>
      </c>
      <c r="AP31">
        <v>202.1</v>
      </c>
      <c r="AQ31">
        <v>207.3</v>
      </c>
      <c r="AR31">
        <v>235.4</v>
      </c>
      <c r="AS31">
        <v>236.4</v>
      </c>
      <c r="AT31">
        <v>240.5</v>
      </c>
      <c r="AU31">
        <v>241.6</v>
      </c>
      <c r="AV31">
        <v>259.3</v>
      </c>
      <c r="AW31">
        <v>261.5</v>
      </c>
      <c r="AX31">
        <v>265.2</v>
      </c>
      <c r="AY31">
        <v>272.2</v>
      </c>
      <c r="AZ31">
        <v>287.5</v>
      </c>
      <c r="BA31">
        <v>302.60000000000002</v>
      </c>
      <c r="BB31">
        <v>302.2</v>
      </c>
      <c r="BC31">
        <v>307.39999999999998</v>
      </c>
      <c r="BD31">
        <v>301.3</v>
      </c>
      <c r="BE31">
        <v>303.5</v>
      </c>
      <c r="BF31">
        <v>306.39999999999998</v>
      </c>
      <c r="BG31">
        <v>308.39999999999998</v>
      </c>
      <c r="BH31">
        <v>309.10000000000002</v>
      </c>
      <c r="BI31">
        <v>315.10000000000002</v>
      </c>
      <c r="BJ31">
        <v>323.2</v>
      </c>
      <c r="BK31">
        <v>324.2</v>
      </c>
      <c r="BL31">
        <v>327.5</v>
      </c>
      <c r="BM31">
        <v>328.5</v>
      </c>
      <c r="BN31">
        <v>338.3</v>
      </c>
      <c r="BO31">
        <v>342</v>
      </c>
      <c r="BP31">
        <v>347.8</v>
      </c>
      <c r="BQ31">
        <v>348.9</v>
      </c>
      <c r="BR31">
        <v>353.6</v>
      </c>
      <c r="BS31">
        <v>357.6</v>
      </c>
      <c r="BT31">
        <v>357.9</v>
      </c>
      <c r="BU31">
        <v>359.7</v>
      </c>
      <c r="BV31">
        <v>375</v>
      </c>
      <c r="BW31">
        <v>376.1</v>
      </c>
      <c r="BX31">
        <v>379.3</v>
      </c>
      <c r="BY31">
        <v>383</v>
      </c>
      <c r="BZ31">
        <v>403.9</v>
      </c>
      <c r="CA31">
        <v>408.3</v>
      </c>
      <c r="CB31">
        <v>413.7</v>
      </c>
      <c r="CC31">
        <v>420.9</v>
      </c>
      <c r="CD31">
        <v>437.5</v>
      </c>
      <c r="CE31">
        <v>443.4</v>
      </c>
      <c r="CF31">
        <v>447.9</v>
      </c>
      <c r="CG31">
        <v>459.4</v>
      </c>
      <c r="CH31">
        <v>481</v>
      </c>
      <c r="CI31">
        <v>491.3</v>
      </c>
      <c r="CJ31">
        <v>495.1</v>
      </c>
      <c r="CK31">
        <v>508.5</v>
      </c>
      <c r="CL31">
        <v>540</v>
      </c>
      <c r="CM31">
        <v>550.5</v>
      </c>
      <c r="CN31">
        <v>555.5</v>
      </c>
      <c r="CO31">
        <v>561.1</v>
      </c>
      <c r="CP31">
        <v>577.6</v>
      </c>
      <c r="CQ31">
        <v>582</v>
      </c>
      <c r="CR31">
        <v>585.70000000000005</v>
      </c>
      <c r="CS31">
        <v>589.6</v>
      </c>
      <c r="CT31">
        <v>601.79999999999995</v>
      </c>
      <c r="CU31">
        <v>606.20000000000005</v>
      </c>
      <c r="CV31">
        <v>610</v>
      </c>
      <c r="CW31">
        <v>618.1</v>
      </c>
      <c r="CX31">
        <v>637.6</v>
      </c>
      <c r="CY31">
        <v>644.9</v>
      </c>
      <c r="CZ31">
        <v>650</v>
      </c>
      <c r="DA31">
        <v>655.8</v>
      </c>
      <c r="DB31">
        <v>675</v>
      </c>
      <c r="DC31">
        <v>680.7</v>
      </c>
      <c r="DD31">
        <v>683.7</v>
      </c>
      <c r="DE31">
        <v>688.9</v>
      </c>
      <c r="DF31">
        <v>704.5</v>
      </c>
      <c r="DG31">
        <v>707.5</v>
      </c>
      <c r="DH31">
        <v>709.2</v>
      </c>
      <c r="DI31">
        <v>710.2</v>
      </c>
      <c r="DJ31">
        <v>719.7</v>
      </c>
      <c r="DK31">
        <v>720.7</v>
      </c>
      <c r="DL31">
        <v>723.5</v>
      </c>
      <c r="DM31">
        <v>724.7</v>
      </c>
      <c r="DN31">
        <v>735.5</v>
      </c>
      <c r="DO31">
        <v>738.6</v>
      </c>
      <c r="DP31">
        <v>741.1</v>
      </c>
      <c r="DQ31">
        <v>744.2</v>
      </c>
      <c r="DR31">
        <v>756.8</v>
      </c>
      <c r="DS31">
        <v>772.9</v>
      </c>
      <c r="DT31">
        <v>777.5</v>
      </c>
      <c r="DU31">
        <v>786.5</v>
      </c>
      <c r="DV31">
        <v>817.3</v>
      </c>
      <c r="DW31">
        <v>831</v>
      </c>
      <c r="DX31">
        <v>849.4</v>
      </c>
      <c r="DY31">
        <v>865.2</v>
      </c>
      <c r="DZ31">
        <v>895</v>
      </c>
      <c r="EA31">
        <v>921</v>
      </c>
      <c r="EB31">
        <v>925.2</v>
      </c>
      <c r="EC31">
        <v>930.8</v>
      </c>
      <c r="ED31">
        <v>947.7</v>
      </c>
      <c r="EE31">
        <v>964.3</v>
      </c>
      <c r="EF31">
        <v>973.7</v>
      </c>
      <c r="EG31">
        <v>984.3</v>
      </c>
      <c r="EH31">
        <v>1003.6</v>
      </c>
      <c r="EI31">
        <v>1013.5</v>
      </c>
      <c r="EJ31">
        <v>1024.0999999999999</v>
      </c>
      <c r="EK31">
        <v>1036.9000000000001</v>
      </c>
      <c r="EL31">
        <v>1065.3</v>
      </c>
      <c r="EM31">
        <v>1076</v>
      </c>
      <c r="EN31">
        <v>1091.8</v>
      </c>
      <c r="EO31">
        <v>1104.4000000000001</v>
      </c>
      <c r="EP31">
        <v>1172.7</v>
      </c>
      <c r="EQ31">
        <v>1184</v>
      </c>
      <c r="ER31">
        <v>1194.0999999999999</v>
      </c>
      <c r="ES31">
        <v>1205.5999999999999</v>
      </c>
      <c r="ET31">
        <v>1240.0999999999999</v>
      </c>
      <c r="EU31">
        <v>1256.7</v>
      </c>
      <c r="EV31">
        <v>1270.2</v>
      </c>
      <c r="EW31">
        <v>1286.3</v>
      </c>
      <c r="EX31">
        <v>1321.9</v>
      </c>
      <c r="EY31">
        <v>1657</v>
      </c>
      <c r="EZ31">
        <v>1445.3</v>
      </c>
      <c r="FA31">
        <v>1428.7</v>
      </c>
      <c r="FB31">
        <v>1521.8</v>
      </c>
      <c r="FC31">
        <v>1648</v>
      </c>
      <c r="FD31">
        <v>1634.5</v>
      </c>
      <c r="FE31">
        <v>1653.9</v>
      </c>
      <c r="FF31">
        <v>1753.5</v>
      </c>
      <c r="FG31">
        <v>1755.7</v>
      </c>
      <c r="FH31">
        <v>1758.8</v>
      </c>
      <c r="FI31">
        <v>1761.9</v>
      </c>
      <c r="FJ31">
        <v>1768.6</v>
      </c>
      <c r="FK31">
        <v>1777.4</v>
      </c>
      <c r="FL31">
        <v>1782.4</v>
      </c>
      <c r="FM31">
        <v>1789.3</v>
      </c>
      <c r="FN31">
        <v>1772.9</v>
      </c>
      <c r="FO31">
        <v>1777.5</v>
      </c>
      <c r="FP31">
        <v>1783.6</v>
      </c>
      <c r="FQ31">
        <v>1793.4</v>
      </c>
      <c r="FR31">
        <v>1817.3</v>
      </c>
      <c r="FS31">
        <v>1815.5</v>
      </c>
      <c r="FT31">
        <v>1823.2</v>
      </c>
      <c r="FU31">
        <v>1830.1</v>
      </c>
      <c r="FV31">
        <v>1848.1</v>
      </c>
      <c r="FW31">
        <v>1876.8</v>
      </c>
      <c r="FX31">
        <v>1890.5</v>
      </c>
      <c r="FY31">
        <v>1909</v>
      </c>
      <c r="FZ31">
        <v>1945.5</v>
      </c>
      <c r="GA31">
        <v>1966.6</v>
      </c>
      <c r="GB31">
        <v>1977.6</v>
      </c>
      <c r="GC31">
        <v>1989.7</v>
      </c>
      <c r="GD31">
        <v>2006.2</v>
      </c>
      <c r="GE31">
        <v>2018</v>
      </c>
      <c r="GF31">
        <v>2029.1</v>
      </c>
      <c r="GG31">
        <v>2043.5</v>
      </c>
      <c r="GH31">
        <v>2074.9</v>
      </c>
      <c r="GI31">
        <v>2088.5</v>
      </c>
      <c r="GJ31">
        <v>2106.8000000000002</v>
      </c>
      <c r="GK31">
        <v>2124.9</v>
      </c>
      <c r="GL31">
        <v>2172.9</v>
      </c>
      <c r="GM31">
        <v>2186.8000000000002</v>
      </c>
      <c r="GN31">
        <v>2203.5</v>
      </c>
      <c r="GO31">
        <v>2222.3000000000002</v>
      </c>
      <c r="GP31">
        <v>2298.1</v>
      </c>
      <c r="GQ31">
        <v>2315.5</v>
      </c>
      <c r="GR31">
        <v>2333.1999999999998</v>
      </c>
      <c r="GS31">
        <v>2350.8000000000002</v>
      </c>
      <c r="GT31">
        <v>2417.9</v>
      </c>
      <c r="GU31">
        <v>4766.7</v>
      </c>
      <c r="GV31">
        <v>3468.3</v>
      </c>
      <c r="GW31">
        <v>2839.1</v>
      </c>
      <c r="GX31">
        <v>5070.6000000000004</v>
      </c>
      <c r="GY31">
        <v>3372.3</v>
      </c>
      <c r="GZ31">
        <v>3141.4</v>
      </c>
    </row>
    <row r="32" spans="1:208" x14ac:dyDescent="0.35">
      <c r="A32" t="s">
        <v>470</v>
      </c>
      <c r="B32">
        <v>16.600000000000001</v>
      </c>
      <c r="C32">
        <v>17.899999999999999</v>
      </c>
      <c r="D32">
        <v>19.2</v>
      </c>
      <c r="E32">
        <v>19.8</v>
      </c>
      <c r="F32">
        <v>20.5</v>
      </c>
      <c r="G32">
        <v>22.1</v>
      </c>
      <c r="H32">
        <v>22.4</v>
      </c>
      <c r="I32">
        <v>23.7</v>
      </c>
      <c r="J32">
        <v>24.4</v>
      </c>
      <c r="K32">
        <v>32.700000000000003</v>
      </c>
      <c r="L32">
        <v>25.6</v>
      </c>
      <c r="M32">
        <v>39.299999999999997</v>
      </c>
      <c r="N32">
        <v>34.299999999999997</v>
      </c>
      <c r="O32">
        <v>33.4</v>
      </c>
      <c r="P32">
        <v>32.6</v>
      </c>
      <c r="Q32">
        <v>33.6</v>
      </c>
      <c r="R32">
        <v>33.299999999999997</v>
      </c>
      <c r="S32">
        <v>34.1</v>
      </c>
      <c r="T32">
        <v>35.4</v>
      </c>
      <c r="U32">
        <v>36.799999999999997</v>
      </c>
      <c r="V32">
        <v>39.299999999999997</v>
      </c>
      <c r="W32">
        <v>44.3</v>
      </c>
      <c r="X32">
        <v>45</v>
      </c>
      <c r="Y32">
        <v>45.9</v>
      </c>
      <c r="Z32">
        <v>47</v>
      </c>
      <c r="AA32">
        <v>47.8</v>
      </c>
      <c r="AB32">
        <v>48.7</v>
      </c>
      <c r="AC32">
        <v>52.7</v>
      </c>
      <c r="AD32">
        <v>50.7</v>
      </c>
      <c r="AE32">
        <v>53.7</v>
      </c>
      <c r="AF32">
        <v>57.3</v>
      </c>
      <c r="AG32">
        <v>57.3</v>
      </c>
      <c r="AH32">
        <v>61.5</v>
      </c>
      <c r="AI32">
        <v>64.099999999999994</v>
      </c>
      <c r="AJ32">
        <v>63.4</v>
      </c>
      <c r="AK32">
        <v>64.900000000000006</v>
      </c>
      <c r="AL32">
        <v>62.1</v>
      </c>
      <c r="AM32">
        <v>62.6</v>
      </c>
      <c r="AN32">
        <v>65.2</v>
      </c>
      <c r="AO32">
        <v>65.900000000000006</v>
      </c>
      <c r="AP32">
        <v>66.7</v>
      </c>
      <c r="AQ32">
        <v>68.2</v>
      </c>
      <c r="AR32">
        <v>70.7</v>
      </c>
      <c r="AS32">
        <v>73.099999999999994</v>
      </c>
      <c r="AT32">
        <v>71.5</v>
      </c>
      <c r="AU32">
        <v>71.400000000000006</v>
      </c>
      <c r="AV32">
        <v>68.8</v>
      </c>
      <c r="AW32">
        <v>66</v>
      </c>
      <c r="AX32">
        <v>65.8</v>
      </c>
      <c r="AY32">
        <v>67.3</v>
      </c>
      <c r="AZ32">
        <v>65.599999999999994</v>
      </c>
      <c r="BA32">
        <v>66.3</v>
      </c>
      <c r="BB32">
        <v>67.2</v>
      </c>
      <c r="BC32">
        <v>69.2</v>
      </c>
      <c r="BD32">
        <v>68.400000000000006</v>
      </c>
      <c r="BE32">
        <v>67</v>
      </c>
      <c r="BF32">
        <v>71.3</v>
      </c>
      <c r="BG32">
        <v>73.099999999999994</v>
      </c>
      <c r="BH32">
        <v>70.7</v>
      </c>
      <c r="BI32">
        <v>74.3</v>
      </c>
      <c r="BJ32">
        <v>74.8</v>
      </c>
      <c r="BK32">
        <v>75.3</v>
      </c>
      <c r="BL32">
        <v>76.400000000000006</v>
      </c>
      <c r="BM32">
        <v>78.099999999999994</v>
      </c>
      <c r="BN32">
        <v>79.7</v>
      </c>
      <c r="BO32">
        <v>83.8</v>
      </c>
      <c r="BP32">
        <v>86.7</v>
      </c>
      <c r="BQ32">
        <v>79.5</v>
      </c>
      <c r="BR32">
        <v>76.900000000000006</v>
      </c>
      <c r="BS32">
        <v>80.2</v>
      </c>
      <c r="BT32">
        <v>78.2</v>
      </c>
      <c r="BU32">
        <v>78.2</v>
      </c>
      <c r="BV32">
        <v>84.1</v>
      </c>
      <c r="BW32">
        <v>84.1</v>
      </c>
      <c r="BX32">
        <v>87</v>
      </c>
      <c r="BY32">
        <v>87.7</v>
      </c>
      <c r="BZ32">
        <v>88.7</v>
      </c>
      <c r="CA32">
        <v>89.1</v>
      </c>
      <c r="CB32">
        <v>95</v>
      </c>
      <c r="CC32">
        <v>94.5</v>
      </c>
      <c r="CD32">
        <v>99.9</v>
      </c>
      <c r="CE32">
        <v>103.2</v>
      </c>
      <c r="CF32">
        <v>105.5</v>
      </c>
      <c r="CG32">
        <v>108.8</v>
      </c>
      <c r="CH32">
        <v>115.6</v>
      </c>
      <c r="CI32">
        <v>120.5</v>
      </c>
      <c r="CJ32">
        <v>127</v>
      </c>
      <c r="CK32">
        <v>132.9</v>
      </c>
      <c r="CL32">
        <v>136.19999999999999</v>
      </c>
      <c r="CM32">
        <v>139</v>
      </c>
      <c r="CN32">
        <v>145</v>
      </c>
      <c r="CO32">
        <v>146.5</v>
      </c>
      <c r="CP32">
        <v>148.80000000000001</v>
      </c>
      <c r="CQ32">
        <v>151.4</v>
      </c>
      <c r="CR32">
        <v>157.19999999999999</v>
      </c>
      <c r="CS32">
        <v>165.5</v>
      </c>
      <c r="CT32">
        <v>162.4</v>
      </c>
      <c r="CU32">
        <v>164.9</v>
      </c>
      <c r="CV32">
        <v>167.3</v>
      </c>
      <c r="CW32">
        <v>172.8</v>
      </c>
      <c r="CX32">
        <v>175.6</v>
      </c>
      <c r="CY32">
        <v>174.8</v>
      </c>
      <c r="CZ32">
        <v>175.8</v>
      </c>
      <c r="DA32">
        <v>171.7</v>
      </c>
      <c r="DB32">
        <v>177.1</v>
      </c>
      <c r="DC32">
        <v>185.5</v>
      </c>
      <c r="DD32">
        <v>182.9</v>
      </c>
      <c r="DE32">
        <v>180.3</v>
      </c>
      <c r="DF32">
        <v>184.6</v>
      </c>
      <c r="DG32">
        <v>184.2</v>
      </c>
      <c r="DH32">
        <v>187.5</v>
      </c>
      <c r="DI32">
        <v>196.3</v>
      </c>
      <c r="DJ32">
        <v>197.3</v>
      </c>
      <c r="DK32">
        <v>197</v>
      </c>
      <c r="DL32">
        <v>201.8</v>
      </c>
      <c r="DM32">
        <v>207</v>
      </c>
      <c r="DN32">
        <v>214.7</v>
      </c>
      <c r="DO32">
        <v>211.8</v>
      </c>
      <c r="DP32">
        <v>223.1</v>
      </c>
      <c r="DQ32">
        <v>227</v>
      </c>
      <c r="DR32">
        <v>224.5</v>
      </c>
      <c r="DS32">
        <v>227.4</v>
      </c>
      <c r="DT32">
        <v>239.5</v>
      </c>
      <c r="DU32">
        <v>241.1</v>
      </c>
      <c r="DV32">
        <v>254</v>
      </c>
      <c r="DW32">
        <v>262.2</v>
      </c>
      <c r="DX32">
        <v>258.5</v>
      </c>
      <c r="DY32">
        <v>270.39999999999998</v>
      </c>
      <c r="DZ32">
        <v>277.3</v>
      </c>
      <c r="EA32">
        <v>285.7</v>
      </c>
      <c r="EB32">
        <v>294.3</v>
      </c>
      <c r="EC32">
        <v>297.39999999999998</v>
      </c>
      <c r="ED32">
        <v>299.60000000000002</v>
      </c>
      <c r="EE32">
        <v>323.3</v>
      </c>
      <c r="EF32">
        <v>329.6</v>
      </c>
      <c r="EG32">
        <v>334.3</v>
      </c>
      <c r="EH32">
        <v>328</v>
      </c>
      <c r="EI32">
        <v>332.8</v>
      </c>
      <c r="EJ32">
        <v>328.4</v>
      </c>
      <c r="EK32">
        <v>340</v>
      </c>
      <c r="EL32">
        <v>341.6</v>
      </c>
      <c r="EM32">
        <v>344.8</v>
      </c>
      <c r="EN32">
        <v>342.5</v>
      </c>
      <c r="EO32">
        <v>345.1</v>
      </c>
      <c r="EP32">
        <v>340</v>
      </c>
      <c r="EQ32">
        <v>341.5</v>
      </c>
      <c r="ER32">
        <v>347.9</v>
      </c>
      <c r="ES32">
        <v>334.7</v>
      </c>
      <c r="ET32">
        <v>358.4</v>
      </c>
      <c r="EU32">
        <v>359.4</v>
      </c>
      <c r="EV32">
        <v>359.8</v>
      </c>
      <c r="EW32">
        <v>358.9</v>
      </c>
      <c r="EX32">
        <v>365.7</v>
      </c>
      <c r="EY32">
        <v>371.5</v>
      </c>
      <c r="EZ32">
        <v>368.8</v>
      </c>
      <c r="FA32">
        <v>378.6</v>
      </c>
      <c r="FB32">
        <v>421.1</v>
      </c>
      <c r="FC32">
        <v>473.9</v>
      </c>
      <c r="FD32">
        <v>465.4</v>
      </c>
      <c r="FE32">
        <v>472.1</v>
      </c>
      <c r="FF32">
        <v>496.2</v>
      </c>
      <c r="FG32">
        <v>492.6</v>
      </c>
      <c r="FH32">
        <v>517.79999999999995</v>
      </c>
      <c r="FI32">
        <v>514.4</v>
      </c>
      <c r="FJ32">
        <v>500.5</v>
      </c>
      <c r="FK32">
        <v>503.4</v>
      </c>
      <c r="FL32">
        <v>448.3</v>
      </c>
      <c r="FM32">
        <v>437.7</v>
      </c>
      <c r="FN32">
        <v>441.7</v>
      </c>
      <c r="FO32">
        <v>447.9</v>
      </c>
      <c r="FP32">
        <v>440</v>
      </c>
      <c r="FQ32">
        <v>448.2</v>
      </c>
      <c r="FR32">
        <v>440</v>
      </c>
      <c r="FS32">
        <v>459.2</v>
      </c>
      <c r="FT32">
        <v>454</v>
      </c>
      <c r="FU32">
        <v>447.3</v>
      </c>
      <c r="FV32">
        <v>467.8</v>
      </c>
      <c r="FW32">
        <v>492.5</v>
      </c>
      <c r="FX32">
        <v>511.1</v>
      </c>
      <c r="FY32">
        <v>508.8</v>
      </c>
      <c r="FZ32">
        <v>524.79999999999995</v>
      </c>
      <c r="GA32">
        <v>528.9</v>
      </c>
      <c r="GB32">
        <v>530.4</v>
      </c>
      <c r="GC32">
        <v>548.20000000000005</v>
      </c>
      <c r="GD32">
        <v>544.4</v>
      </c>
      <c r="GE32">
        <v>546.6</v>
      </c>
      <c r="GF32">
        <v>562.79999999999995</v>
      </c>
      <c r="GG32">
        <v>573.1</v>
      </c>
      <c r="GH32">
        <v>563.29999999999995</v>
      </c>
      <c r="GI32">
        <v>539.70000000000005</v>
      </c>
      <c r="GJ32">
        <v>563</v>
      </c>
      <c r="GK32">
        <v>575.79999999999995</v>
      </c>
      <c r="GL32">
        <v>582.70000000000005</v>
      </c>
      <c r="GM32">
        <v>575.70000000000005</v>
      </c>
      <c r="GN32">
        <v>582.70000000000005</v>
      </c>
      <c r="GO32">
        <v>588.9</v>
      </c>
      <c r="GP32">
        <v>593.79999999999995</v>
      </c>
      <c r="GQ32">
        <v>610.5</v>
      </c>
      <c r="GR32">
        <v>610.4</v>
      </c>
      <c r="GS32">
        <v>622.4</v>
      </c>
      <c r="GT32">
        <v>640.6</v>
      </c>
      <c r="GU32">
        <v>1400</v>
      </c>
      <c r="GV32">
        <v>738.5</v>
      </c>
      <c r="GW32">
        <v>743</v>
      </c>
      <c r="GX32">
        <v>781.5</v>
      </c>
      <c r="GY32">
        <v>1632.2</v>
      </c>
      <c r="GZ32">
        <v>1057.0999999999999</v>
      </c>
    </row>
    <row r="33" spans="1:208" x14ac:dyDescent="0.35">
      <c r="A33" t="s">
        <v>679</v>
      </c>
      <c r="B33">
        <v>14</v>
      </c>
      <c r="C33">
        <v>14.1</v>
      </c>
      <c r="D33">
        <v>14.3</v>
      </c>
      <c r="E33">
        <v>14.4</v>
      </c>
      <c r="F33">
        <v>14.7</v>
      </c>
      <c r="G33">
        <v>15.6</v>
      </c>
      <c r="H33">
        <v>16</v>
      </c>
      <c r="I33">
        <v>17.3</v>
      </c>
      <c r="J33">
        <v>19.5</v>
      </c>
      <c r="K33">
        <v>21</v>
      </c>
      <c r="L33">
        <v>21.2</v>
      </c>
      <c r="M33">
        <v>21.8</v>
      </c>
      <c r="N33">
        <v>21.9</v>
      </c>
      <c r="O33">
        <v>22.3</v>
      </c>
      <c r="P33">
        <v>23.1</v>
      </c>
      <c r="Q33">
        <v>24</v>
      </c>
      <c r="R33">
        <v>23.3</v>
      </c>
      <c r="S33">
        <v>24.1</v>
      </c>
      <c r="T33">
        <v>25.2</v>
      </c>
      <c r="U33">
        <v>25.6</v>
      </c>
      <c r="V33">
        <v>25.7</v>
      </c>
      <c r="W33">
        <v>26.5</v>
      </c>
      <c r="X33">
        <v>27.2</v>
      </c>
      <c r="Y33">
        <v>28.2</v>
      </c>
      <c r="Z33">
        <v>29.5</v>
      </c>
      <c r="AA33">
        <v>30.6</v>
      </c>
      <c r="AB33">
        <v>31.6</v>
      </c>
      <c r="AC33">
        <v>32.6</v>
      </c>
      <c r="AD33">
        <v>33.5</v>
      </c>
      <c r="AE33">
        <v>34.700000000000003</v>
      </c>
      <c r="AF33">
        <v>35.9</v>
      </c>
      <c r="AG33">
        <v>37.299999999999997</v>
      </c>
      <c r="AH33">
        <v>38.6</v>
      </c>
      <c r="AI33">
        <v>40.1</v>
      </c>
      <c r="AJ33">
        <v>40.9</v>
      </c>
      <c r="AK33">
        <v>42.1</v>
      </c>
      <c r="AL33">
        <v>42</v>
      </c>
      <c r="AM33">
        <v>42.1</v>
      </c>
      <c r="AN33">
        <v>45.4</v>
      </c>
      <c r="AO33">
        <v>46.6</v>
      </c>
      <c r="AP33">
        <v>46.6</v>
      </c>
      <c r="AQ33">
        <v>48</v>
      </c>
      <c r="AR33">
        <v>49.4</v>
      </c>
      <c r="AS33">
        <v>51.6</v>
      </c>
      <c r="AT33">
        <v>52.5</v>
      </c>
      <c r="AU33">
        <v>53.7</v>
      </c>
      <c r="AV33">
        <v>55.5</v>
      </c>
      <c r="AW33">
        <v>56.8</v>
      </c>
      <c r="AX33">
        <v>57.3</v>
      </c>
      <c r="AY33">
        <v>58.1</v>
      </c>
      <c r="AZ33">
        <v>60.4</v>
      </c>
      <c r="BA33">
        <v>60.8</v>
      </c>
      <c r="BB33">
        <v>61.3</v>
      </c>
      <c r="BC33">
        <v>64.3</v>
      </c>
      <c r="BD33">
        <v>68.099999999999994</v>
      </c>
      <c r="BE33">
        <v>70.7</v>
      </c>
      <c r="BF33">
        <v>73.3</v>
      </c>
      <c r="BG33">
        <v>75.8</v>
      </c>
      <c r="BH33">
        <v>76.8</v>
      </c>
      <c r="BI33">
        <v>78.2</v>
      </c>
      <c r="BJ33">
        <v>79.3</v>
      </c>
      <c r="BK33">
        <v>80.900000000000006</v>
      </c>
      <c r="BL33">
        <v>81.5</v>
      </c>
      <c r="BM33">
        <v>83.7</v>
      </c>
      <c r="BN33">
        <v>84.5</v>
      </c>
      <c r="BO33">
        <v>85</v>
      </c>
      <c r="BP33">
        <v>87.5</v>
      </c>
      <c r="BQ33">
        <v>91.8</v>
      </c>
      <c r="BR33">
        <v>92.4</v>
      </c>
      <c r="BS33">
        <v>101.5</v>
      </c>
      <c r="BT33">
        <v>94.1</v>
      </c>
      <c r="BU33">
        <v>98.4</v>
      </c>
      <c r="BV33">
        <v>99.4</v>
      </c>
      <c r="BW33">
        <v>97.2</v>
      </c>
      <c r="BX33">
        <v>104.1</v>
      </c>
      <c r="BY33">
        <v>107.6</v>
      </c>
      <c r="BZ33">
        <v>113.4</v>
      </c>
      <c r="CA33">
        <v>118.3</v>
      </c>
      <c r="CB33">
        <v>114.5</v>
      </c>
      <c r="CC33">
        <v>112.4</v>
      </c>
      <c r="CD33">
        <v>119.4</v>
      </c>
      <c r="CE33">
        <v>122.6</v>
      </c>
      <c r="CF33">
        <v>123.7</v>
      </c>
      <c r="CG33">
        <v>124.6</v>
      </c>
      <c r="CH33">
        <v>121.2</v>
      </c>
      <c r="CI33">
        <v>124.5</v>
      </c>
      <c r="CJ33">
        <v>126.1</v>
      </c>
      <c r="CK33">
        <v>129.5</v>
      </c>
      <c r="CL33">
        <v>127.6</v>
      </c>
      <c r="CM33">
        <v>136.9</v>
      </c>
      <c r="CN33">
        <v>136.80000000000001</v>
      </c>
      <c r="CO33">
        <v>140</v>
      </c>
      <c r="CP33">
        <v>136.69999999999999</v>
      </c>
      <c r="CQ33">
        <v>138.30000000000001</v>
      </c>
      <c r="CR33">
        <v>143.6</v>
      </c>
      <c r="CS33">
        <v>145.80000000000001</v>
      </c>
      <c r="CT33">
        <v>146.9</v>
      </c>
      <c r="CU33">
        <v>141.9</v>
      </c>
      <c r="CV33">
        <v>151.19999999999999</v>
      </c>
      <c r="CW33">
        <v>152</v>
      </c>
      <c r="CX33">
        <v>156.9</v>
      </c>
      <c r="CY33">
        <v>152.4</v>
      </c>
      <c r="CZ33">
        <v>160.69999999999999</v>
      </c>
      <c r="DA33">
        <v>162.4</v>
      </c>
      <c r="DB33">
        <v>165.3</v>
      </c>
      <c r="DC33">
        <v>165.9</v>
      </c>
      <c r="DD33">
        <v>169.3</v>
      </c>
      <c r="DE33">
        <v>174.1</v>
      </c>
      <c r="DF33">
        <v>177.8</v>
      </c>
      <c r="DG33">
        <v>176.9</v>
      </c>
      <c r="DH33">
        <v>184.1</v>
      </c>
      <c r="DI33">
        <v>189.2</v>
      </c>
      <c r="DJ33">
        <v>195.6</v>
      </c>
      <c r="DK33">
        <v>201.4</v>
      </c>
      <c r="DL33">
        <v>201.6</v>
      </c>
      <c r="DM33">
        <v>206.3</v>
      </c>
      <c r="DN33">
        <v>208.2</v>
      </c>
      <c r="DO33">
        <v>209.4</v>
      </c>
      <c r="DP33">
        <v>216.4</v>
      </c>
      <c r="DQ33">
        <v>224</v>
      </c>
      <c r="DR33">
        <v>232.2</v>
      </c>
      <c r="DS33">
        <v>243.3</v>
      </c>
      <c r="DT33">
        <v>236.6</v>
      </c>
      <c r="DU33">
        <v>234.8</v>
      </c>
      <c r="DV33">
        <v>250.9</v>
      </c>
      <c r="DW33">
        <v>259.89999999999998</v>
      </c>
      <c r="DX33">
        <v>231.9</v>
      </c>
      <c r="DY33">
        <v>229.3</v>
      </c>
      <c r="DZ33">
        <v>227.4</v>
      </c>
      <c r="EA33">
        <v>214.3</v>
      </c>
      <c r="EB33">
        <v>218.8</v>
      </c>
      <c r="EC33">
        <v>218.9</v>
      </c>
      <c r="ED33">
        <v>217.9</v>
      </c>
      <c r="EE33">
        <v>207.9</v>
      </c>
      <c r="EF33">
        <v>234.2</v>
      </c>
      <c r="EG33">
        <v>239.7</v>
      </c>
      <c r="EH33">
        <v>239</v>
      </c>
      <c r="EI33">
        <v>234.3</v>
      </c>
      <c r="EJ33">
        <v>247.7</v>
      </c>
      <c r="EK33">
        <v>261.8</v>
      </c>
      <c r="EL33">
        <v>269.39999999999998</v>
      </c>
      <c r="EM33">
        <v>270.39999999999998</v>
      </c>
      <c r="EN33">
        <v>276</v>
      </c>
      <c r="EO33">
        <v>285.2</v>
      </c>
      <c r="EP33">
        <v>294.89999999999998</v>
      </c>
      <c r="EQ33">
        <v>310.10000000000002</v>
      </c>
      <c r="ER33">
        <v>297.7</v>
      </c>
      <c r="ES33">
        <v>301.7</v>
      </c>
      <c r="ET33">
        <v>320.5</v>
      </c>
      <c r="EU33">
        <v>332</v>
      </c>
      <c r="EV33">
        <v>319.60000000000002</v>
      </c>
      <c r="EW33">
        <v>314.2</v>
      </c>
      <c r="EX33">
        <v>333.4</v>
      </c>
      <c r="EY33">
        <v>361.1</v>
      </c>
      <c r="EZ33">
        <v>323.8</v>
      </c>
      <c r="FA33">
        <v>305.10000000000002</v>
      </c>
      <c r="FB33">
        <v>281.10000000000002</v>
      </c>
      <c r="FC33">
        <v>275.60000000000002</v>
      </c>
      <c r="FD33">
        <v>293.3</v>
      </c>
      <c r="FE33">
        <v>293.3</v>
      </c>
      <c r="FF33">
        <v>288.39999999999998</v>
      </c>
      <c r="FG33">
        <v>278</v>
      </c>
      <c r="FH33">
        <v>297.8</v>
      </c>
      <c r="FI33">
        <v>311.89999999999998</v>
      </c>
      <c r="FJ33">
        <v>315.2</v>
      </c>
      <c r="FK33">
        <v>319.39999999999998</v>
      </c>
      <c r="FL33">
        <v>327.2</v>
      </c>
      <c r="FM33">
        <v>329.9</v>
      </c>
      <c r="FN33">
        <v>330.1</v>
      </c>
      <c r="FO33">
        <v>337</v>
      </c>
      <c r="FP33">
        <v>346.2</v>
      </c>
      <c r="FQ33">
        <v>359.2</v>
      </c>
      <c r="FR33">
        <v>376.5</v>
      </c>
      <c r="FS33">
        <v>386.1</v>
      </c>
      <c r="FT33">
        <v>366.6</v>
      </c>
      <c r="FU33">
        <v>364.9</v>
      </c>
      <c r="FV33">
        <v>375.7</v>
      </c>
      <c r="FW33">
        <v>369.4</v>
      </c>
      <c r="FX33">
        <v>385.3</v>
      </c>
      <c r="FY33">
        <v>393</v>
      </c>
      <c r="FZ33">
        <v>395.4</v>
      </c>
      <c r="GA33">
        <v>415.3</v>
      </c>
      <c r="GB33">
        <v>406.5</v>
      </c>
      <c r="GC33">
        <v>412.3</v>
      </c>
      <c r="GD33">
        <v>397.8</v>
      </c>
      <c r="GE33">
        <v>406.6</v>
      </c>
      <c r="GF33">
        <v>418.2</v>
      </c>
      <c r="GG33">
        <v>418.4</v>
      </c>
      <c r="GH33">
        <v>424.7</v>
      </c>
      <c r="GI33">
        <v>406.5</v>
      </c>
      <c r="GJ33">
        <v>432.4</v>
      </c>
      <c r="GK33">
        <v>478.2</v>
      </c>
      <c r="GL33">
        <v>479</v>
      </c>
      <c r="GM33">
        <v>442.4</v>
      </c>
      <c r="GN33">
        <v>464.2</v>
      </c>
      <c r="GO33">
        <v>453.6</v>
      </c>
      <c r="GP33">
        <v>472.9</v>
      </c>
      <c r="GQ33">
        <v>520.9</v>
      </c>
      <c r="GR33">
        <v>497.4</v>
      </c>
      <c r="GS33">
        <v>494.7</v>
      </c>
      <c r="GT33">
        <v>503.8</v>
      </c>
      <c r="GU33">
        <v>517.5</v>
      </c>
      <c r="GV33">
        <v>519.6</v>
      </c>
      <c r="GW33">
        <v>522.79999999999995</v>
      </c>
      <c r="GX33">
        <v>560.20000000000005</v>
      </c>
      <c r="GY33">
        <v>586.4</v>
      </c>
      <c r="GZ33">
        <v>597.70000000000005</v>
      </c>
    </row>
    <row r="34" spans="1:208" x14ac:dyDescent="0.35">
      <c r="A34" t="s">
        <v>681</v>
      </c>
      <c r="B34">
        <v>70.599999999999994</v>
      </c>
      <c r="C34">
        <v>72.400000000000006</v>
      </c>
      <c r="D34">
        <v>74.3</v>
      </c>
      <c r="E34">
        <v>76</v>
      </c>
      <c r="F34">
        <v>78.3</v>
      </c>
      <c r="G34">
        <v>80.2</v>
      </c>
      <c r="H34">
        <v>82.8</v>
      </c>
      <c r="I34">
        <v>84.7</v>
      </c>
      <c r="J34">
        <v>86.4</v>
      </c>
      <c r="K34">
        <v>88.5</v>
      </c>
      <c r="L34">
        <v>90.4</v>
      </c>
      <c r="M34">
        <v>92.5</v>
      </c>
      <c r="N34">
        <v>95.1</v>
      </c>
      <c r="O34">
        <v>96.3</v>
      </c>
      <c r="P34">
        <v>98.7</v>
      </c>
      <c r="Q34">
        <v>99.6</v>
      </c>
      <c r="R34">
        <v>101</v>
      </c>
      <c r="S34">
        <v>104</v>
      </c>
      <c r="T34">
        <v>106.8</v>
      </c>
      <c r="U34">
        <v>107.5</v>
      </c>
      <c r="V34">
        <v>109</v>
      </c>
      <c r="W34">
        <v>111.7</v>
      </c>
      <c r="X34">
        <v>114.9</v>
      </c>
      <c r="Y34">
        <v>117.3</v>
      </c>
      <c r="Z34">
        <v>120.9</v>
      </c>
      <c r="AA34">
        <v>123.5</v>
      </c>
      <c r="AB34">
        <v>126</v>
      </c>
      <c r="AC34">
        <v>129.6</v>
      </c>
      <c r="AD34">
        <v>132.9</v>
      </c>
      <c r="AE34">
        <v>135.5</v>
      </c>
      <c r="AF34">
        <v>138.30000000000001</v>
      </c>
      <c r="AG34">
        <v>141.1</v>
      </c>
      <c r="AH34">
        <v>143</v>
      </c>
      <c r="AI34">
        <v>147.69999999999999</v>
      </c>
      <c r="AJ34">
        <v>144.19999999999999</v>
      </c>
      <c r="AK34">
        <v>147.6</v>
      </c>
      <c r="AL34">
        <v>150.6</v>
      </c>
      <c r="AM34">
        <v>152.6</v>
      </c>
      <c r="AN34">
        <v>155.6</v>
      </c>
      <c r="AO34">
        <v>159</v>
      </c>
      <c r="AP34">
        <v>161.9</v>
      </c>
      <c r="AQ34">
        <v>163.30000000000001</v>
      </c>
      <c r="AR34">
        <v>168.2</v>
      </c>
      <c r="AS34">
        <v>173.3</v>
      </c>
      <c r="AT34">
        <v>180.2</v>
      </c>
      <c r="AU34">
        <v>183.7</v>
      </c>
      <c r="AV34">
        <v>188.3</v>
      </c>
      <c r="AW34">
        <v>190.7</v>
      </c>
      <c r="AX34">
        <v>193.9</v>
      </c>
      <c r="AY34">
        <v>198.3</v>
      </c>
      <c r="AZ34">
        <v>201.7</v>
      </c>
      <c r="BA34">
        <v>206</v>
      </c>
      <c r="BB34">
        <v>209.6</v>
      </c>
      <c r="BC34">
        <v>216</v>
      </c>
      <c r="BD34">
        <v>222</v>
      </c>
      <c r="BE34">
        <v>228</v>
      </c>
      <c r="BF34">
        <v>234.7</v>
      </c>
      <c r="BG34">
        <v>240.3</v>
      </c>
      <c r="BH34">
        <v>244.7</v>
      </c>
      <c r="BI34">
        <v>250.2</v>
      </c>
      <c r="BJ34">
        <v>254.7</v>
      </c>
      <c r="BK34">
        <v>260</v>
      </c>
      <c r="BL34">
        <v>265.10000000000002</v>
      </c>
      <c r="BM34">
        <v>268.5</v>
      </c>
      <c r="BN34">
        <v>273</v>
      </c>
      <c r="BO34">
        <v>276.60000000000002</v>
      </c>
      <c r="BP34">
        <v>282.3</v>
      </c>
      <c r="BQ34">
        <v>286.8</v>
      </c>
      <c r="BR34">
        <v>291.89999999999998</v>
      </c>
      <c r="BS34">
        <v>298.5</v>
      </c>
      <c r="BT34">
        <v>306</v>
      </c>
      <c r="BU34">
        <v>310</v>
      </c>
      <c r="BV34">
        <v>315.7</v>
      </c>
      <c r="BW34">
        <v>323.2</v>
      </c>
      <c r="BX34">
        <v>327.3</v>
      </c>
      <c r="BY34">
        <v>332.4</v>
      </c>
      <c r="BZ34">
        <v>340.2</v>
      </c>
      <c r="CA34">
        <v>348.2</v>
      </c>
      <c r="CB34">
        <v>353.9</v>
      </c>
      <c r="CC34">
        <v>354.2</v>
      </c>
      <c r="CD34">
        <v>369.3</v>
      </c>
      <c r="CE34">
        <v>368.7</v>
      </c>
      <c r="CF34">
        <v>375.6</v>
      </c>
      <c r="CG34">
        <v>382.7</v>
      </c>
      <c r="CH34">
        <v>384.3</v>
      </c>
      <c r="CI34">
        <v>390.2</v>
      </c>
      <c r="CJ34">
        <v>399.4</v>
      </c>
      <c r="CK34">
        <v>407.3</v>
      </c>
      <c r="CL34">
        <v>412.8</v>
      </c>
      <c r="CM34">
        <v>418.2</v>
      </c>
      <c r="CN34">
        <v>424.1</v>
      </c>
      <c r="CO34">
        <v>425.3</v>
      </c>
      <c r="CP34">
        <v>427.5</v>
      </c>
      <c r="CQ34">
        <v>432.8</v>
      </c>
      <c r="CR34">
        <v>439.5</v>
      </c>
      <c r="CS34">
        <v>447.2</v>
      </c>
      <c r="CT34">
        <v>456</v>
      </c>
      <c r="CU34">
        <v>465.8</v>
      </c>
      <c r="CV34">
        <v>470</v>
      </c>
      <c r="CW34">
        <v>473.3</v>
      </c>
      <c r="CX34">
        <v>478.8</v>
      </c>
      <c r="CY34">
        <v>477.9</v>
      </c>
      <c r="CZ34">
        <v>483.5</v>
      </c>
      <c r="DA34">
        <v>489.3</v>
      </c>
      <c r="DB34">
        <v>497.8</v>
      </c>
      <c r="DC34">
        <v>506.5</v>
      </c>
      <c r="DD34">
        <v>510.1</v>
      </c>
      <c r="DE34">
        <v>517.29999999999995</v>
      </c>
      <c r="DF34">
        <v>523.79999999999995</v>
      </c>
      <c r="DG34">
        <v>530.70000000000005</v>
      </c>
      <c r="DH34">
        <v>536.6</v>
      </c>
      <c r="DI34">
        <v>544</v>
      </c>
      <c r="DJ34">
        <v>549.6</v>
      </c>
      <c r="DK34">
        <v>555.4</v>
      </c>
      <c r="DL34">
        <v>561.6</v>
      </c>
      <c r="DM34">
        <v>568.6</v>
      </c>
      <c r="DN34">
        <v>576.20000000000005</v>
      </c>
      <c r="DO34">
        <v>585.4</v>
      </c>
      <c r="DP34">
        <v>595.20000000000005</v>
      </c>
      <c r="DQ34">
        <v>603.70000000000005</v>
      </c>
      <c r="DR34">
        <v>612.4</v>
      </c>
      <c r="DS34">
        <v>618.9</v>
      </c>
      <c r="DT34">
        <v>623.70000000000005</v>
      </c>
      <c r="DU34">
        <v>630.1</v>
      </c>
      <c r="DV34">
        <v>637.1</v>
      </c>
      <c r="DW34">
        <v>637.79999999999995</v>
      </c>
      <c r="DX34">
        <v>641.70000000000005</v>
      </c>
      <c r="DY34">
        <v>653</v>
      </c>
      <c r="DZ34">
        <v>659.3</v>
      </c>
      <c r="EA34">
        <v>664</v>
      </c>
      <c r="EB34">
        <v>680.5</v>
      </c>
      <c r="EC34">
        <v>689</v>
      </c>
      <c r="ED34">
        <v>698.5</v>
      </c>
      <c r="EE34">
        <v>709.9</v>
      </c>
      <c r="EF34">
        <v>723.4</v>
      </c>
      <c r="EG34">
        <v>729.8</v>
      </c>
      <c r="EH34">
        <v>753.2</v>
      </c>
      <c r="EI34">
        <v>765.1</v>
      </c>
      <c r="EJ34">
        <v>775.4</v>
      </c>
      <c r="EK34">
        <v>797.6</v>
      </c>
      <c r="EL34">
        <v>817.9</v>
      </c>
      <c r="EM34">
        <v>835.9</v>
      </c>
      <c r="EN34">
        <v>851.8</v>
      </c>
      <c r="EO34">
        <v>866.6</v>
      </c>
      <c r="EP34">
        <v>882.7</v>
      </c>
      <c r="EQ34">
        <v>892.2</v>
      </c>
      <c r="ER34">
        <v>903.9</v>
      </c>
      <c r="ES34">
        <v>912.4</v>
      </c>
      <c r="ET34">
        <v>931.9</v>
      </c>
      <c r="EU34">
        <v>939.4</v>
      </c>
      <c r="EV34">
        <v>940.4</v>
      </c>
      <c r="EW34">
        <v>957.1</v>
      </c>
      <c r="EX34">
        <v>952.5</v>
      </c>
      <c r="EY34">
        <v>959.4</v>
      </c>
      <c r="EZ34">
        <v>964.8</v>
      </c>
      <c r="FA34">
        <v>946.3</v>
      </c>
      <c r="FB34">
        <v>929.2</v>
      </c>
      <c r="FC34">
        <v>923</v>
      </c>
      <c r="FD34">
        <v>937.4</v>
      </c>
      <c r="FE34">
        <v>952.1</v>
      </c>
      <c r="FF34">
        <v>951.6</v>
      </c>
      <c r="FG34">
        <v>965.7</v>
      </c>
      <c r="FH34">
        <v>970.1</v>
      </c>
      <c r="FI34">
        <v>977.7</v>
      </c>
      <c r="FJ34">
        <v>986.8</v>
      </c>
      <c r="FK34">
        <v>996.4</v>
      </c>
      <c r="FL34">
        <v>994.5</v>
      </c>
      <c r="FM34">
        <v>1002.7</v>
      </c>
      <c r="FN34">
        <v>1016.9</v>
      </c>
      <c r="FO34">
        <v>1019.5</v>
      </c>
      <c r="FP34">
        <v>1016.6</v>
      </c>
      <c r="FQ34">
        <v>1030.8</v>
      </c>
      <c r="FR34">
        <v>1052.3</v>
      </c>
      <c r="FS34">
        <v>1056.4000000000001</v>
      </c>
      <c r="FT34">
        <v>1068.7</v>
      </c>
      <c r="FU34">
        <v>1075.3</v>
      </c>
      <c r="FV34">
        <v>1083.9000000000001</v>
      </c>
      <c r="FW34">
        <v>1102.2</v>
      </c>
      <c r="FX34">
        <v>1111.4000000000001</v>
      </c>
      <c r="FY34">
        <v>1120.5999999999999</v>
      </c>
      <c r="FZ34">
        <v>1122.3</v>
      </c>
      <c r="GA34">
        <v>1129.5999999999999</v>
      </c>
      <c r="GB34">
        <v>1139.4000000000001</v>
      </c>
      <c r="GC34">
        <v>1148.2</v>
      </c>
      <c r="GD34">
        <v>1157.7</v>
      </c>
      <c r="GE34">
        <v>1165.3</v>
      </c>
      <c r="GF34">
        <v>1184.8</v>
      </c>
      <c r="GG34">
        <v>1192.8</v>
      </c>
      <c r="GH34">
        <v>1211.7</v>
      </c>
      <c r="GI34">
        <v>1227.0999999999999</v>
      </c>
      <c r="GJ34">
        <v>1240.2</v>
      </c>
      <c r="GK34">
        <v>1259.8</v>
      </c>
      <c r="GL34">
        <v>1276.3</v>
      </c>
      <c r="GM34">
        <v>1291.2</v>
      </c>
      <c r="GN34">
        <v>1306.4000000000001</v>
      </c>
      <c r="GO34">
        <v>1318.5</v>
      </c>
      <c r="GP34">
        <v>1331.4</v>
      </c>
      <c r="GQ34">
        <v>1348.7</v>
      </c>
      <c r="GR34">
        <v>1372.1</v>
      </c>
      <c r="GS34">
        <v>1378.4</v>
      </c>
      <c r="GT34">
        <v>1391.3</v>
      </c>
      <c r="GU34">
        <v>1322.2</v>
      </c>
      <c r="GV34">
        <v>1392.7</v>
      </c>
      <c r="GW34">
        <v>1400.4</v>
      </c>
      <c r="GX34">
        <v>1413.9</v>
      </c>
      <c r="GY34">
        <v>1458.5</v>
      </c>
      <c r="GZ34">
        <v>1485.8</v>
      </c>
    </row>
    <row r="35" spans="1:208" x14ac:dyDescent="0.35">
      <c r="A35" t="s">
        <v>682</v>
      </c>
      <c r="B35">
        <v>3.8</v>
      </c>
      <c r="C35">
        <v>3.7</v>
      </c>
      <c r="D35">
        <v>3.8</v>
      </c>
      <c r="E35">
        <v>3.6</v>
      </c>
      <c r="F35">
        <v>4.0999999999999996</v>
      </c>
      <c r="G35">
        <v>4.2</v>
      </c>
      <c r="H35">
        <v>4.4000000000000004</v>
      </c>
      <c r="I35">
        <v>4.5</v>
      </c>
      <c r="J35">
        <v>5</v>
      </c>
      <c r="K35">
        <v>5</v>
      </c>
      <c r="L35">
        <v>5.2</v>
      </c>
      <c r="M35">
        <v>5.7</v>
      </c>
      <c r="N35">
        <v>6</v>
      </c>
      <c r="O35">
        <v>6.1</v>
      </c>
      <c r="P35">
        <v>5.9</v>
      </c>
      <c r="Q35">
        <v>6.1</v>
      </c>
      <c r="R35">
        <v>6.3</v>
      </c>
      <c r="S35">
        <v>6.6</v>
      </c>
      <c r="T35">
        <v>7.3</v>
      </c>
      <c r="U35">
        <v>6.5</v>
      </c>
      <c r="V35">
        <v>6.1</v>
      </c>
      <c r="W35">
        <v>6.6</v>
      </c>
      <c r="X35">
        <v>8.1999999999999993</v>
      </c>
      <c r="Y35">
        <v>8.4</v>
      </c>
      <c r="Z35">
        <v>9.6999999999999993</v>
      </c>
      <c r="AA35">
        <v>9.6</v>
      </c>
      <c r="AB35">
        <v>9.6999999999999993</v>
      </c>
      <c r="AC35">
        <v>9.6</v>
      </c>
      <c r="AD35">
        <v>10.5</v>
      </c>
      <c r="AE35">
        <v>11.4</v>
      </c>
      <c r="AF35">
        <v>11.8</v>
      </c>
      <c r="AG35">
        <v>12</v>
      </c>
      <c r="AH35">
        <v>10.5</v>
      </c>
      <c r="AI35">
        <v>12.4</v>
      </c>
      <c r="AJ35">
        <v>12.5</v>
      </c>
      <c r="AK35">
        <v>13.1</v>
      </c>
      <c r="AL35">
        <v>13.7</v>
      </c>
      <c r="AM35">
        <v>13.8</v>
      </c>
      <c r="AN35">
        <v>13.6</v>
      </c>
      <c r="AO35">
        <v>13.2</v>
      </c>
      <c r="AP35">
        <v>16.100000000000001</v>
      </c>
      <c r="AQ35">
        <v>12.8</v>
      </c>
      <c r="AR35">
        <v>14</v>
      </c>
      <c r="AS35">
        <v>15.1</v>
      </c>
      <c r="AT35">
        <v>16.8</v>
      </c>
      <c r="AU35">
        <v>15.2</v>
      </c>
      <c r="AV35">
        <v>15.7</v>
      </c>
      <c r="AW35">
        <v>14.1</v>
      </c>
      <c r="AX35">
        <v>14.1</v>
      </c>
      <c r="AY35">
        <v>14.3</v>
      </c>
      <c r="AZ35">
        <v>14.4</v>
      </c>
      <c r="BA35">
        <v>13.3</v>
      </c>
      <c r="BB35">
        <v>12.8</v>
      </c>
      <c r="BC35">
        <v>15.7</v>
      </c>
      <c r="BD35">
        <v>17.399999999999999</v>
      </c>
      <c r="BE35">
        <v>17.7</v>
      </c>
      <c r="BF35">
        <v>20.100000000000001</v>
      </c>
      <c r="BG35">
        <v>19.899999999999999</v>
      </c>
      <c r="BH35">
        <v>17.5</v>
      </c>
      <c r="BI35">
        <v>17.7</v>
      </c>
      <c r="BJ35">
        <v>20</v>
      </c>
      <c r="BK35">
        <v>19.600000000000001</v>
      </c>
      <c r="BL35">
        <v>20.9</v>
      </c>
      <c r="BM35">
        <v>20.5</v>
      </c>
      <c r="BN35">
        <v>21.4</v>
      </c>
      <c r="BO35">
        <v>22</v>
      </c>
      <c r="BP35">
        <v>22.4</v>
      </c>
      <c r="BQ35">
        <v>24.8</v>
      </c>
      <c r="BR35">
        <v>22.7</v>
      </c>
      <c r="BS35">
        <v>24.5</v>
      </c>
      <c r="BT35">
        <v>24.8</v>
      </c>
      <c r="BU35">
        <v>23.6</v>
      </c>
      <c r="BV35">
        <v>23.4</v>
      </c>
      <c r="BW35">
        <v>25.2</v>
      </c>
      <c r="BX35">
        <v>27.3</v>
      </c>
      <c r="BY35">
        <v>28.2</v>
      </c>
      <c r="BZ35">
        <v>27.8</v>
      </c>
      <c r="CA35">
        <v>24.2</v>
      </c>
      <c r="CB35">
        <v>22.8</v>
      </c>
      <c r="CC35">
        <v>22.1</v>
      </c>
      <c r="CD35">
        <v>21.4</v>
      </c>
      <c r="CE35">
        <v>22.1</v>
      </c>
      <c r="CF35">
        <v>23</v>
      </c>
      <c r="CG35">
        <v>23.4</v>
      </c>
      <c r="CH35">
        <v>23.8</v>
      </c>
      <c r="CI35">
        <v>23.4</v>
      </c>
      <c r="CJ35">
        <v>23.7</v>
      </c>
      <c r="CK35">
        <v>23.6</v>
      </c>
      <c r="CL35">
        <v>25.2</v>
      </c>
      <c r="CM35">
        <v>24.7</v>
      </c>
      <c r="CN35">
        <v>23.2</v>
      </c>
      <c r="CO35">
        <v>24.4</v>
      </c>
      <c r="CP35">
        <v>24.8</v>
      </c>
      <c r="CQ35">
        <v>26.8</v>
      </c>
      <c r="CR35">
        <v>25.2</v>
      </c>
      <c r="CS35">
        <v>30.8</v>
      </c>
      <c r="CT35">
        <v>27.1</v>
      </c>
      <c r="CU35">
        <v>28.7</v>
      </c>
      <c r="CV35">
        <v>31.4</v>
      </c>
      <c r="CW35">
        <v>32.700000000000003</v>
      </c>
      <c r="CX35">
        <v>32.5</v>
      </c>
      <c r="CY35">
        <v>31.3</v>
      </c>
      <c r="CZ35">
        <v>31.9</v>
      </c>
      <c r="DA35">
        <v>30.9</v>
      </c>
      <c r="DB35">
        <v>31.9</v>
      </c>
      <c r="DC35">
        <v>33.5</v>
      </c>
      <c r="DD35">
        <v>33.299999999999997</v>
      </c>
      <c r="DE35">
        <v>33.4</v>
      </c>
      <c r="DF35">
        <v>33.1</v>
      </c>
      <c r="DG35">
        <v>33.6</v>
      </c>
      <c r="DH35">
        <v>35.5</v>
      </c>
      <c r="DI35">
        <v>34.4</v>
      </c>
      <c r="DJ35">
        <v>34.700000000000003</v>
      </c>
      <c r="DK35">
        <v>34.5</v>
      </c>
      <c r="DL35">
        <v>35.700000000000003</v>
      </c>
      <c r="DM35">
        <v>34.799999999999997</v>
      </c>
      <c r="DN35">
        <v>36.299999999999997</v>
      </c>
      <c r="DO35">
        <v>35.5</v>
      </c>
      <c r="DP35">
        <v>35.6</v>
      </c>
      <c r="DQ35">
        <v>35.9</v>
      </c>
      <c r="DR35">
        <v>37.200000000000003</v>
      </c>
      <c r="DS35">
        <v>36.5</v>
      </c>
      <c r="DT35">
        <v>33.5</v>
      </c>
      <c r="DU35">
        <v>33.700000000000003</v>
      </c>
      <c r="DV35">
        <v>30.1</v>
      </c>
      <c r="DW35">
        <v>30.4</v>
      </c>
      <c r="DX35">
        <v>28.3</v>
      </c>
      <c r="DY35">
        <v>26.6</v>
      </c>
      <c r="DZ35">
        <v>28.3</v>
      </c>
      <c r="EA35">
        <v>30.2</v>
      </c>
      <c r="EB35">
        <v>31.5</v>
      </c>
      <c r="EC35">
        <v>33.5</v>
      </c>
      <c r="ED35">
        <v>34.5</v>
      </c>
      <c r="EE35">
        <v>31.7</v>
      </c>
      <c r="EF35">
        <v>33.6</v>
      </c>
      <c r="EG35">
        <v>36.200000000000003</v>
      </c>
      <c r="EH35">
        <v>37.799999999999997</v>
      </c>
      <c r="EI35">
        <v>40.799999999999997</v>
      </c>
      <c r="EJ35">
        <v>43.9</v>
      </c>
      <c r="EK35">
        <v>44.3</v>
      </c>
      <c r="EL35">
        <v>55.3</v>
      </c>
      <c r="EM35">
        <v>53</v>
      </c>
      <c r="EN35">
        <v>53.3</v>
      </c>
      <c r="EO35">
        <v>58.2</v>
      </c>
      <c r="EP35">
        <v>59.6</v>
      </c>
      <c r="EQ35">
        <v>60.3</v>
      </c>
      <c r="ER35">
        <v>61.8</v>
      </c>
      <c r="ES35">
        <v>55.2</v>
      </c>
      <c r="ET35">
        <v>59.2</v>
      </c>
      <c r="EU35">
        <v>59.4</v>
      </c>
      <c r="EV35">
        <v>56.3</v>
      </c>
      <c r="EW35">
        <v>56.6</v>
      </c>
      <c r="EX35">
        <v>50.2</v>
      </c>
      <c r="EY35">
        <v>51.6</v>
      </c>
      <c r="EZ35">
        <v>52.8</v>
      </c>
      <c r="FA35">
        <v>35.1</v>
      </c>
      <c r="FB35">
        <v>43.7</v>
      </c>
      <c r="FC35">
        <v>49.6</v>
      </c>
      <c r="FD35">
        <v>41.3</v>
      </c>
      <c r="FE35">
        <v>43.4</v>
      </c>
      <c r="FF35">
        <v>45.1</v>
      </c>
      <c r="FG35">
        <v>43.4</v>
      </c>
      <c r="FH35">
        <v>45.5</v>
      </c>
      <c r="FI35">
        <v>50.4</v>
      </c>
      <c r="FJ35">
        <v>48.4</v>
      </c>
      <c r="FK35">
        <v>49.8</v>
      </c>
      <c r="FL35">
        <v>46.4</v>
      </c>
      <c r="FM35">
        <v>49</v>
      </c>
      <c r="FN35">
        <v>49.2</v>
      </c>
      <c r="FO35">
        <v>49.5</v>
      </c>
      <c r="FP35">
        <v>52.1</v>
      </c>
      <c r="FQ35">
        <v>51.9</v>
      </c>
      <c r="FR35">
        <v>53.8</v>
      </c>
      <c r="FS35">
        <v>54.1</v>
      </c>
      <c r="FT35">
        <v>53.1</v>
      </c>
      <c r="FU35">
        <v>54.6</v>
      </c>
      <c r="FV35">
        <v>56.4</v>
      </c>
      <c r="FW35">
        <v>55.1</v>
      </c>
      <c r="FX35">
        <v>57</v>
      </c>
      <c r="FY35">
        <v>57.7</v>
      </c>
      <c r="FZ35">
        <v>57.6</v>
      </c>
      <c r="GA35">
        <v>57.5</v>
      </c>
      <c r="GB35">
        <v>55.8</v>
      </c>
      <c r="GC35">
        <v>54.1</v>
      </c>
      <c r="GD35">
        <v>54</v>
      </c>
      <c r="GE35">
        <v>52.4</v>
      </c>
      <c r="GF35">
        <v>52.8</v>
      </c>
      <c r="GG35">
        <v>54.2</v>
      </c>
      <c r="GH35">
        <v>55.3</v>
      </c>
      <c r="GI35">
        <v>53.6</v>
      </c>
      <c r="GJ35">
        <v>54.3</v>
      </c>
      <c r="GK35">
        <v>55.1</v>
      </c>
      <c r="GL35">
        <v>55.6</v>
      </c>
      <c r="GM35">
        <v>60.3</v>
      </c>
      <c r="GN35">
        <v>61.7</v>
      </c>
      <c r="GO35">
        <v>64.3</v>
      </c>
      <c r="GP35">
        <v>73.2</v>
      </c>
      <c r="GQ35">
        <v>72.8</v>
      </c>
      <c r="GR35">
        <v>73.099999999999994</v>
      </c>
      <c r="GS35">
        <v>72.400000000000006</v>
      </c>
      <c r="GT35">
        <v>66.5</v>
      </c>
      <c r="GU35">
        <v>61.9</v>
      </c>
      <c r="GV35">
        <v>76.8</v>
      </c>
      <c r="GW35">
        <v>78.8</v>
      </c>
      <c r="GX35">
        <v>85.5</v>
      </c>
      <c r="GY35">
        <v>91.9</v>
      </c>
      <c r="GZ35">
        <v>85.4</v>
      </c>
    </row>
    <row r="36" spans="1:208" x14ac:dyDescent="0.35">
      <c r="A36" t="s">
        <v>680</v>
      </c>
      <c r="B36">
        <v>1.1000000000000001</v>
      </c>
      <c r="C36">
        <v>1.1000000000000001</v>
      </c>
      <c r="D36">
        <v>1.1000000000000001</v>
      </c>
      <c r="E36">
        <v>1.1000000000000001</v>
      </c>
      <c r="F36">
        <v>1.1000000000000001</v>
      </c>
      <c r="G36">
        <v>1.2</v>
      </c>
      <c r="H36">
        <v>1.2</v>
      </c>
      <c r="I36">
        <v>1.2</v>
      </c>
      <c r="J36">
        <v>1.3</v>
      </c>
      <c r="K36">
        <v>1.3</v>
      </c>
      <c r="L36">
        <v>1.3</v>
      </c>
      <c r="M36">
        <v>1.4</v>
      </c>
      <c r="N36">
        <v>1.4</v>
      </c>
      <c r="O36">
        <v>1.5</v>
      </c>
      <c r="P36">
        <v>1.5</v>
      </c>
      <c r="Q36">
        <v>1.6</v>
      </c>
      <c r="R36">
        <v>1.6</v>
      </c>
      <c r="S36">
        <v>1.6</v>
      </c>
      <c r="T36">
        <v>1.7</v>
      </c>
      <c r="U36">
        <v>1.7</v>
      </c>
      <c r="V36">
        <v>1.8</v>
      </c>
      <c r="W36">
        <v>1.8</v>
      </c>
      <c r="X36">
        <v>1.9</v>
      </c>
      <c r="Y36">
        <v>2</v>
      </c>
      <c r="Z36">
        <v>2</v>
      </c>
      <c r="AA36">
        <v>2.1</v>
      </c>
      <c r="AB36">
        <v>2.2000000000000002</v>
      </c>
      <c r="AC36">
        <v>2.2999999999999998</v>
      </c>
      <c r="AD36">
        <v>2.5</v>
      </c>
      <c r="AE36">
        <v>2.7</v>
      </c>
      <c r="AF36">
        <v>2.9</v>
      </c>
      <c r="AG36">
        <v>3</v>
      </c>
      <c r="AH36">
        <v>3.2</v>
      </c>
      <c r="AI36">
        <v>3.3</v>
      </c>
      <c r="AJ36">
        <v>3.5</v>
      </c>
      <c r="AK36">
        <v>3.6</v>
      </c>
      <c r="AL36">
        <v>3.8</v>
      </c>
      <c r="AM36">
        <v>3.9</v>
      </c>
      <c r="AN36">
        <v>3.9</v>
      </c>
      <c r="AO36">
        <v>4</v>
      </c>
      <c r="AP36">
        <v>3.6</v>
      </c>
      <c r="AQ36">
        <v>2.9</v>
      </c>
      <c r="AR36">
        <v>3.8</v>
      </c>
      <c r="AS36">
        <v>4</v>
      </c>
      <c r="AT36">
        <v>3.7</v>
      </c>
      <c r="AU36">
        <v>3.8</v>
      </c>
      <c r="AV36">
        <v>3.9</v>
      </c>
      <c r="AW36">
        <v>4</v>
      </c>
      <c r="AX36">
        <v>4</v>
      </c>
      <c r="AY36">
        <v>4</v>
      </c>
      <c r="AZ36">
        <v>4.0999999999999996</v>
      </c>
      <c r="BA36">
        <v>4.0999999999999996</v>
      </c>
      <c r="BB36">
        <v>4</v>
      </c>
      <c r="BC36">
        <v>4.0999999999999996</v>
      </c>
      <c r="BD36">
        <v>4.0999999999999996</v>
      </c>
      <c r="BE36">
        <v>4.3</v>
      </c>
      <c r="BF36">
        <v>4.5</v>
      </c>
      <c r="BG36">
        <v>4.7</v>
      </c>
      <c r="BH36">
        <v>4.8</v>
      </c>
      <c r="BI36">
        <v>4.8</v>
      </c>
      <c r="BJ36">
        <v>4.7</v>
      </c>
      <c r="BK36">
        <v>4.8</v>
      </c>
      <c r="BL36">
        <v>4.9000000000000004</v>
      </c>
      <c r="BM36">
        <v>5.2</v>
      </c>
      <c r="BN36">
        <v>5.5</v>
      </c>
      <c r="BO36">
        <v>5.8</v>
      </c>
      <c r="BP36">
        <v>6.1</v>
      </c>
      <c r="BQ36">
        <v>6.4</v>
      </c>
      <c r="BR36">
        <v>6.7</v>
      </c>
      <c r="BS36">
        <v>7</v>
      </c>
      <c r="BT36">
        <v>7.3</v>
      </c>
      <c r="BU36">
        <v>7.7</v>
      </c>
      <c r="BV36">
        <v>8</v>
      </c>
      <c r="BW36">
        <v>8.3000000000000007</v>
      </c>
      <c r="BX36">
        <v>8.5</v>
      </c>
      <c r="BY36">
        <v>8.6999999999999993</v>
      </c>
      <c r="BZ36">
        <v>8.8000000000000007</v>
      </c>
      <c r="CA36">
        <v>8.9</v>
      </c>
      <c r="CB36">
        <v>9</v>
      </c>
      <c r="CC36">
        <v>9.3000000000000007</v>
      </c>
      <c r="CD36">
        <v>9.5</v>
      </c>
      <c r="CE36">
        <v>9.9</v>
      </c>
      <c r="CF36">
        <v>10.199999999999999</v>
      </c>
      <c r="CG36">
        <v>10.5</v>
      </c>
      <c r="CH36">
        <v>11</v>
      </c>
      <c r="CI36">
        <v>11.4</v>
      </c>
      <c r="CJ36">
        <v>11.8</v>
      </c>
      <c r="CK36">
        <v>12.2</v>
      </c>
      <c r="CL36">
        <v>12.6</v>
      </c>
      <c r="CM36">
        <v>13</v>
      </c>
      <c r="CN36">
        <v>13.3</v>
      </c>
      <c r="CO36">
        <v>13.6</v>
      </c>
      <c r="CP36">
        <v>13.8</v>
      </c>
      <c r="CQ36">
        <v>14.1</v>
      </c>
      <c r="CR36">
        <v>14.2</v>
      </c>
      <c r="CS36">
        <v>14.4</v>
      </c>
      <c r="CT36">
        <v>14.6</v>
      </c>
      <c r="CU36">
        <v>14.6</v>
      </c>
      <c r="CV36">
        <v>14.5</v>
      </c>
      <c r="CW36">
        <v>14.4</v>
      </c>
      <c r="CX36">
        <v>14</v>
      </c>
      <c r="CY36">
        <v>13.7</v>
      </c>
      <c r="CZ36">
        <v>13.5</v>
      </c>
      <c r="DA36">
        <v>13.2</v>
      </c>
      <c r="DB36">
        <v>13</v>
      </c>
      <c r="DC36">
        <v>12.7</v>
      </c>
      <c r="DD36">
        <v>12.3</v>
      </c>
      <c r="DE36">
        <v>11.9</v>
      </c>
      <c r="DF36">
        <v>11.3</v>
      </c>
      <c r="DG36">
        <v>10.9</v>
      </c>
      <c r="DH36">
        <v>10.6</v>
      </c>
      <c r="DI36">
        <v>10.5</v>
      </c>
      <c r="DJ36">
        <v>10.5</v>
      </c>
      <c r="DK36">
        <v>10.5</v>
      </c>
      <c r="DL36">
        <v>10.3</v>
      </c>
      <c r="DM36">
        <v>10.1</v>
      </c>
      <c r="DN36">
        <v>9.9</v>
      </c>
      <c r="DO36">
        <v>9.6999999999999993</v>
      </c>
      <c r="DP36">
        <v>9.6999999999999993</v>
      </c>
      <c r="DQ36">
        <v>9.8000000000000007</v>
      </c>
      <c r="DR36">
        <v>10</v>
      </c>
      <c r="DS36">
        <v>10.4</v>
      </c>
      <c r="DT36">
        <v>11</v>
      </c>
      <c r="DU36">
        <v>11.8</v>
      </c>
      <c r="DV36">
        <v>12.7</v>
      </c>
      <c r="DW36">
        <v>13.5</v>
      </c>
      <c r="DX36">
        <v>14.1</v>
      </c>
      <c r="DY36">
        <v>14.5</v>
      </c>
      <c r="DZ36">
        <v>14.9</v>
      </c>
      <c r="EA36">
        <v>15.4</v>
      </c>
      <c r="EB36">
        <v>16.100000000000001</v>
      </c>
      <c r="EC36">
        <v>17</v>
      </c>
      <c r="ED36">
        <v>18</v>
      </c>
      <c r="EE36">
        <v>19.2</v>
      </c>
      <c r="EF36">
        <v>20.5</v>
      </c>
      <c r="EG36">
        <v>22</v>
      </c>
      <c r="EH36">
        <v>23.4</v>
      </c>
      <c r="EI36">
        <v>24.5</v>
      </c>
      <c r="EJ36">
        <v>25.2</v>
      </c>
      <c r="EK36">
        <v>25.5</v>
      </c>
      <c r="EL36">
        <v>25.3</v>
      </c>
      <c r="EM36">
        <v>25</v>
      </c>
      <c r="EN36">
        <v>24.4</v>
      </c>
      <c r="EO36">
        <v>23.7</v>
      </c>
      <c r="EP36">
        <v>22.8</v>
      </c>
      <c r="EQ36">
        <v>21.9</v>
      </c>
      <c r="ER36">
        <v>21</v>
      </c>
      <c r="ES36">
        <v>20.2</v>
      </c>
      <c r="ET36">
        <v>19.399999999999999</v>
      </c>
      <c r="EU36">
        <v>18.899999999999999</v>
      </c>
      <c r="EV36">
        <v>18.5</v>
      </c>
      <c r="EW36">
        <v>18.5</v>
      </c>
      <c r="EX36">
        <v>18.600000000000001</v>
      </c>
      <c r="EY36">
        <v>18.7</v>
      </c>
      <c r="EZ36">
        <v>18.7</v>
      </c>
      <c r="FA36">
        <v>18.8</v>
      </c>
      <c r="FB36">
        <v>18.8</v>
      </c>
      <c r="FC36">
        <v>18.7</v>
      </c>
      <c r="FD36">
        <v>18.5</v>
      </c>
      <c r="FE36">
        <v>18.3</v>
      </c>
      <c r="FF36">
        <v>18</v>
      </c>
      <c r="FG36">
        <v>17.7</v>
      </c>
      <c r="FH36">
        <v>17.7</v>
      </c>
      <c r="FI36">
        <v>17.7</v>
      </c>
      <c r="FJ36">
        <v>17.899999999999999</v>
      </c>
      <c r="FK36">
        <v>18</v>
      </c>
      <c r="FL36">
        <v>17.899999999999999</v>
      </c>
      <c r="FM36">
        <v>17.7</v>
      </c>
      <c r="FN36">
        <v>17.399999999999999</v>
      </c>
      <c r="FO36">
        <v>17.2</v>
      </c>
      <c r="FP36">
        <v>17.100000000000001</v>
      </c>
      <c r="FQ36">
        <v>17.100000000000001</v>
      </c>
      <c r="FR36">
        <v>17.3</v>
      </c>
      <c r="FS36">
        <v>17.5</v>
      </c>
      <c r="FT36">
        <v>17.8</v>
      </c>
      <c r="FU36">
        <v>18.100000000000001</v>
      </c>
      <c r="FV36">
        <v>18.399999999999999</v>
      </c>
      <c r="FW36">
        <v>18.7</v>
      </c>
      <c r="FX36">
        <v>18.899999999999999</v>
      </c>
      <c r="FY36">
        <v>19</v>
      </c>
      <c r="FZ36">
        <v>19</v>
      </c>
      <c r="GA36">
        <v>19.100000000000001</v>
      </c>
      <c r="GB36">
        <v>19.3</v>
      </c>
      <c r="GC36">
        <v>19.5</v>
      </c>
      <c r="GD36">
        <v>19.8</v>
      </c>
      <c r="GE36">
        <v>20</v>
      </c>
      <c r="GF36">
        <v>20</v>
      </c>
      <c r="GG36">
        <v>20</v>
      </c>
      <c r="GH36">
        <v>19.8</v>
      </c>
      <c r="GI36">
        <v>19.7</v>
      </c>
      <c r="GJ36">
        <v>19.8</v>
      </c>
      <c r="GK36">
        <v>20</v>
      </c>
      <c r="GL36">
        <v>20.2</v>
      </c>
      <c r="GM36">
        <v>20.399999999999999</v>
      </c>
      <c r="GN36">
        <v>20.5</v>
      </c>
      <c r="GO36">
        <v>20.5</v>
      </c>
      <c r="GP36">
        <v>20.6</v>
      </c>
      <c r="GQ36">
        <v>20.5</v>
      </c>
      <c r="GR36">
        <v>20.3</v>
      </c>
      <c r="GS36">
        <v>20.2</v>
      </c>
      <c r="GT36">
        <v>20.100000000000001</v>
      </c>
      <c r="GU36">
        <v>19.100000000000001</v>
      </c>
      <c r="GV36">
        <v>19.899999999999999</v>
      </c>
      <c r="GW36">
        <v>20.5</v>
      </c>
      <c r="GX36">
        <v>21.2</v>
      </c>
      <c r="GY36">
        <v>21.9</v>
      </c>
      <c r="GZ36">
        <v>22.4</v>
      </c>
    </row>
    <row r="37" spans="1:208" x14ac:dyDescent="0.35">
      <c r="A37" t="s">
        <v>650</v>
      </c>
      <c r="B37">
        <v>14.7</v>
      </c>
      <c r="C37">
        <v>15.6</v>
      </c>
      <c r="D37">
        <v>16.600000000000001</v>
      </c>
      <c r="E37">
        <v>17.5</v>
      </c>
      <c r="F37">
        <v>18.3</v>
      </c>
      <c r="G37">
        <v>19.100000000000001</v>
      </c>
      <c r="H37">
        <v>19.600000000000001</v>
      </c>
      <c r="I37">
        <v>20.3</v>
      </c>
      <c r="J37">
        <v>21.2</v>
      </c>
      <c r="K37">
        <v>21.6</v>
      </c>
      <c r="L37">
        <v>22.5</v>
      </c>
      <c r="M37">
        <v>22.5</v>
      </c>
      <c r="N37">
        <v>23.2</v>
      </c>
      <c r="O37">
        <v>24</v>
      </c>
      <c r="P37">
        <v>24.2</v>
      </c>
      <c r="Q37">
        <v>25</v>
      </c>
      <c r="R37">
        <v>23.4</v>
      </c>
      <c r="S37">
        <v>24.7</v>
      </c>
      <c r="T37">
        <v>25.9</v>
      </c>
      <c r="U37">
        <v>27.1</v>
      </c>
      <c r="V37">
        <v>29.2</v>
      </c>
      <c r="W37">
        <v>30.5</v>
      </c>
      <c r="X37">
        <v>31</v>
      </c>
      <c r="Y37">
        <v>32.6</v>
      </c>
      <c r="Z37">
        <v>33.4</v>
      </c>
      <c r="AA37">
        <v>33.4</v>
      </c>
      <c r="AB37">
        <v>34.700000000000003</v>
      </c>
      <c r="AC37">
        <v>35</v>
      </c>
      <c r="AD37">
        <v>35.700000000000003</v>
      </c>
      <c r="AE37">
        <v>37.5</v>
      </c>
      <c r="AF37">
        <v>37.299999999999997</v>
      </c>
      <c r="AG37">
        <v>37.700000000000003</v>
      </c>
      <c r="AH37">
        <v>39.200000000000003</v>
      </c>
      <c r="AI37">
        <v>41</v>
      </c>
      <c r="AJ37">
        <v>41.3</v>
      </c>
      <c r="AK37">
        <v>41.7</v>
      </c>
      <c r="AL37">
        <v>42.4</v>
      </c>
      <c r="AM37">
        <v>43.5</v>
      </c>
      <c r="AN37">
        <v>44.5</v>
      </c>
      <c r="AO37">
        <v>46.9</v>
      </c>
      <c r="AP37">
        <v>49.1</v>
      </c>
      <c r="AQ37">
        <v>49</v>
      </c>
      <c r="AR37">
        <v>52.4</v>
      </c>
      <c r="AS37">
        <v>54.3</v>
      </c>
      <c r="AT37">
        <v>55.6</v>
      </c>
      <c r="AU37">
        <v>57.4</v>
      </c>
      <c r="AV37">
        <v>57.7</v>
      </c>
      <c r="AW37">
        <v>57.7</v>
      </c>
      <c r="AX37">
        <v>59</v>
      </c>
      <c r="AY37">
        <v>61</v>
      </c>
      <c r="AZ37">
        <v>62.1</v>
      </c>
      <c r="BA37">
        <v>62.6</v>
      </c>
      <c r="BB37">
        <v>65.8</v>
      </c>
      <c r="BC37">
        <v>66.3</v>
      </c>
      <c r="BD37">
        <v>67.2</v>
      </c>
      <c r="BE37">
        <v>68.3</v>
      </c>
      <c r="BF37">
        <v>69.900000000000006</v>
      </c>
      <c r="BG37">
        <v>70.599999999999994</v>
      </c>
      <c r="BH37">
        <v>71.3</v>
      </c>
      <c r="BI37">
        <v>72.8</v>
      </c>
      <c r="BJ37">
        <v>74.900000000000006</v>
      </c>
      <c r="BK37">
        <v>76.3</v>
      </c>
      <c r="BL37">
        <v>78.099999999999994</v>
      </c>
      <c r="BM37">
        <v>79.8</v>
      </c>
      <c r="BN37">
        <v>81.599999999999994</v>
      </c>
      <c r="BO37">
        <v>83.6</v>
      </c>
      <c r="BP37">
        <v>85.3</v>
      </c>
      <c r="BQ37">
        <v>86.9</v>
      </c>
      <c r="BR37">
        <v>88.3</v>
      </c>
      <c r="BS37">
        <v>89.9</v>
      </c>
      <c r="BT37">
        <v>91.6</v>
      </c>
      <c r="BU37">
        <v>93.1</v>
      </c>
      <c r="BV37">
        <v>95.3</v>
      </c>
      <c r="BW37">
        <v>97.3</v>
      </c>
      <c r="BX37">
        <v>99.5</v>
      </c>
      <c r="BY37">
        <v>101.9</v>
      </c>
      <c r="BZ37">
        <v>104.2</v>
      </c>
      <c r="CA37">
        <v>107.3</v>
      </c>
      <c r="CB37">
        <v>111</v>
      </c>
      <c r="CC37">
        <v>114.8</v>
      </c>
      <c r="CD37">
        <v>118.8</v>
      </c>
      <c r="CE37">
        <v>124.2</v>
      </c>
      <c r="CF37">
        <v>130.30000000000001</v>
      </c>
      <c r="CG37">
        <v>137.4</v>
      </c>
      <c r="CH37">
        <v>141.5</v>
      </c>
      <c r="CI37">
        <v>152.19999999999999</v>
      </c>
      <c r="CJ37">
        <v>158.6</v>
      </c>
      <c r="CK37">
        <v>173.8</v>
      </c>
      <c r="CL37">
        <v>170.5</v>
      </c>
      <c r="CM37">
        <v>178.6</v>
      </c>
      <c r="CN37">
        <v>185.8</v>
      </c>
      <c r="CO37">
        <v>185</v>
      </c>
      <c r="CP37">
        <v>188.9</v>
      </c>
      <c r="CQ37">
        <v>189.7</v>
      </c>
      <c r="CR37">
        <v>200.6</v>
      </c>
      <c r="CS37">
        <v>201.7</v>
      </c>
      <c r="CT37">
        <v>203.6</v>
      </c>
      <c r="CU37">
        <v>203.9</v>
      </c>
      <c r="CV37">
        <v>203.7</v>
      </c>
      <c r="CW37">
        <v>215.7</v>
      </c>
      <c r="CX37">
        <v>220.4</v>
      </c>
      <c r="CY37">
        <v>220.7</v>
      </c>
      <c r="CZ37">
        <v>220.7</v>
      </c>
      <c r="DA37">
        <v>208.8</v>
      </c>
      <c r="DB37">
        <v>218.2</v>
      </c>
      <c r="DC37">
        <v>232.2</v>
      </c>
      <c r="DD37">
        <v>224.8</v>
      </c>
      <c r="DE37">
        <v>221.7</v>
      </c>
      <c r="DF37">
        <v>226</v>
      </c>
      <c r="DG37">
        <v>223.7</v>
      </c>
      <c r="DH37">
        <v>228</v>
      </c>
      <c r="DI37">
        <v>232.4</v>
      </c>
      <c r="DJ37">
        <v>232.1</v>
      </c>
      <c r="DK37">
        <v>235.3</v>
      </c>
      <c r="DL37">
        <v>233.9</v>
      </c>
      <c r="DM37">
        <v>241.7</v>
      </c>
      <c r="DN37">
        <v>247.8</v>
      </c>
      <c r="DO37">
        <v>246.4</v>
      </c>
      <c r="DP37">
        <v>255</v>
      </c>
      <c r="DQ37">
        <v>260.2</v>
      </c>
      <c r="DR37">
        <v>260.10000000000002</v>
      </c>
      <c r="DS37">
        <v>269.39999999999998</v>
      </c>
      <c r="DT37">
        <v>277.2</v>
      </c>
      <c r="DU37">
        <v>279.10000000000002</v>
      </c>
      <c r="DV37">
        <v>290.39999999999998</v>
      </c>
      <c r="DW37">
        <v>308</v>
      </c>
      <c r="DX37">
        <v>295.8</v>
      </c>
      <c r="DY37">
        <v>326</v>
      </c>
      <c r="DZ37">
        <v>326</v>
      </c>
      <c r="EA37">
        <v>326</v>
      </c>
      <c r="EB37">
        <v>334.7</v>
      </c>
      <c r="EC37">
        <v>345.4</v>
      </c>
      <c r="ED37">
        <v>347</v>
      </c>
      <c r="EE37">
        <v>348.3</v>
      </c>
      <c r="EF37">
        <v>361.8</v>
      </c>
      <c r="EG37">
        <v>357</v>
      </c>
      <c r="EH37">
        <v>376</v>
      </c>
      <c r="EI37">
        <v>387.1</v>
      </c>
      <c r="EJ37">
        <v>385.7</v>
      </c>
      <c r="EK37">
        <v>391</v>
      </c>
      <c r="EL37">
        <v>399.1</v>
      </c>
      <c r="EM37">
        <v>410</v>
      </c>
      <c r="EN37">
        <v>409.1</v>
      </c>
      <c r="EO37">
        <v>407.9</v>
      </c>
      <c r="EP37">
        <v>394</v>
      </c>
      <c r="EQ37">
        <v>399.2</v>
      </c>
      <c r="ER37">
        <v>414.4</v>
      </c>
      <c r="ES37">
        <v>408.1</v>
      </c>
      <c r="ET37">
        <v>440.1</v>
      </c>
      <c r="EU37">
        <v>423.7</v>
      </c>
      <c r="EV37">
        <v>429.9</v>
      </c>
      <c r="EW37">
        <v>442.3</v>
      </c>
      <c r="EX37">
        <v>446.3</v>
      </c>
      <c r="EY37">
        <v>456</v>
      </c>
      <c r="EZ37">
        <v>460</v>
      </c>
      <c r="FA37">
        <v>462.1</v>
      </c>
      <c r="FB37">
        <v>480.2</v>
      </c>
      <c r="FC37">
        <v>492</v>
      </c>
      <c r="FD37">
        <v>502.4</v>
      </c>
      <c r="FE37">
        <v>498.2</v>
      </c>
      <c r="FF37">
        <v>508.7</v>
      </c>
      <c r="FG37">
        <v>513</v>
      </c>
      <c r="FH37">
        <v>533.20000000000005</v>
      </c>
      <c r="FI37">
        <v>540.79999999999995</v>
      </c>
      <c r="FJ37">
        <v>544.4</v>
      </c>
      <c r="FK37">
        <v>534.70000000000005</v>
      </c>
      <c r="FL37">
        <v>520.70000000000005</v>
      </c>
      <c r="FM37">
        <v>522.9</v>
      </c>
      <c r="FN37">
        <v>523.9</v>
      </c>
      <c r="FO37">
        <v>544.4</v>
      </c>
      <c r="FP37">
        <v>542</v>
      </c>
      <c r="FQ37">
        <v>552.70000000000005</v>
      </c>
      <c r="FR37">
        <v>548.4</v>
      </c>
      <c r="FS37">
        <v>562.79999999999995</v>
      </c>
      <c r="FT37">
        <v>572.79999999999995</v>
      </c>
      <c r="FU37">
        <v>573.6</v>
      </c>
      <c r="FV37">
        <v>585.1</v>
      </c>
      <c r="FW37">
        <v>607.79999999999995</v>
      </c>
      <c r="FX37">
        <v>634.1</v>
      </c>
      <c r="FY37">
        <v>643.20000000000005</v>
      </c>
      <c r="FZ37">
        <v>652.20000000000005</v>
      </c>
      <c r="GA37">
        <v>667.3</v>
      </c>
      <c r="GB37">
        <v>670.2</v>
      </c>
      <c r="GC37">
        <v>671.5</v>
      </c>
      <c r="GD37">
        <v>679.9</v>
      </c>
      <c r="GE37">
        <v>688.5</v>
      </c>
      <c r="GF37">
        <v>697.2</v>
      </c>
      <c r="GG37">
        <v>706.6</v>
      </c>
      <c r="GH37">
        <v>704.7</v>
      </c>
      <c r="GI37">
        <v>701.5</v>
      </c>
      <c r="GJ37">
        <v>717</v>
      </c>
      <c r="GK37">
        <v>712.1</v>
      </c>
      <c r="GL37">
        <v>719.6</v>
      </c>
      <c r="GM37">
        <v>731.7</v>
      </c>
      <c r="GN37">
        <v>735.9</v>
      </c>
      <c r="GO37">
        <v>731.6</v>
      </c>
      <c r="GP37">
        <v>741.5</v>
      </c>
      <c r="GQ37">
        <v>758.6</v>
      </c>
      <c r="GR37">
        <v>767.8</v>
      </c>
      <c r="GS37">
        <v>767.1</v>
      </c>
      <c r="GT37">
        <v>755.9</v>
      </c>
      <c r="GU37">
        <v>803.8</v>
      </c>
      <c r="GV37">
        <v>842.2</v>
      </c>
      <c r="GW37">
        <v>831.1</v>
      </c>
      <c r="GX37">
        <v>850</v>
      </c>
      <c r="GY37">
        <v>885.5</v>
      </c>
      <c r="GZ37">
        <v>897.4</v>
      </c>
    </row>
    <row r="38" spans="1:208" x14ac:dyDescent="0.35">
      <c r="A38" t="s">
        <v>948</v>
      </c>
      <c r="B38">
        <v>129.9</v>
      </c>
      <c r="C38">
        <v>134.1</v>
      </c>
      <c r="D38">
        <v>140.1</v>
      </c>
      <c r="E38">
        <v>144.30000000000001</v>
      </c>
      <c r="F38">
        <v>149.1</v>
      </c>
      <c r="G38">
        <v>153.6</v>
      </c>
      <c r="H38">
        <v>156.9</v>
      </c>
      <c r="I38">
        <v>161</v>
      </c>
      <c r="J38">
        <v>165.7</v>
      </c>
      <c r="K38">
        <v>167.9</v>
      </c>
      <c r="L38">
        <v>172.5</v>
      </c>
      <c r="M38">
        <v>176.8</v>
      </c>
      <c r="N38">
        <v>181.7</v>
      </c>
      <c r="O38">
        <v>185.7</v>
      </c>
      <c r="P38">
        <v>190</v>
      </c>
      <c r="Q38">
        <v>195.9</v>
      </c>
      <c r="R38">
        <v>201.1</v>
      </c>
      <c r="S38">
        <v>210.1</v>
      </c>
      <c r="T38">
        <v>217</v>
      </c>
      <c r="U38">
        <v>223.7</v>
      </c>
      <c r="V38">
        <v>235.9</v>
      </c>
      <c r="W38">
        <v>240.3</v>
      </c>
      <c r="X38">
        <v>246.6</v>
      </c>
      <c r="Y38">
        <v>254.2</v>
      </c>
      <c r="Z38">
        <v>260.3</v>
      </c>
      <c r="AA38">
        <v>259.39999999999998</v>
      </c>
      <c r="AB38">
        <v>261.3</v>
      </c>
      <c r="AC38">
        <v>263.89999999999998</v>
      </c>
      <c r="AD38">
        <v>271.10000000000002</v>
      </c>
      <c r="AE38">
        <v>278.60000000000002</v>
      </c>
      <c r="AF38">
        <v>282.3</v>
      </c>
      <c r="AG38">
        <v>287.5</v>
      </c>
      <c r="AH38">
        <v>292.5</v>
      </c>
      <c r="AI38">
        <v>306</v>
      </c>
      <c r="AJ38">
        <v>313.5</v>
      </c>
      <c r="AK38">
        <v>320.5</v>
      </c>
      <c r="AL38">
        <v>323.2</v>
      </c>
      <c r="AM38">
        <v>333.2</v>
      </c>
      <c r="AN38">
        <v>344.8</v>
      </c>
      <c r="AO38">
        <v>356.1</v>
      </c>
      <c r="AP38">
        <v>367.6</v>
      </c>
      <c r="AQ38">
        <v>371.7</v>
      </c>
      <c r="AR38">
        <v>379.1</v>
      </c>
      <c r="AS38">
        <v>388.1</v>
      </c>
      <c r="AT38">
        <v>402.6</v>
      </c>
      <c r="AU38">
        <v>405.3</v>
      </c>
      <c r="AV38">
        <v>409.8</v>
      </c>
      <c r="AW38">
        <v>418.5</v>
      </c>
      <c r="AX38">
        <v>425.5</v>
      </c>
      <c r="AY38">
        <v>435.4</v>
      </c>
      <c r="AZ38">
        <v>443.4</v>
      </c>
      <c r="BA38">
        <v>452.9</v>
      </c>
      <c r="BB38">
        <v>461.9</v>
      </c>
      <c r="BC38">
        <v>467.5</v>
      </c>
      <c r="BD38">
        <v>476.7</v>
      </c>
      <c r="BE38">
        <v>482.1</v>
      </c>
      <c r="BF38">
        <v>495.1</v>
      </c>
      <c r="BG38">
        <v>505.9</v>
      </c>
      <c r="BH38">
        <v>518.29999999999995</v>
      </c>
      <c r="BI38">
        <v>529.29999999999995</v>
      </c>
      <c r="BJ38">
        <v>542.70000000000005</v>
      </c>
      <c r="BK38">
        <v>557.70000000000005</v>
      </c>
      <c r="BL38">
        <v>571.6</v>
      </c>
      <c r="BM38">
        <v>582.20000000000005</v>
      </c>
      <c r="BN38">
        <v>595.9</v>
      </c>
      <c r="BO38">
        <v>605.5</v>
      </c>
      <c r="BP38">
        <v>616.5</v>
      </c>
      <c r="BQ38">
        <v>626.29999999999995</v>
      </c>
      <c r="BR38">
        <v>637.79999999999995</v>
      </c>
      <c r="BS38">
        <v>646.9</v>
      </c>
      <c r="BT38">
        <v>656.4</v>
      </c>
      <c r="BU38">
        <v>668.1</v>
      </c>
      <c r="BV38">
        <v>678.6</v>
      </c>
      <c r="BW38">
        <v>693.1</v>
      </c>
      <c r="BX38">
        <v>703.2</v>
      </c>
      <c r="BY38">
        <v>720.1</v>
      </c>
      <c r="BZ38">
        <v>736.6</v>
      </c>
      <c r="CA38">
        <v>755.1</v>
      </c>
      <c r="CB38">
        <v>770.4</v>
      </c>
      <c r="CC38">
        <v>790</v>
      </c>
      <c r="CD38">
        <v>811.4</v>
      </c>
      <c r="CE38">
        <v>824.1</v>
      </c>
      <c r="CF38">
        <v>843.9</v>
      </c>
      <c r="CG38">
        <v>871</v>
      </c>
      <c r="CH38">
        <v>881.6</v>
      </c>
      <c r="CI38">
        <v>901.3</v>
      </c>
      <c r="CJ38">
        <v>919.2</v>
      </c>
      <c r="CK38">
        <v>947</v>
      </c>
      <c r="CL38">
        <v>959.3</v>
      </c>
      <c r="CM38">
        <v>975.2</v>
      </c>
      <c r="CN38">
        <v>988.2</v>
      </c>
      <c r="CO38">
        <v>991.3</v>
      </c>
      <c r="CP38">
        <v>1001.1</v>
      </c>
      <c r="CQ38">
        <v>1011.6</v>
      </c>
      <c r="CR38">
        <v>1028.0999999999999</v>
      </c>
      <c r="CS38">
        <v>1036.0999999999999</v>
      </c>
      <c r="CT38">
        <v>1046.5999999999999</v>
      </c>
      <c r="CU38">
        <v>1060.5</v>
      </c>
      <c r="CV38">
        <v>1077.4000000000001</v>
      </c>
      <c r="CW38">
        <v>1100.7</v>
      </c>
      <c r="CX38">
        <v>1118.5</v>
      </c>
      <c r="CY38">
        <v>1132.8</v>
      </c>
      <c r="CZ38">
        <v>1136.8</v>
      </c>
      <c r="DA38">
        <v>1131.2</v>
      </c>
      <c r="DB38">
        <v>1145.0999999999999</v>
      </c>
      <c r="DC38">
        <v>1171.4000000000001</v>
      </c>
      <c r="DD38">
        <v>1176</v>
      </c>
      <c r="DE38">
        <v>1192</v>
      </c>
      <c r="DF38">
        <v>1202.5</v>
      </c>
      <c r="DG38">
        <v>1209</v>
      </c>
      <c r="DH38">
        <v>1225.5</v>
      </c>
      <c r="DI38">
        <v>1243.5</v>
      </c>
      <c r="DJ38">
        <v>1250.5</v>
      </c>
      <c r="DK38">
        <v>1272.2</v>
      </c>
      <c r="DL38">
        <v>1290.9000000000001</v>
      </c>
      <c r="DM38">
        <v>1312.2</v>
      </c>
      <c r="DN38">
        <v>1338.9</v>
      </c>
      <c r="DO38">
        <v>1357.5</v>
      </c>
      <c r="DP38">
        <v>1388.2</v>
      </c>
      <c r="DQ38">
        <v>1417.2</v>
      </c>
      <c r="DR38">
        <v>1435.6</v>
      </c>
      <c r="DS38">
        <v>1453</v>
      </c>
      <c r="DT38">
        <v>1478</v>
      </c>
      <c r="DU38">
        <v>1507</v>
      </c>
      <c r="DV38">
        <v>1560.6</v>
      </c>
      <c r="DW38">
        <v>1617.6</v>
      </c>
      <c r="DX38">
        <v>1597.3</v>
      </c>
      <c r="DY38">
        <v>1656.2</v>
      </c>
      <c r="DZ38">
        <v>1677.3</v>
      </c>
      <c r="EA38">
        <v>1694.5</v>
      </c>
      <c r="EB38">
        <v>1724.4</v>
      </c>
      <c r="EC38">
        <v>1756.3</v>
      </c>
      <c r="ED38">
        <v>1781.7</v>
      </c>
      <c r="EE38">
        <v>1783.4</v>
      </c>
      <c r="EF38">
        <v>1811.7</v>
      </c>
      <c r="EG38">
        <v>1814.6</v>
      </c>
      <c r="EH38">
        <v>1843.6</v>
      </c>
      <c r="EI38">
        <v>1868.2</v>
      </c>
      <c r="EJ38">
        <v>1895.3</v>
      </c>
      <c r="EK38">
        <v>1903</v>
      </c>
      <c r="EL38">
        <v>1925.1</v>
      </c>
      <c r="EM38">
        <v>1952.9</v>
      </c>
      <c r="EN38">
        <v>1978</v>
      </c>
      <c r="EO38">
        <v>2024.5</v>
      </c>
      <c r="EP38">
        <v>2008</v>
      </c>
      <c r="EQ38">
        <v>2042.4</v>
      </c>
      <c r="ER38">
        <v>2078.5</v>
      </c>
      <c r="ES38">
        <v>2094.1999999999998</v>
      </c>
      <c r="ET38">
        <v>2165.9</v>
      </c>
      <c r="EU38">
        <v>2182.4</v>
      </c>
      <c r="EV38">
        <v>2205.9</v>
      </c>
      <c r="EW38">
        <v>2242.1</v>
      </c>
      <c r="EX38">
        <v>2256.4</v>
      </c>
      <c r="EY38">
        <v>2293.3000000000002</v>
      </c>
      <c r="EZ38">
        <v>2337.8000000000002</v>
      </c>
      <c r="FA38">
        <v>2337.1999999999998</v>
      </c>
      <c r="FB38">
        <v>2371.5</v>
      </c>
      <c r="FC38">
        <v>2419.8000000000002</v>
      </c>
      <c r="FD38">
        <v>2446.9</v>
      </c>
      <c r="FE38">
        <v>2444.5</v>
      </c>
      <c r="FF38">
        <v>2439.1</v>
      </c>
      <c r="FG38">
        <v>2443.1</v>
      </c>
      <c r="FH38">
        <v>2451.4</v>
      </c>
      <c r="FI38">
        <v>2452.3000000000002</v>
      </c>
      <c r="FJ38">
        <v>2451.4</v>
      </c>
      <c r="FK38">
        <v>2445</v>
      </c>
      <c r="FL38">
        <v>2423.3000000000002</v>
      </c>
      <c r="FM38">
        <v>2417.9</v>
      </c>
      <c r="FN38">
        <v>2431.3000000000002</v>
      </c>
      <c r="FO38">
        <v>2447.1999999999998</v>
      </c>
      <c r="FP38">
        <v>2448.6</v>
      </c>
      <c r="FQ38">
        <v>2475.8000000000002</v>
      </c>
      <c r="FR38">
        <v>2485.5</v>
      </c>
      <c r="FS38">
        <v>2507.5</v>
      </c>
      <c r="FT38">
        <v>2527.4</v>
      </c>
      <c r="FU38">
        <v>2529.9</v>
      </c>
      <c r="FV38">
        <v>2541.1</v>
      </c>
      <c r="FW38">
        <v>2578.9</v>
      </c>
      <c r="FX38">
        <v>2622.2</v>
      </c>
      <c r="FY38">
        <v>2647.2</v>
      </c>
      <c r="FZ38">
        <v>2652.9</v>
      </c>
      <c r="GA38">
        <v>2706.9</v>
      </c>
      <c r="GB38">
        <v>2729.6</v>
      </c>
      <c r="GC38">
        <v>2729.9</v>
      </c>
      <c r="GD38">
        <v>2758.2</v>
      </c>
      <c r="GE38">
        <v>2788.4</v>
      </c>
      <c r="GF38">
        <v>2815.9</v>
      </c>
      <c r="GG38">
        <v>2843.1</v>
      </c>
      <c r="GH38">
        <v>2862.6</v>
      </c>
      <c r="GI38">
        <v>2864.3</v>
      </c>
      <c r="GJ38">
        <v>2898</v>
      </c>
      <c r="GK38">
        <v>2918.2</v>
      </c>
      <c r="GL38">
        <v>2945.3</v>
      </c>
      <c r="GM38">
        <v>2984.8</v>
      </c>
      <c r="GN38">
        <v>3006.1</v>
      </c>
      <c r="GO38">
        <v>3004</v>
      </c>
      <c r="GP38">
        <v>3035.3</v>
      </c>
      <c r="GQ38">
        <v>3086.2</v>
      </c>
      <c r="GR38">
        <v>3105.8</v>
      </c>
      <c r="GS38">
        <v>3123.3</v>
      </c>
      <c r="GT38">
        <v>3150.9</v>
      </c>
      <c r="GU38">
        <v>3151.4</v>
      </c>
      <c r="GV38">
        <v>3195.1</v>
      </c>
      <c r="GW38">
        <v>3207.4</v>
      </c>
      <c r="GX38">
        <v>3260.6</v>
      </c>
      <c r="GY38">
        <v>3337.6</v>
      </c>
      <c r="GZ38">
        <v>3394.2</v>
      </c>
    </row>
    <row r="39" spans="1:208" x14ac:dyDescent="0.35">
      <c r="A39" t="s">
        <v>949</v>
      </c>
      <c r="CP39">
        <v>78.072000000000003</v>
      </c>
      <c r="CQ39">
        <v>80.831000000000003</v>
      </c>
      <c r="CR39">
        <v>85.251000000000005</v>
      </c>
      <c r="CS39">
        <v>88.177999999999997</v>
      </c>
      <c r="CT39">
        <v>84.001999999999995</v>
      </c>
      <c r="CU39">
        <v>86.254999999999995</v>
      </c>
      <c r="CV39">
        <v>87.977999999999994</v>
      </c>
      <c r="CW39">
        <v>89.828999999999994</v>
      </c>
      <c r="CX39">
        <v>95.218000000000004</v>
      </c>
      <c r="CY39">
        <v>94.483999999999995</v>
      </c>
      <c r="CZ39">
        <v>93.858000000000004</v>
      </c>
      <c r="DA39">
        <v>92.180999999999997</v>
      </c>
      <c r="DB39">
        <v>94.539000000000001</v>
      </c>
      <c r="DC39">
        <v>102.461</v>
      </c>
      <c r="DD39">
        <v>99.671999999999997</v>
      </c>
      <c r="DE39">
        <v>97.608999999999995</v>
      </c>
      <c r="DF39">
        <v>98.691000000000003</v>
      </c>
      <c r="DG39">
        <v>98.641999999999996</v>
      </c>
      <c r="DH39">
        <v>101.001</v>
      </c>
      <c r="DI39">
        <v>105.738</v>
      </c>
      <c r="DJ39">
        <v>103.992</v>
      </c>
      <c r="DK39">
        <v>106.28700000000001</v>
      </c>
      <c r="DL39">
        <v>106.646</v>
      </c>
      <c r="DM39">
        <v>110.762</v>
      </c>
      <c r="DN39">
        <v>114.027</v>
      </c>
      <c r="DO39">
        <v>113.559</v>
      </c>
      <c r="DP39">
        <v>120.524</v>
      </c>
      <c r="DQ39">
        <v>121.904</v>
      </c>
      <c r="DR39">
        <v>121.898</v>
      </c>
      <c r="DS39">
        <v>123.319</v>
      </c>
      <c r="DT39">
        <v>133.626</v>
      </c>
      <c r="DU39">
        <v>129.62200000000001</v>
      </c>
      <c r="DV39">
        <v>138.71600000000001</v>
      </c>
      <c r="DW39">
        <v>145.774</v>
      </c>
      <c r="DX39">
        <v>143.21899999999999</v>
      </c>
      <c r="DY39">
        <v>153.809</v>
      </c>
      <c r="DZ39">
        <v>156.084</v>
      </c>
      <c r="EA39">
        <v>157.45500000000001</v>
      </c>
      <c r="EB39">
        <v>164.01</v>
      </c>
      <c r="EC39">
        <v>166.934</v>
      </c>
      <c r="ED39">
        <v>165.90600000000001</v>
      </c>
      <c r="EE39">
        <v>171.10599999999999</v>
      </c>
      <c r="EF39">
        <v>186.792</v>
      </c>
      <c r="EG39">
        <v>182.54300000000001</v>
      </c>
      <c r="EH39">
        <v>190.07</v>
      </c>
      <c r="EI39">
        <v>194.96299999999999</v>
      </c>
      <c r="EJ39">
        <v>186.476</v>
      </c>
      <c r="EK39">
        <v>191.75200000000001</v>
      </c>
      <c r="EL39">
        <v>199.036</v>
      </c>
      <c r="EM39">
        <v>200.24600000000001</v>
      </c>
      <c r="EN39">
        <v>195.23099999999999</v>
      </c>
      <c r="EO39">
        <v>197.352</v>
      </c>
      <c r="EP39">
        <v>191.74700000000001</v>
      </c>
      <c r="EQ39">
        <v>189.018</v>
      </c>
      <c r="ER39">
        <v>197.488</v>
      </c>
      <c r="ES39">
        <v>189.083</v>
      </c>
      <c r="ET39">
        <v>209.34700000000001</v>
      </c>
      <c r="EU39">
        <v>201.38300000000001</v>
      </c>
      <c r="EV39">
        <v>204.31800000000001</v>
      </c>
      <c r="EW39">
        <v>206.11</v>
      </c>
      <c r="EX39">
        <v>209.60300000000001</v>
      </c>
      <c r="EY39">
        <v>216.57</v>
      </c>
      <c r="EZ39">
        <v>213.01599999999999</v>
      </c>
      <c r="FA39">
        <v>217.49100000000001</v>
      </c>
      <c r="FB39">
        <v>266.40699999999998</v>
      </c>
      <c r="FC39">
        <v>284.52600000000001</v>
      </c>
      <c r="FD39">
        <v>273.90300000000002</v>
      </c>
      <c r="FE39">
        <v>272.34500000000003</v>
      </c>
      <c r="FF39">
        <v>283.26799999999997</v>
      </c>
      <c r="FG39">
        <v>290.80799999999999</v>
      </c>
      <c r="FH39">
        <v>297.13</v>
      </c>
      <c r="FI39">
        <v>309.66800000000001</v>
      </c>
      <c r="FJ39">
        <v>293.83999999999997</v>
      </c>
      <c r="FK39">
        <v>288.89999999999998</v>
      </c>
      <c r="FL39">
        <v>248.81299999999999</v>
      </c>
      <c r="FM39">
        <v>249.625</v>
      </c>
      <c r="FN39">
        <v>258.161</v>
      </c>
      <c r="FO39">
        <v>273.39</v>
      </c>
      <c r="FP39">
        <v>263.07900000000001</v>
      </c>
      <c r="FQ39">
        <v>269.70999999999998</v>
      </c>
      <c r="FR39">
        <v>272.06299999999999</v>
      </c>
      <c r="FS39">
        <v>283.40800000000002</v>
      </c>
      <c r="FT39">
        <v>281.45499999999998</v>
      </c>
      <c r="FU39">
        <v>282.10700000000003</v>
      </c>
      <c r="FV39">
        <v>303.39</v>
      </c>
      <c r="FW39">
        <v>320.01499999999999</v>
      </c>
      <c r="FX39">
        <v>343.69200000000001</v>
      </c>
      <c r="FY39">
        <v>345.71199999999999</v>
      </c>
      <c r="FZ39">
        <v>362.79199999999997</v>
      </c>
      <c r="GA39">
        <v>363.41</v>
      </c>
      <c r="GB39">
        <v>365.38400000000001</v>
      </c>
      <c r="GC39">
        <v>384.03199999999998</v>
      </c>
      <c r="GD39">
        <v>378.24599999999998</v>
      </c>
      <c r="GE39">
        <v>382.36700000000002</v>
      </c>
      <c r="GF39">
        <v>396.21600000000001</v>
      </c>
      <c r="GG39">
        <v>408.32299999999998</v>
      </c>
      <c r="GH39">
        <v>396.83800000000002</v>
      </c>
      <c r="GI39">
        <v>371.19600000000003</v>
      </c>
      <c r="GJ39">
        <v>396.81799999999998</v>
      </c>
      <c r="GK39">
        <v>402.67599999999999</v>
      </c>
      <c r="GL39">
        <v>413.024</v>
      </c>
      <c r="GM39">
        <v>403.04300000000001</v>
      </c>
      <c r="GN39">
        <v>412.24599999999998</v>
      </c>
      <c r="GO39">
        <v>412.041</v>
      </c>
      <c r="GP39">
        <v>430.08</v>
      </c>
      <c r="GQ39">
        <v>435.61799999999999</v>
      </c>
      <c r="GR39">
        <v>436.89699999999999</v>
      </c>
      <c r="GS39">
        <v>438.40800000000002</v>
      </c>
      <c r="GT39">
        <v>451.67099999999999</v>
      </c>
      <c r="GU39">
        <v>589.274</v>
      </c>
      <c r="GV39">
        <v>532.923</v>
      </c>
      <c r="GW39">
        <v>545.54899999999998</v>
      </c>
      <c r="GX39">
        <v>552.85900000000004</v>
      </c>
      <c r="GY39">
        <v>553.56399999999996</v>
      </c>
      <c r="GZ39">
        <v>569.60599999999999</v>
      </c>
    </row>
    <row r="40" spans="1:208" x14ac:dyDescent="0.35">
      <c r="A40" t="s">
        <v>471</v>
      </c>
      <c r="CP40">
        <v>73.888000000000005</v>
      </c>
      <c r="CQ40">
        <v>76.036000000000001</v>
      </c>
      <c r="CR40">
        <v>80.603999999999999</v>
      </c>
      <c r="CS40">
        <v>84.1</v>
      </c>
      <c r="CT40">
        <v>78.947999999999993</v>
      </c>
      <c r="CU40">
        <v>81.772000000000006</v>
      </c>
      <c r="CV40">
        <v>82.891999999999996</v>
      </c>
      <c r="CW40">
        <v>85.54</v>
      </c>
      <c r="CX40">
        <v>90.524000000000001</v>
      </c>
      <c r="CY40">
        <v>90.54</v>
      </c>
      <c r="CZ40">
        <v>89.28</v>
      </c>
      <c r="DA40">
        <v>87.567999999999998</v>
      </c>
      <c r="DB40">
        <v>88.772000000000006</v>
      </c>
      <c r="DC40">
        <v>96.376000000000005</v>
      </c>
      <c r="DD40">
        <v>94.872</v>
      </c>
      <c r="DE40">
        <v>93.891999999999996</v>
      </c>
      <c r="DF40">
        <v>95.98</v>
      </c>
      <c r="DG40">
        <v>94.924000000000007</v>
      </c>
      <c r="DH40">
        <v>97.108000000000004</v>
      </c>
      <c r="DI40">
        <v>101.384</v>
      </c>
      <c r="DJ40">
        <v>99.444000000000003</v>
      </c>
      <c r="DK40">
        <v>101.608</v>
      </c>
      <c r="DL40">
        <v>102.26</v>
      </c>
      <c r="DM40">
        <v>103.952</v>
      </c>
      <c r="DN40">
        <v>107.1</v>
      </c>
      <c r="DO40">
        <v>107.208</v>
      </c>
      <c r="DP40">
        <v>113.428</v>
      </c>
      <c r="DQ40">
        <v>114.62</v>
      </c>
      <c r="DR40">
        <v>114.852</v>
      </c>
      <c r="DS40">
        <v>116.16800000000001</v>
      </c>
      <c r="DT40">
        <v>125.392</v>
      </c>
      <c r="DU40">
        <v>121.748</v>
      </c>
      <c r="DV40">
        <v>129.38800000000001</v>
      </c>
      <c r="DW40">
        <v>132.12799999999999</v>
      </c>
      <c r="DX40">
        <v>133.364</v>
      </c>
      <c r="DY40">
        <v>143.65199999999999</v>
      </c>
      <c r="DZ40">
        <v>145.547</v>
      </c>
      <c r="EA40">
        <v>146.352</v>
      </c>
      <c r="EB40">
        <v>152.89599999999999</v>
      </c>
      <c r="EC40">
        <v>155.30699999999999</v>
      </c>
      <c r="ED40">
        <v>154.37799999999999</v>
      </c>
      <c r="EE40">
        <v>158.02000000000001</v>
      </c>
      <c r="EF40">
        <v>174.22900000000001</v>
      </c>
      <c r="EG40">
        <v>170.506</v>
      </c>
      <c r="EH40">
        <v>177.77199999999999</v>
      </c>
      <c r="EI40">
        <v>182.69200000000001</v>
      </c>
      <c r="EJ40">
        <v>173.33</v>
      </c>
      <c r="EK40">
        <v>177.28200000000001</v>
      </c>
      <c r="EL40">
        <v>183.90799999999999</v>
      </c>
      <c r="EM40">
        <v>185.81800000000001</v>
      </c>
      <c r="EN40">
        <v>179.68299999999999</v>
      </c>
      <c r="EO40">
        <v>182.94399999999999</v>
      </c>
      <c r="EP40">
        <v>175.95599999999999</v>
      </c>
      <c r="EQ40">
        <v>176.53</v>
      </c>
      <c r="ER40">
        <v>186.733</v>
      </c>
      <c r="ES40">
        <v>177.65899999999999</v>
      </c>
      <c r="ET40">
        <v>200.21799999999999</v>
      </c>
      <c r="EU40">
        <v>190.602</v>
      </c>
      <c r="EV40">
        <v>194.11099999999999</v>
      </c>
      <c r="EW40">
        <v>196.02799999999999</v>
      </c>
      <c r="EX40">
        <v>200.29400000000001</v>
      </c>
      <c r="EY40">
        <v>203.79400000000001</v>
      </c>
      <c r="EZ40">
        <v>205.059</v>
      </c>
      <c r="FA40">
        <v>208.505</v>
      </c>
      <c r="FB40">
        <v>256.94400000000002</v>
      </c>
      <c r="FC40">
        <v>274.66399999999999</v>
      </c>
      <c r="FD40">
        <v>263.92399999999998</v>
      </c>
      <c r="FE40">
        <v>261.94400000000002</v>
      </c>
      <c r="FF40">
        <v>271.84399999999999</v>
      </c>
      <c r="FG40">
        <v>272.45600000000002</v>
      </c>
      <c r="FH40">
        <v>283.69099999999997</v>
      </c>
      <c r="FI40">
        <v>297.60899999999998</v>
      </c>
      <c r="FJ40">
        <v>282.44499999999999</v>
      </c>
      <c r="FK40">
        <v>277.19600000000003</v>
      </c>
      <c r="FL40">
        <v>237.739</v>
      </c>
      <c r="FM40">
        <v>239.291</v>
      </c>
      <c r="FN40">
        <v>246.24799999999999</v>
      </c>
      <c r="FO40">
        <v>262.32400000000001</v>
      </c>
      <c r="FP40">
        <v>250.54</v>
      </c>
      <c r="FQ40">
        <v>259.56200000000001</v>
      </c>
      <c r="FR40">
        <v>258.45</v>
      </c>
      <c r="FS40">
        <v>270.887</v>
      </c>
      <c r="FT40">
        <v>269.279</v>
      </c>
      <c r="FU40">
        <v>269.98200000000003</v>
      </c>
      <c r="FV40">
        <v>291.58999999999997</v>
      </c>
      <c r="FW40">
        <v>307.77499999999998</v>
      </c>
      <c r="FX40">
        <v>332.4</v>
      </c>
      <c r="FY40">
        <v>335.61099999999999</v>
      </c>
      <c r="FZ40">
        <v>352.18799999999999</v>
      </c>
      <c r="GA40">
        <v>353.44200000000001</v>
      </c>
      <c r="GB40">
        <v>352.90899999999999</v>
      </c>
      <c r="GC40">
        <v>366.274</v>
      </c>
      <c r="GD40">
        <v>360.221</v>
      </c>
      <c r="GE40">
        <v>363.84399999999999</v>
      </c>
      <c r="GF40">
        <v>377.96699999999998</v>
      </c>
      <c r="GG40">
        <v>388.17599999999999</v>
      </c>
      <c r="GH40">
        <v>377.15800000000002</v>
      </c>
      <c r="GI40">
        <v>351.78300000000002</v>
      </c>
      <c r="GJ40">
        <v>376.51499999999999</v>
      </c>
      <c r="GK40">
        <v>383.63</v>
      </c>
      <c r="GL40">
        <v>391.815</v>
      </c>
      <c r="GM40">
        <v>383.23700000000002</v>
      </c>
      <c r="GN40">
        <v>392.27300000000002</v>
      </c>
      <c r="GO40">
        <v>390.86599999999999</v>
      </c>
      <c r="GP40">
        <v>408.75599999999997</v>
      </c>
      <c r="GQ40">
        <v>413.34399999999999</v>
      </c>
      <c r="GR40">
        <v>418.529</v>
      </c>
      <c r="GS40">
        <v>413.80599999999998</v>
      </c>
      <c r="GT40">
        <v>428.11799999999999</v>
      </c>
      <c r="GU40">
        <v>502.49</v>
      </c>
      <c r="GV40">
        <v>481.71699999999998</v>
      </c>
      <c r="GW40">
        <v>507.83699999999999</v>
      </c>
      <c r="GX40">
        <v>511.34500000000003</v>
      </c>
      <c r="GY40">
        <v>520.72900000000004</v>
      </c>
      <c r="GZ40">
        <v>530.82100000000003</v>
      </c>
    </row>
    <row r="41" spans="1:208" x14ac:dyDescent="0.35">
      <c r="A41" t="s">
        <v>517</v>
      </c>
      <c r="B41">
        <v>5.5759999999999996</v>
      </c>
      <c r="C41">
        <v>5.2279999999999998</v>
      </c>
      <c r="D41">
        <v>4.8159999999999998</v>
      </c>
      <c r="E41">
        <v>4.9000000000000004</v>
      </c>
      <c r="F41">
        <v>5.4640000000000004</v>
      </c>
      <c r="G41">
        <v>6.3120000000000003</v>
      </c>
      <c r="H41">
        <v>5.7560000000000002</v>
      </c>
      <c r="I41">
        <v>5.6440000000000001</v>
      </c>
      <c r="J41">
        <v>5.6680000000000001</v>
      </c>
      <c r="K41">
        <v>5.2160000000000002</v>
      </c>
      <c r="L41">
        <v>6.7240000000000002</v>
      </c>
      <c r="M41">
        <v>5.7</v>
      </c>
      <c r="N41">
        <v>5.74</v>
      </c>
      <c r="O41">
        <v>6.2080000000000002</v>
      </c>
      <c r="P41">
        <v>5.3440000000000003</v>
      </c>
      <c r="Q41">
        <v>5.92</v>
      </c>
      <c r="R41">
        <v>7.76</v>
      </c>
      <c r="S41">
        <v>8.5719999999999992</v>
      </c>
      <c r="T41">
        <v>6.4960000000000004</v>
      </c>
      <c r="U41">
        <v>7.84</v>
      </c>
      <c r="V41">
        <v>8.6519999999999992</v>
      </c>
      <c r="W41">
        <v>7.8040000000000003</v>
      </c>
      <c r="X41">
        <v>10.772</v>
      </c>
      <c r="Y41">
        <v>10.423999999999999</v>
      </c>
      <c r="Z41">
        <v>10.012</v>
      </c>
      <c r="AA41">
        <v>9.76</v>
      </c>
      <c r="AB41">
        <v>10.592000000000001</v>
      </c>
      <c r="AC41">
        <v>11.108000000000001</v>
      </c>
      <c r="AD41">
        <v>10.715999999999999</v>
      </c>
      <c r="AE41">
        <v>10.651999999999999</v>
      </c>
      <c r="AF41">
        <v>11.804</v>
      </c>
      <c r="AG41">
        <v>10.7</v>
      </c>
      <c r="AH41">
        <v>10.968</v>
      </c>
      <c r="AI41">
        <v>11.528</v>
      </c>
      <c r="AJ41">
        <v>11.907999999999999</v>
      </c>
      <c r="AK41">
        <v>12.528</v>
      </c>
      <c r="AL41">
        <v>13.592000000000001</v>
      </c>
      <c r="AM41">
        <v>13.048</v>
      </c>
      <c r="AN41">
        <v>14.292</v>
      </c>
      <c r="AO41">
        <v>15.752000000000001</v>
      </c>
      <c r="AP41">
        <v>16.260000000000002</v>
      </c>
      <c r="AQ41">
        <v>16.536000000000001</v>
      </c>
      <c r="AR41">
        <v>15.916</v>
      </c>
      <c r="AS41">
        <v>16.628</v>
      </c>
      <c r="AT41">
        <v>16.091999999999999</v>
      </c>
      <c r="AU41">
        <v>15.715999999999999</v>
      </c>
      <c r="AV41">
        <v>14.827999999999999</v>
      </c>
      <c r="AW41">
        <v>15.012</v>
      </c>
      <c r="AX41">
        <v>13.852</v>
      </c>
      <c r="AY41">
        <v>14.552</v>
      </c>
      <c r="AZ41">
        <v>14.544</v>
      </c>
      <c r="BA41">
        <v>14.484</v>
      </c>
      <c r="BB41">
        <v>15.9</v>
      </c>
      <c r="BC41">
        <v>14.2</v>
      </c>
      <c r="BD41">
        <v>15.904</v>
      </c>
      <c r="BE41">
        <v>15.768000000000001</v>
      </c>
      <c r="BF41">
        <v>16.556000000000001</v>
      </c>
      <c r="BG41">
        <v>17.236000000000001</v>
      </c>
      <c r="BH41">
        <v>18.091999999999999</v>
      </c>
      <c r="BI41">
        <v>18.824000000000002</v>
      </c>
      <c r="BJ41">
        <v>17.044</v>
      </c>
      <c r="BK41">
        <v>19.408000000000001</v>
      </c>
      <c r="BL41">
        <v>20.036000000000001</v>
      </c>
      <c r="BM41">
        <v>21.184000000000001</v>
      </c>
      <c r="BN41">
        <v>19.72</v>
      </c>
      <c r="BO41">
        <v>20.556000000000001</v>
      </c>
      <c r="BP41">
        <v>21.283999999999999</v>
      </c>
      <c r="BQ41">
        <v>18.32</v>
      </c>
      <c r="BR41">
        <v>18.760000000000002</v>
      </c>
      <c r="BS41">
        <v>19.559999999999999</v>
      </c>
      <c r="BT41">
        <v>18.827999999999999</v>
      </c>
      <c r="BU41">
        <v>18.696000000000002</v>
      </c>
      <c r="BV41">
        <v>18.972000000000001</v>
      </c>
      <c r="BW41">
        <v>19.835999999999999</v>
      </c>
      <c r="BX41">
        <v>20.388000000000002</v>
      </c>
      <c r="BY41">
        <v>19.283999999999999</v>
      </c>
      <c r="BZ41">
        <v>20.192</v>
      </c>
      <c r="CA41">
        <v>19.936</v>
      </c>
      <c r="CB41">
        <v>18.832000000000001</v>
      </c>
      <c r="CC41">
        <v>20.492000000000001</v>
      </c>
      <c r="CD41">
        <v>21.448</v>
      </c>
      <c r="CE41">
        <v>20.184000000000001</v>
      </c>
      <c r="CF41">
        <v>20.507999999999999</v>
      </c>
      <c r="CG41">
        <v>21.187999999999999</v>
      </c>
      <c r="CH41">
        <v>21.552</v>
      </c>
      <c r="CI41">
        <v>21.611999999999998</v>
      </c>
      <c r="CJ41">
        <v>21.056000000000001</v>
      </c>
      <c r="CK41">
        <v>20.611999999999998</v>
      </c>
      <c r="CL41">
        <v>21.388000000000002</v>
      </c>
      <c r="CM41">
        <v>22.8</v>
      </c>
      <c r="CN41">
        <v>22.288</v>
      </c>
      <c r="CO41">
        <v>23.064</v>
      </c>
      <c r="CP41">
        <v>21.783999999999999</v>
      </c>
      <c r="CQ41">
        <v>22.472000000000001</v>
      </c>
      <c r="CR41">
        <v>24.884</v>
      </c>
      <c r="CS41">
        <v>24.763999999999999</v>
      </c>
      <c r="CT41">
        <v>23.632000000000001</v>
      </c>
      <c r="CU41">
        <v>23.952000000000002</v>
      </c>
      <c r="CV41">
        <v>25.152000000000001</v>
      </c>
      <c r="CW41">
        <v>26.475999999999999</v>
      </c>
      <c r="CX41">
        <v>27.744</v>
      </c>
      <c r="CY41">
        <v>28.027999999999999</v>
      </c>
      <c r="CZ41">
        <v>26.448</v>
      </c>
      <c r="DA41">
        <v>26.815999999999999</v>
      </c>
      <c r="DB41">
        <v>29.135999999999999</v>
      </c>
      <c r="DC41">
        <v>27.904</v>
      </c>
      <c r="DD41">
        <v>27.116</v>
      </c>
      <c r="DE41">
        <v>28.72</v>
      </c>
      <c r="DF41">
        <v>28.4</v>
      </c>
      <c r="DG41">
        <v>29.015999999999998</v>
      </c>
      <c r="DH41">
        <v>29.084</v>
      </c>
      <c r="DI41">
        <v>28.744</v>
      </c>
      <c r="DJ41">
        <v>27.052</v>
      </c>
      <c r="DK41">
        <v>27.335999999999999</v>
      </c>
      <c r="DL41">
        <v>29.103999999999999</v>
      </c>
      <c r="DM41">
        <v>31.231999999999999</v>
      </c>
      <c r="DN41">
        <v>27.78</v>
      </c>
      <c r="DO41">
        <v>32.192</v>
      </c>
      <c r="DP41">
        <v>34.264000000000003</v>
      </c>
      <c r="DQ41">
        <v>34.124000000000002</v>
      </c>
      <c r="DR41">
        <v>35.572000000000003</v>
      </c>
      <c r="DS41">
        <v>36.04</v>
      </c>
      <c r="DT41">
        <v>35.728000000000002</v>
      </c>
      <c r="DU41">
        <v>39.26</v>
      </c>
      <c r="DV41">
        <v>40.316000000000003</v>
      </c>
      <c r="DW41">
        <v>43.008000000000003</v>
      </c>
      <c r="DX41">
        <v>42.667999999999999</v>
      </c>
      <c r="DY41">
        <v>43.008000000000003</v>
      </c>
      <c r="DZ41">
        <v>50.609000000000002</v>
      </c>
      <c r="EA41">
        <v>45.405000000000001</v>
      </c>
      <c r="EB41">
        <v>41.341999999999999</v>
      </c>
      <c r="EC41">
        <v>44.814</v>
      </c>
      <c r="ED41">
        <v>43.170999999999999</v>
      </c>
      <c r="EE41">
        <v>48.719000000000001</v>
      </c>
      <c r="EF41">
        <v>46.442999999999998</v>
      </c>
      <c r="EG41">
        <v>45.506999999999998</v>
      </c>
      <c r="EH41">
        <v>47.600999999999999</v>
      </c>
      <c r="EI41">
        <v>44.213000000000001</v>
      </c>
      <c r="EJ41">
        <v>50.412999999999997</v>
      </c>
      <c r="EK41">
        <v>44.947000000000003</v>
      </c>
      <c r="EL41">
        <v>49.942999999999998</v>
      </c>
      <c r="EM41">
        <v>51.171999999999997</v>
      </c>
      <c r="EN41">
        <v>47.383000000000003</v>
      </c>
      <c r="EO41">
        <v>49.225000000000001</v>
      </c>
      <c r="EP41">
        <v>53.557000000000002</v>
      </c>
      <c r="EQ41">
        <v>53.237000000000002</v>
      </c>
      <c r="ER41">
        <v>52.164999999999999</v>
      </c>
      <c r="ES41">
        <v>51.704000000000001</v>
      </c>
      <c r="ET41">
        <v>50.936999999999998</v>
      </c>
      <c r="EU41">
        <v>56.121000000000002</v>
      </c>
      <c r="EV41">
        <v>55.527999999999999</v>
      </c>
      <c r="EW41">
        <v>54.619</v>
      </c>
      <c r="EX41">
        <v>56.613</v>
      </c>
      <c r="EY41">
        <v>58.841999999999999</v>
      </c>
      <c r="EZ41">
        <v>56.868000000000002</v>
      </c>
      <c r="FA41">
        <v>58.177</v>
      </c>
      <c r="FB41">
        <v>58.334000000000003</v>
      </c>
      <c r="FC41">
        <v>59.643000000000001</v>
      </c>
      <c r="FD41">
        <v>67.126000000000005</v>
      </c>
      <c r="FE41">
        <v>68.543000000000006</v>
      </c>
      <c r="FF41">
        <v>64.721000000000004</v>
      </c>
      <c r="FG41">
        <v>73.736999999999995</v>
      </c>
      <c r="FH41">
        <v>74.820999999999998</v>
      </c>
      <c r="FI41">
        <v>75.022000000000006</v>
      </c>
      <c r="FJ41">
        <v>70.503</v>
      </c>
      <c r="FK41">
        <v>69.144999999999996</v>
      </c>
      <c r="FL41">
        <v>65.915999999999997</v>
      </c>
      <c r="FM41">
        <v>70.531000000000006</v>
      </c>
      <c r="FN41">
        <v>67.106999999999999</v>
      </c>
      <c r="FO41">
        <v>67.67</v>
      </c>
      <c r="FP41">
        <v>65.88</v>
      </c>
      <c r="FQ41">
        <v>65.507000000000005</v>
      </c>
      <c r="FR41">
        <v>67.563999999999993</v>
      </c>
      <c r="FS41">
        <v>63.978999999999999</v>
      </c>
      <c r="FT41">
        <v>68.013999999999996</v>
      </c>
      <c r="FU41">
        <v>65.742000000000004</v>
      </c>
      <c r="FV41">
        <v>65.275999999999996</v>
      </c>
      <c r="FW41">
        <v>67.164000000000001</v>
      </c>
      <c r="FX41">
        <v>68.84</v>
      </c>
      <c r="FY41">
        <v>61.402999999999999</v>
      </c>
      <c r="FZ41">
        <v>63.533999999999999</v>
      </c>
      <c r="GA41">
        <v>62.906999999999996</v>
      </c>
      <c r="GB41">
        <v>66.760000000000005</v>
      </c>
      <c r="GC41">
        <v>64.462000000000003</v>
      </c>
      <c r="GD41">
        <v>66.301000000000002</v>
      </c>
      <c r="GE41">
        <v>67.191000000000003</v>
      </c>
      <c r="GF41">
        <v>68.578000000000003</v>
      </c>
      <c r="GG41">
        <v>66.980999999999995</v>
      </c>
      <c r="GH41">
        <v>66.664000000000001</v>
      </c>
      <c r="GI41">
        <v>68.963999999999999</v>
      </c>
      <c r="GJ41">
        <v>64.058000000000007</v>
      </c>
      <c r="GK41">
        <v>64.983000000000004</v>
      </c>
      <c r="GL41">
        <v>64.022000000000006</v>
      </c>
      <c r="GM41">
        <v>65.007999999999996</v>
      </c>
      <c r="GN41">
        <v>69.409000000000006</v>
      </c>
      <c r="GO41">
        <v>64.796999999999997</v>
      </c>
      <c r="GP41">
        <v>66.022000000000006</v>
      </c>
      <c r="GQ41">
        <v>66.850999999999999</v>
      </c>
      <c r="GR41">
        <v>69.611000000000004</v>
      </c>
      <c r="GS41">
        <v>70.894000000000005</v>
      </c>
      <c r="GT41">
        <v>72.774000000000001</v>
      </c>
      <c r="GU41">
        <v>75.275000000000006</v>
      </c>
      <c r="GV41">
        <v>78.766999999999996</v>
      </c>
      <c r="GW41">
        <v>76.995000000000005</v>
      </c>
      <c r="GX41">
        <v>75.03</v>
      </c>
      <c r="GY41">
        <v>77.703999999999994</v>
      </c>
      <c r="GZ41">
        <v>72.766999999999996</v>
      </c>
    </row>
    <row r="42" spans="1:208" x14ac:dyDescent="0.35">
      <c r="A42" t="s">
        <v>950</v>
      </c>
      <c r="B42">
        <v>4.7</v>
      </c>
      <c r="C42">
        <v>4.8</v>
      </c>
      <c r="D42">
        <v>4.7</v>
      </c>
      <c r="E42">
        <v>4.8</v>
      </c>
      <c r="F42">
        <v>4.7</v>
      </c>
      <c r="G42">
        <v>4.8</v>
      </c>
      <c r="H42">
        <v>4.5</v>
      </c>
      <c r="I42">
        <v>4.5999999999999996</v>
      </c>
      <c r="J42">
        <v>6.1</v>
      </c>
      <c r="K42">
        <v>6.2</v>
      </c>
      <c r="L42">
        <v>7.1</v>
      </c>
      <c r="M42">
        <v>7</v>
      </c>
      <c r="N42">
        <v>5.9</v>
      </c>
      <c r="O42">
        <v>5.6</v>
      </c>
      <c r="P42">
        <v>4.5999999999999996</v>
      </c>
      <c r="Q42">
        <v>4.5</v>
      </c>
      <c r="R42">
        <v>3.5</v>
      </c>
      <c r="S42">
        <v>2.8</v>
      </c>
      <c r="T42">
        <v>3.1</v>
      </c>
      <c r="U42">
        <v>3.5</v>
      </c>
      <c r="V42">
        <v>4.0999999999999996</v>
      </c>
      <c r="W42">
        <v>4.0999999999999996</v>
      </c>
      <c r="X42">
        <v>4.4000000000000004</v>
      </c>
      <c r="Y42">
        <v>4.8</v>
      </c>
      <c r="Z42">
        <v>5</v>
      </c>
      <c r="AA42">
        <v>4.7</v>
      </c>
      <c r="AB42">
        <v>4.9000000000000004</v>
      </c>
      <c r="AC42">
        <v>5.3</v>
      </c>
      <c r="AD42">
        <v>5.6</v>
      </c>
      <c r="AE42">
        <v>5.7</v>
      </c>
      <c r="AF42">
        <v>6.2</v>
      </c>
      <c r="AG42">
        <v>10.1</v>
      </c>
      <c r="AH42">
        <v>8.5</v>
      </c>
      <c r="AI42">
        <v>8.1</v>
      </c>
      <c r="AJ42">
        <v>8</v>
      </c>
      <c r="AK42">
        <v>10.1</v>
      </c>
      <c r="AL42">
        <v>8.1</v>
      </c>
      <c r="AM42">
        <v>8.5</v>
      </c>
      <c r="AN42">
        <v>7.8</v>
      </c>
      <c r="AO42">
        <v>8.5</v>
      </c>
      <c r="AP42">
        <v>8.9</v>
      </c>
      <c r="AQ42">
        <v>9.3000000000000007</v>
      </c>
      <c r="AR42">
        <v>9.6999999999999993</v>
      </c>
      <c r="AS42">
        <v>9.9</v>
      </c>
      <c r="AT42">
        <v>10.199999999999999</v>
      </c>
      <c r="AU42">
        <v>10.3</v>
      </c>
      <c r="AV42">
        <v>10.7</v>
      </c>
      <c r="AW42">
        <v>13.1</v>
      </c>
      <c r="AX42">
        <v>13.6</v>
      </c>
      <c r="AY42">
        <v>13.2</v>
      </c>
      <c r="AZ42">
        <v>12.6</v>
      </c>
      <c r="BA42">
        <v>19</v>
      </c>
      <c r="BB42">
        <v>19.399999999999999</v>
      </c>
      <c r="BC42">
        <v>21.1</v>
      </c>
      <c r="BD42">
        <v>21.8</v>
      </c>
      <c r="BE42">
        <v>21.1</v>
      </c>
      <c r="BF42">
        <v>20.8</v>
      </c>
      <c r="BG42">
        <v>20.6</v>
      </c>
      <c r="BH42">
        <v>20.5</v>
      </c>
      <c r="BI42">
        <v>20.8</v>
      </c>
      <c r="BJ42">
        <v>20.8</v>
      </c>
      <c r="BK42">
        <v>20.7</v>
      </c>
      <c r="BL42">
        <v>21</v>
      </c>
      <c r="BM42">
        <v>21.7</v>
      </c>
      <c r="BN42">
        <v>22.8</v>
      </c>
      <c r="BO42">
        <v>23.9</v>
      </c>
      <c r="BP42">
        <v>25.1</v>
      </c>
      <c r="BQ42">
        <v>26.5</v>
      </c>
      <c r="BR42">
        <v>28</v>
      </c>
      <c r="BS42">
        <v>30.2</v>
      </c>
      <c r="BT42">
        <v>31</v>
      </c>
      <c r="BU42">
        <v>30.8</v>
      </c>
      <c r="BV42">
        <v>30</v>
      </c>
      <c r="BW42">
        <v>29.5</v>
      </c>
      <c r="BX42">
        <v>28.9</v>
      </c>
      <c r="BY42">
        <v>28.2</v>
      </c>
      <c r="BZ42">
        <v>27.6</v>
      </c>
      <c r="CA42">
        <v>27</v>
      </c>
      <c r="CB42">
        <v>26.7</v>
      </c>
      <c r="CC42">
        <v>26.9</v>
      </c>
      <c r="CD42">
        <v>26.8</v>
      </c>
      <c r="CE42">
        <v>26.6</v>
      </c>
      <c r="CF42">
        <v>26.6</v>
      </c>
      <c r="CG42">
        <v>26.6</v>
      </c>
      <c r="CH42">
        <v>26.7</v>
      </c>
      <c r="CI42">
        <v>26.8</v>
      </c>
      <c r="CJ42">
        <v>27.1</v>
      </c>
      <c r="CK42">
        <v>27.7</v>
      </c>
      <c r="CL42">
        <v>28.2</v>
      </c>
      <c r="CM42">
        <v>28.8</v>
      </c>
      <c r="CN42">
        <v>30</v>
      </c>
      <c r="CO42">
        <v>31.8</v>
      </c>
      <c r="CP42">
        <v>35.1</v>
      </c>
      <c r="CQ42">
        <v>37.200000000000003</v>
      </c>
      <c r="CR42">
        <v>37.299999999999997</v>
      </c>
      <c r="CS42">
        <v>35.700000000000003</v>
      </c>
      <c r="CT42">
        <v>33.200000000000003</v>
      </c>
      <c r="CU42">
        <v>32</v>
      </c>
      <c r="CV42">
        <v>31.6</v>
      </c>
      <c r="CW42">
        <v>31.9</v>
      </c>
      <c r="CX42">
        <v>33.6</v>
      </c>
      <c r="CY42">
        <v>34.299999999999997</v>
      </c>
      <c r="CZ42">
        <v>34.799999999999997</v>
      </c>
      <c r="DA42">
        <v>35.200000000000003</v>
      </c>
      <c r="DB42">
        <v>35.200000000000003</v>
      </c>
      <c r="DC42">
        <v>35.1</v>
      </c>
      <c r="DD42">
        <v>34.9</v>
      </c>
      <c r="DE42">
        <v>34.4</v>
      </c>
      <c r="DF42">
        <v>34</v>
      </c>
      <c r="DG42">
        <v>33.200000000000003</v>
      </c>
      <c r="DH42">
        <v>33</v>
      </c>
      <c r="DI42">
        <v>33.299999999999997</v>
      </c>
      <c r="DJ42">
        <v>33.4</v>
      </c>
      <c r="DK42">
        <v>34.6</v>
      </c>
      <c r="DL42">
        <v>36.299999999999997</v>
      </c>
      <c r="DM42">
        <v>39.4</v>
      </c>
      <c r="DN42">
        <v>42</v>
      </c>
      <c r="DO42">
        <v>44.6</v>
      </c>
      <c r="DP42">
        <v>46</v>
      </c>
      <c r="DQ42">
        <v>46.5</v>
      </c>
      <c r="DR42">
        <v>44.6</v>
      </c>
      <c r="DS42">
        <v>45</v>
      </c>
      <c r="DT42">
        <v>45.3</v>
      </c>
      <c r="DU42">
        <v>46.4</v>
      </c>
      <c r="DV42">
        <v>47.2</v>
      </c>
      <c r="DW42">
        <v>47.6</v>
      </c>
      <c r="DX42">
        <v>66.3</v>
      </c>
      <c r="DY42">
        <v>43.1</v>
      </c>
      <c r="DZ42">
        <v>40.700000000000003</v>
      </c>
      <c r="EA42">
        <v>39.200000000000003</v>
      </c>
      <c r="EB42">
        <v>39.700000000000003</v>
      </c>
      <c r="EC42">
        <v>42.3</v>
      </c>
      <c r="ED42">
        <v>47</v>
      </c>
      <c r="EE42">
        <v>56.8</v>
      </c>
      <c r="EF42">
        <v>46.9</v>
      </c>
      <c r="EG42">
        <v>45.1</v>
      </c>
      <c r="EH42">
        <v>43.9</v>
      </c>
      <c r="EI42">
        <v>43.3</v>
      </c>
      <c r="EJ42">
        <v>45</v>
      </c>
      <c r="EK42">
        <v>51.9</v>
      </c>
      <c r="EL42">
        <v>56.4</v>
      </c>
      <c r="EM42">
        <v>60.3</v>
      </c>
      <c r="EN42">
        <v>61.6</v>
      </c>
      <c r="EO42">
        <v>63.9</v>
      </c>
      <c r="EP42">
        <v>55.4</v>
      </c>
      <c r="EQ42">
        <v>51.2</v>
      </c>
      <c r="ER42">
        <v>49.5</v>
      </c>
      <c r="ES42">
        <v>48.3</v>
      </c>
      <c r="ET42">
        <v>47.6</v>
      </c>
      <c r="EU42">
        <v>47.5</v>
      </c>
      <c r="EV42">
        <v>47.2</v>
      </c>
      <c r="EW42">
        <v>47.5</v>
      </c>
      <c r="EX42">
        <v>48</v>
      </c>
      <c r="EY42">
        <v>48.7</v>
      </c>
      <c r="EZ42">
        <v>49.8</v>
      </c>
      <c r="FA42">
        <v>51.8</v>
      </c>
      <c r="FB42">
        <v>53.4</v>
      </c>
      <c r="FC42">
        <v>54.3</v>
      </c>
      <c r="FD42">
        <v>65.900000000000006</v>
      </c>
      <c r="FE42">
        <v>54.3</v>
      </c>
      <c r="FF42">
        <v>53.2</v>
      </c>
      <c r="FG42">
        <v>53.4</v>
      </c>
      <c r="FH42">
        <v>54.4</v>
      </c>
      <c r="FI42">
        <v>56</v>
      </c>
      <c r="FJ42">
        <v>58</v>
      </c>
      <c r="FK42">
        <v>59.5</v>
      </c>
      <c r="FL42">
        <v>59.7</v>
      </c>
      <c r="FM42">
        <v>60.6</v>
      </c>
      <c r="FN42">
        <v>57.9</v>
      </c>
      <c r="FO42">
        <v>57.6</v>
      </c>
      <c r="FP42">
        <v>55.8</v>
      </c>
      <c r="FQ42">
        <v>58.9</v>
      </c>
      <c r="FR42">
        <v>58.9</v>
      </c>
      <c r="FS42">
        <v>59.6</v>
      </c>
      <c r="FT42">
        <v>59.5</v>
      </c>
      <c r="FU42">
        <v>58.9</v>
      </c>
      <c r="FV42">
        <v>58.2</v>
      </c>
      <c r="FW42">
        <v>58</v>
      </c>
      <c r="FX42">
        <v>57.7</v>
      </c>
      <c r="FY42">
        <v>56.5</v>
      </c>
      <c r="FZ42">
        <v>55.5</v>
      </c>
      <c r="GA42">
        <v>55.9</v>
      </c>
      <c r="GB42">
        <v>57.2</v>
      </c>
      <c r="GC42">
        <v>58.1</v>
      </c>
      <c r="GD42">
        <v>60.2</v>
      </c>
      <c r="GE42">
        <v>61.8</v>
      </c>
      <c r="GF42">
        <v>62.5</v>
      </c>
      <c r="GG42">
        <v>60.4</v>
      </c>
      <c r="GH42">
        <v>58.8</v>
      </c>
      <c r="GI42">
        <v>57.5</v>
      </c>
      <c r="GJ42">
        <v>61.4</v>
      </c>
      <c r="GK42">
        <v>59.6</v>
      </c>
      <c r="GL42">
        <v>58.1</v>
      </c>
      <c r="GM42">
        <v>57.7</v>
      </c>
      <c r="GN42">
        <v>57.3</v>
      </c>
      <c r="GO42">
        <v>77.900000000000006</v>
      </c>
      <c r="GP42">
        <v>68.400000000000006</v>
      </c>
      <c r="GQ42">
        <v>58.2</v>
      </c>
      <c r="GR42">
        <v>80.599999999999994</v>
      </c>
      <c r="GS42">
        <v>82.2</v>
      </c>
      <c r="GT42">
        <v>80.3</v>
      </c>
      <c r="GU42">
        <v>1123.5999999999999</v>
      </c>
      <c r="GV42">
        <v>1220.5</v>
      </c>
      <c r="GW42">
        <v>618.6</v>
      </c>
      <c r="GX42">
        <v>403.8</v>
      </c>
      <c r="GY42">
        <v>697</v>
      </c>
      <c r="GZ42">
        <v>554.5</v>
      </c>
    </row>
    <row r="43" spans="1:208" x14ac:dyDescent="0.35">
      <c r="A43" t="s">
        <v>951</v>
      </c>
      <c r="B43">
        <v>0</v>
      </c>
      <c r="C43">
        <v>0</v>
      </c>
      <c r="D43">
        <v>0</v>
      </c>
      <c r="E43">
        <v>0</v>
      </c>
      <c r="F43">
        <v>0</v>
      </c>
      <c r="G43">
        <v>0</v>
      </c>
      <c r="H43">
        <v>0</v>
      </c>
      <c r="I43">
        <v>0</v>
      </c>
      <c r="J43">
        <v>0</v>
      </c>
      <c r="K43">
        <v>0.1</v>
      </c>
      <c r="L43">
        <v>0.1</v>
      </c>
      <c r="M43">
        <v>0.1</v>
      </c>
      <c r="N43">
        <v>0.1</v>
      </c>
      <c r="O43">
        <v>0.1</v>
      </c>
      <c r="P43">
        <v>0.1</v>
      </c>
      <c r="Q43">
        <v>0.1</v>
      </c>
      <c r="R43">
        <v>0.1</v>
      </c>
      <c r="S43">
        <v>0.1</v>
      </c>
      <c r="T43">
        <v>0.1</v>
      </c>
      <c r="U43">
        <v>0.1</v>
      </c>
      <c r="V43">
        <v>0.1</v>
      </c>
      <c r="W43">
        <v>0.2</v>
      </c>
      <c r="X43">
        <v>0.2</v>
      </c>
      <c r="Y43">
        <v>0.2</v>
      </c>
      <c r="Z43">
        <v>0.2</v>
      </c>
      <c r="AA43">
        <v>0.2</v>
      </c>
      <c r="AB43">
        <v>0.2</v>
      </c>
      <c r="AC43">
        <v>0.2</v>
      </c>
      <c r="AD43">
        <v>0.2</v>
      </c>
      <c r="AE43">
        <v>0.2</v>
      </c>
      <c r="AF43">
        <v>0.2</v>
      </c>
      <c r="AG43">
        <v>0.2</v>
      </c>
      <c r="AH43">
        <v>0.2</v>
      </c>
      <c r="AI43">
        <v>0.2</v>
      </c>
      <c r="AJ43">
        <v>0.2</v>
      </c>
      <c r="AK43">
        <v>0.3</v>
      </c>
      <c r="AL43">
        <v>0.3</v>
      </c>
      <c r="AM43">
        <v>0.3</v>
      </c>
      <c r="AN43">
        <v>0.3</v>
      </c>
      <c r="AO43">
        <v>0.3</v>
      </c>
      <c r="AP43">
        <v>0.3</v>
      </c>
      <c r="AQ43">
        <v>0.3</v>
      </c>
      <c r="AR43">
        <v>0.4</v>
      </c>
      <c r="AS43">
        <v>0.4</v>
      </c>
      <c r="AT43">
        <v>0.4</v>
      </c>
      <c r="AU43">
        <v>0.4</v>
      </c>
      <c r="AV43">
        <v>0.4</v>
      </c>
      <c r="AW43">
        <v>0.4</v>
      </c>
      <c r="AX43">
        <v>0.4</v>
      </c>
      <c r="AY43">
        <v>0.5</v>
      </c>
      <c r="AZ43">
        <v>0.5</v>
      </c>
      <c r="BA43">
        <v>0.5</v>
      </c>
      <c r="BB43">
        <v>0.5</v>
      </c>
      <c r="BC43">
        <v>0.4</v>
      </c>
      <c r="BD43">
        <v>0.4</v>
      </c>
      <c r="BE43">
        <v>0.4</v>
      </c>
      <c r="BF43">
        <v>0.4</v>
      </c>
      <c r="BG43">
        <v>0.4</v>
      </c>
      <c r="BH43">
        <v>0.4</v>
      </c>
      <c r="BI43">
        <v>0.4</v>
      </c>
      <c r="BJ43">
        <v>0.3</v>
      </c>
      <c r="BK43">
        <v>0.3</v>
      </c>
      <c r="BL43">
        <v>0.3</v>
      </c>
      <c r="BM43">
        <v>0.3</v>
      </c>
      <c r="BN43">
        <v>0.3</v>
      </c>
      <c r="BO43">
        <v>0.3</v>
      </c>
      <c r="BP43">
        <v>0.3</v>
      </c>
      <c r="BQ43">
        <v>0.3</v>
      </c>
      <c r="BR43">
        <v>0.3</v>
      </c>
      <c r="BS43">
        <v>0.3</v>
      </c>
      <c r="BT43">
        <v>0.3</v>
      </c>
      <c r="BU43">
        <v>0.3</v>
      </c>
      <c r="BV43">
        <v>0.3</v>
      </c>
      <c r="BW43">
        <v>0.3</v>
      </c>
      <c r="BX43">
        <v>0.4</v>
      </c>
      <c r="BY43">
        <v>0.4</v>
      </c>
      <c r="BZ43">
        <v>0.4</v>
      </c>
      <c r="CA43">
        <v>0.4</v>
      </c>
      <c r="CB43">
        <v>0.4</v>
      </c>
      <c r="CC43">
        <v>0.4</v>
      </c>
      <c r="CD43">
        <v>0.4</v>
      </c>
      <c r="CE43">
        <v>0.4</v>
      </c>
      <c r="CF43">
        <v>0.4</v>
      </c>
      <c r="CG43">
        <v>0.4</v>
      </c>
      <c r="CH43">
        <v>0.4</v>
      </c>
      <c r="CI43">
        <v>0.4</v>
      </c>
      <c r="CJ43">
        <v>0.4</v>
      </c>
      <c r="CK43">
        <v>0.4</v>
      </c>
      <c r="CL43">
        <v>0.4</v>
      </c>
      <c r="CM43">
        <v>0.4</v>
      </c>
      <c r="CN43">
        <v>0.4</v>
      </c>
      <c r="CO43">
        <v>0.4</v>
      </c>
      <c r="CP43">
        <v>0.4</v>
      </c>
      <c r="CQ43">
        <v>0.4</v>
      </c>
      <c r="CR43">
        <v>0.4</v>
      </c>
      <c r="CS43">
        <v>0.4</v>
      </c>
      <c r="CT43">
        <v>0.4</v>
      </c>
      <c r="CU43">
        <v>0.3</v>
      </c>
      <c r="CV43">
        <v>0.3</v>
      </c>
      <c r="CW43">
        <v>0.3</v>
      </c>
      <c r="CX43">
        <v>0.3</v>
      </c>
      <c r="CY43">
        <v>0.3</v>
      </c>
      <c r="CZ43">
        <v>0.3</v>
      </c>
      <c r="DA43">
        <v>0.3</v>
      </c>
      <c r="DB43">
        <v>0.3</v>
      </c>
      <c r="DC43">
        <v>0.3</v>
      </c>
      <c r="DD43">
        <v>0.3</v>
      </c>
      <c r="DE43">
        <v>0.4</v>
      </c>
      <c r="DF43">
        <v>0.4</v>
      </c>
      <c r="DG43">
        <v>0.4</v>
      </c>
      <c r="DH43">
        <v>0.4</v>
      </c>
      <c r="DI43">
        <v>0.5</v>
      </c>
      <c r="DJ43">
        <v>0.5</v>
      </c>
      <c r="DK43">
        <v>0.5</v>
      </c>
      <c r="DL43">
        <v>0.4</v>
      </c>
      <c r="DM43">
        <v>0.4</v>
      </c>
      <c r="DN43">
        <v>0.4</v>
      </c>
      <c r="DO43">
        <v>0.4</v>
      </c>
      <c r="DP43">
        <v>0.4</v>
      </c>
      <c r="DQ43">
        <v>0.4</v>
      </c>
      <c r="DR43">
        <v>0.5</v>
      </c>
      <c r="DS43">
        <v>0.5</v>
      </c>
      <c r="DT43">
        <v>0.6</v>
      </c>
      <c r="DU43">
        <v>0.6</v>
      </c>
      <c r="DV43">
        <v>8</v>
      </c>
      <c r="DW43">
        <v>14.4</v>
      </c>
      <c r="DX43">
        <v>4.8</v>
      </c>
      <c r="DY43">
        <v>3.4</v>
      </c>
      <c r="DZ43">
        <v>1.8</v>
      </c>
      <c r="EA43">
        <v>0.6</v>
      </c>
      <c r="EB43">
        <v>1.7</v>
      </c>
      <c r="EC43">
        <v>-0.4</v>
      </c>
      <c r="ED43">
        <v>0.1</v>
      </c>
      <c r="EE43">
        <v>0.3</v>
      </c>
      <c r="EF43">
        <v>-1</v>
      </c>
      <c r="EG43">
        <v>0.9</v>
      </c>
      <c r="EH43">
        <v>0.4</v>
      </c>
      <c r="EI43">
        <v>0.4</v>
      </c>
      <c r="EJ43">
        <v>0.4</v>
      </c>
      <c r="EK43">
        <v>0.4</v>
      </c>
      <c r="EL43">
        <v>0.4</v>
      </c>
      <c r="EM43">
        <v>0.4</v>
      </c>
      <c r="EN43">
        <v>0.4</v>
      </c>
      <c r="EO43">
        <v>0.4</v>
      </c>
      <c r="EP43">
        <v>0.4</v>
      </c>
      <c r="EQ43">
        <v>0.4</v>
      </c>
      <c r="ER43">
        <v>0.4</v>
      </c>
      <c r="ES43">
        <v>0.4</v>
      </c>
      <c r="ET43">
        <v>1.9</v>
      </c>
      <c r="EU43">
        <v>10.7</v>
      </c>
      <c r="EV43">
        <v>8.8000000000000007</v>
      </c>
      <c r="EW43">
        <v>7.2</v>
      </c>
      <c r="EX43">
        <v>4</v>
      </c>
      <c r="EY43">
        <v>2.9</v>
      </c>
      <c r="EZ43">
        <v>2.2000000000000002</v>
      </c>
      <c r="FA43">
        <v>2.8</v>
      </c>
      <c r="FB43">
        <v>2</v>
      </c>
      <c r="FC43">
        <v>1.2</v>
      </c>
      <c r="FD43">
        <v>1.2</v>
      </c>
      <c r="FE43">
        <v>1.2</v>
      </c>
      <c r="FF43">
        <v>1.6</v>
      </c>
      <c r="FG43">
        <v>2.1</v>
      </c>
      <c r="FH43">
        <v>1.6</v>
      </c>
      <c r="FI43">
        <v>1</v>
      </c>
      <c r="FJ43">
        <v>0.9</v>
      </c>
      <c r="FK43">
        <v>0.4</v>
      </c>
      <c r="FL43">
        <v>0.4</v>
      </c>
      <c r="FM43">
        <v>0.4</v>
      </c>
      <c r="FN43">
        <v>0.5</v>
      </c>
      <c r="FO43">
        <v>0.5</v>
      </c>
      <c r="FP43">
        <v>0.5</v>
      </c>
      <c r="FQ43">
        <v>0.5</v>
      </c>
      <c r="FR43">
        <v>0.5</v>
      </c>
      <c r="FS43">
        <v>0.5</v>
      </c>
      <c r="FT43">
        <v>0.5</v>
      </c>
      <c r="FU43">
        <v>0.5</v>
      </c>
      <c r="FV43">
        <v>0.5</v>
      </c>
      <c r="FW43">
        <v>0.5</v>
      </c>
      <c r="FX43">
        <v>0.5</v>
      </c>
      <c r="FY43">
        <v>0.5</v>
      </c>
      <c r="FZ43">
        <v>0.5</v>
      </c>
      <c r="GA43">
        <v>0.5</v>
      </c>
      <c r="GB43">
        <v>0.5</v>
      </c>
      <c r="GC43">
        <v>0.5</v>
      </c>
      <c r="GD43">
        <v>0.5</v>
      </c>
      <c r="GE43">
        <v>0.5</v>
      </c>
      <c r="GF43">
        <v>0.5</v>
      </c>
      <c r="GG43">
        <v>0.5</v>
      </c>
      <c r="GH43">
        <v>0.5</v>
      </c>
      <c r="GI43">
        <v>0.6</v>
      </c>
      <c r="GJ43">
        <v>0.6</v>
      </c>
      <c r="GK43">
        <v>0.6</v>
      </c>
      <c r="GL43">
        <v>0.6</v>
      </c>
      <c r="GM43">
        <v>0.6</v>
      </c>
      <c r="GN43">
        <v>0.6</v>
      </c>
      <c r="GO43">
        <v>0.6</v>
      </c>
      <c r="GP43">
        <v>0.6</v>
      </c>
      <c r="GQ43">
        <v>0.6</v>
      </c>
      <c r="GR43">
        <v>0.6</v>
      </c>
      <c r="GS43">
        <v>0.6</v>
      </c>
      <c r="GT43">
        <v>0.6</v>
      </c>
      <c r="GU43">
        <v>0.6</v>
      </c>
      <c r="GV43">
        <v>0.6</v>
      </c>
      <c r="GW43">
        <v>0.6</v>
      </c>
      <c r="GX43">
        <v>2.5</v>
      </c>
      <c r="GY43">
        <v>8.6</v>
      </c>
      <c r="GZ43">
        <v>0.6</v>
      </c>
    </row>
    <row r="44" spans="1:208" x14ac:dyDescent="0.35">
      <c r="A44" t="s">
        <v>952</v>
      </c>
      <c r="B44">
        <v>4.7</v>
      </c>
      <c r="C44">
        <v>4.8</v>
      </c>
      <c r="D44">
        <v>4.7</v>
      </c>
      <c r="E44">
        <v>4.8</v>
      </c>
      <c r="F44">
        <v>4.8</v>
      </c>
      <c r="G44">
        <v>4.8</v>
      </c>
      <c r="H44">
        <v>4.5</v>
      </c>
      <c r="I44">
        <v>4.5999999999999996</v>
      </c>
      <c r="J44">
        <v>6.1</v>
      </c>
      <c r="K44">
        <v>6.2</v>
      </c>
      <c r="L44">
        <v>7.2</v>
      </c>
      <c r="M44">
        <v>7.1</v>
      </c>
      <c r="N44">
        <v>5.9</v>
      </c>
      <c r="O44">
        <v>5.7</v>
      </c>
      <c r="P44">
        <v>4.7</v>
      </c>
      <c r="Q44">
        <v>4.5999999999999996</v>
      </c>
      <c r="R44">
        <v>3.6</v>
      </c>
      <c r="S44">
        <v>2.9</v>
      </c>
      <c r="T44">
        <v>3.2</v>
      </c>
      <c r="U44">
        <v>3.6</v>
      </c>
      <c r="V44">
        <v>4.2</v>
      </c>
      <c r="W44">
        <v>4.3</v>
      </c>
      <c r="X44">
        <v>4.5999999999999996</v>
      </c>
      <c r="Y44">
        <v>4.9000000000000004</v>
      </c>
      <c r="Z44">
        <v>5.0999999999999996</v>
      </c>
      <c r="AA44">
        <v>4.8</v>
      </c>
      <c r="AB44">
        <v>5.0999999999999996</v>
      </c>
      <c r="AC44">
        <v>5.5</v>
      </c>
      <c r="AD44">
        <v>5.8</v>
      </c>
      <c r="AE44">
        <v>5.9</v>
      </c>
      <c r="AF44">
        <v>6.4</v>
      </c>
      <c r="AG44">
        <v>10.3</v>
      </c>
      <c r="AH44">
        <v>8.6999999999999993</v>
      </c>
      <c r="AI44">
        <v>8.4</v>
      </c>
      <c r="AJ44">
        <v>8.3000000000000007</v>
      </c>
      <c r="AK44">
        <v>10.4</v>
      </c>
      <c r="AL44">
        <v>8.4</v>
      </c>
      <c r="AM44">
        <v>8.8000000000000007</v>
      </c>
      <c r="AN44">
        <v>8.1</v>
      </c>
      <c r="AO44">
        <v>8.9</v>
      </c>
      <c r="AP44">
        <v>9.1999999999999993</v>
      </c>
      <c r="AQ44">
        <v>9.6</v>
      </c>
      <c r="AR44">
        <v>10.1</v>
      </c>
      <c r="AS44">
        <v>10.3</v>
      </c>
      <c r="AT44">
        <v>10.6</v>
      </c>
      <c r="AU44">
        <v>10.7</v>
      </c>
      <c r="AV44">
        <v>11.1</v>
      </c>
      <c r="AW44">
        <v>13.5</v>
      </c>
      <c r="AX44">
        <v>14</v>
      </c>
      <c r="AY44">
        <v>13.6</v>
      </c>
      <c r="AZ44">
        <v>13</v>
      </c>
      <c r="BA44">
        <v>19.399999999999999</v>
      </c>
      <c r="BB44">
        <v>19.899999999999999</v>
      </c>
      <c r="BC44">
        <v>21.6</v>
      </c>
      <c r="BD44">
        <v>22.2</v>
      </c>
      <c r="BE44">
        <v>21.5</v>
      </c>
      <c r="BF44">
        <v>21.2</v>
      </c>
      <c r="BG44">
        <v>21</v>
      </c>
      <c r="BH44">
        <v>20.9</v>
      </c>
      <c r="BI44">
        <v>21.2</v>
      </c>
      <c r="BJ44">
        <v>21.1</v>
      </c>
      <c r="BK44">
        <v>21</v>
      </c>
      <c r="BL44">
        <v>21.3</v>
      </c>
      <c r="BM44">
        <v>22</v>
      </c>
      <c r="BN44">
        <v>23.1</v>
      </c>
      <c r="BO44">
        <v>24.2</v>
      </c>
      <c r="BP44">
        <v>25.5</v>
      </c>
      <c r="BQ44">
        <v>26.8</v>
      </c>
      <c r="BR44">
        <v>28.3</v>
      </c>
      <c r="BS44">
        <v>30.4</v>
      </c>
      <c r="BT44">
        <v>31.3</v>
      </c>
      <c r="BU44">
        <v>31.1</v>
      </c>
      <c r="BV44">
        <v>30.4</v>
      </c>
      <c r="BW44">
        <v>29.8</v>
      </c>
      <c r="BX44">
        <v>29.2</v>
      </c>
      <c r="BY44">
        <v>28.6</v>
      </c>
      <c r="BZ44">
        <v>28</v>
      </c>
      <c r="CA44">
        <v>27.4</v>
      </c>
      <c r="CB44">
        <v>27.1</v>
      </c>
      <c r="CC44">
        <v>27.3</v>
      </c>
      <c r="CD44">
        <v>27.1</v>
      </c>
      <c r="CE44">
        <v>27</v>
      </c>
      <c r="CF44">
        <v>26.9</v>
      </c>
      <c r="CG44">
        <v>27</v>
      </c>
      <c r="CH44">
        <v>27.1</v>
      </c>
      <c r="CI44">
        <v>27.2</v>
      </c>
      <c r="CJ44">
        <v>27.5</v>
      </c>
      <c r="CK44">
        <v>28.1</v>
      </c>
      <c r="CL44">
        <v>28.6</v>
      </c>
      <c r="CM44">
        <v>29.2</v>
      </c>
      <c r="CN44">
        <v>30.4</v>
      </c>
      <c r="CO44">
        <v>32.200000000000003</v>
      </c>
      <c r="CP44">
        <v>35.5</v>
      </c>
      <c r="CQ44">
        <v>37.6</v>
      </c>
      <c r="CR44">
        <v>37.700000000000003</v>
      </c>
      <c r="CS44">
        <v>36</v>
      </c>
      <c r="CT44">
        <v>33.6</v>
      </c>
      <c r="CU44">
        <v>32.4</v>
      </c>
      <c r="CV44">
        <v>31.9</v>
      </c>
      <c r="CW44">
        <v>32.200000000000003</v>
      </c>
      <c r="CX44">
        <v>34</v>
      </c>
      <c r="CY44">
        <v>34.6</v>
      </c>
      <c r="CZ44">
        <v>35.1</v>
      </c>
      <c r="DA44">
        <v>35.5</v>
      </c>
      <c r="DB44">
        <v>35.5</v>
      </c>
      <c r="DC44">
        <v>35.4</v>
      </c>
      <c r="DD44">
        <v>35.200000000000003</v>
      </c>
      <c r="DE44">
        <v>34.799999999999997</v>
      </c>
      <c r="DF44">
        <v>34.4</v>
      </c>
      <c r="DG44">
        <v>33.6</v>
      </c>
      <c r="DH44">
        <v>33.4</v>
      </c>
      <c r="DI44">
        <v>33.799999999999997</v>
      </c>
      <c r="DJ44">
        <v>33.799999999999997</v>
      </c>
      <c r="DK44">
        <v>35</v>
      </c>
      <c r="DL44">
        <v>36.799999999999997</v>
      </c>
      <c r="DM44">
        <v>39.9</v>
      </c>
      <c r="DN44">
        <v>42.4</v>
      </c>
      <c r="DO44">
        <v>45</v>
      </c>
      <c r="DP44">
        <v>46.4</v>
      </c>
      <c r="DQ44">
        <v>46.9</v>
      </c>
      <c r="DR44">
        <v>45.1</v>
      </c>
      <c r="DS44">
        <v>45.5</v>
      </c>
      <c r="DT44">
        <v>45.8</v>
      </c>
      <c r="DU44">
        <v>47</v>
      </c>
      <c r="DV44">
        <v>55.2</v>
      </c>
      <c r="DW44">
        <v>62</v>
      </c>
      <c r="DX44">
        <v>71.2</v>
      </c>
      <c r="DY44">
        <v>46.4</v>
      </c>
      <c r="DZ44">
        <v>42.6</v>
      </c>
      <c r="EA44">
        <v>39.799999999999997</v>
      </c>
      <c r="EB44">
        <v>41.3</v>
      </c>
      <c r="EC44">
        <v>41.9</v>
      </c>
      <c r="ED44">
        <v>47.1</v>
      </c>
      <c r="EE44">
        <v>57.1</v>
      </c>
      <c r="EF44">
        <v>45.9</v>
      </c>
      <c r="EG44">
        <v>46</v>
      </c>
      <c r="EH44">
        <v>44.2</v>
      </c>
      <c r="EI44">
        <v>43.7</v>
      </c>
      <c r="EJ44">
        <v>45.4</v>
      </c>
      <c r="EK44">
        <v>52.3</v>
      </c>
      <c r="EL44">
        <v>56.7</v>
      </c>
      <c r="EM44">
        <v>60.7</v>
      </c>
      <c r="EN44">
        <v>62</v>
      </c>
      <c r="EO44">
        <v>64.2</v>
      </c>
      <c r="EP44">
        <v>55.7</v>
      </c>
      <c r="EQ44">
        <v>51.5</v>
      </c>
      <c r="ER44">
        <v>49.9</v>
      </c>
      <c r="ES44">
        <v>48.7</v>
      </c>
      <c r="ET44">
        <v>49.5</v>
      </c>
      <c r="EU44">
        <v>58.2</v>
      </c>
      <c r="EV44">
        <v>55.9</v>
      </c>
      <c r="EW44">
        <v>54.7</v>
      </c>
      <c r="EX44">
        <v>51.9</v>
      </c>
      <c r="EY44">
        <v>51.7</v>
      </c>
      <c r="EZ44">
        <v>52</v>
      </c>
      <c r="FA44">
        <v>54.6</v>
      </c>
      <c r="FB44">
        <v>55.4</v>
      </c>
      <c r="FC44">
        <v>55.5</v>
      </c>
      <c r="FD44">
        <v>67.099999999999994</v>
      </c>
      <c r="FE44">
        <v>55.5</v>
      </c>
      <c r="FF44">
        <v>54.8</v>
      </c>
      <c r="FG44">
        <v>55.5</v>
      </c>
      <c r="FH44">
        <v>56</v>
      </c>
      <c r="FI44">
        <v>56.9</v>
      </c>
      <c r="FJ44">
        <v>58.9</v>
      </c>
      <c r="FK44">
        <v>59.9</v>
      </c>
      <c r="FL44">
        <v>60.2</v>
      </c>
      <c r="FM44">
        <v>61.1</v>
      </c>
      <c r="FN44">
        <v>58.4</v>
      </c>
      <c r="FO44">
        <v>58.1</v>
      </c>
      <c r="FP44">
        <v>56.3</v>
      </c>
      <c r="FQ44">
        <v>59.4</v>
      </c>
      <c r="FR44">
        <v>59.4</v>
      </c>
      <c r="FS44">
        <v>60.1</v>
      </c>
      <c r="FT44">
        <v>60</v>
      </c>
      <c r="FU44">
        <v>59.4</v>
      </c>
      <c r="FV44">
        <v>58.7</v>
      </c>
      <c r="FW44">
        <v>58.5</v>
      </c>
      <c r="FX44">
        <v>58.2</v>
      </c>
      <c r="FY44">
        <v>57</v>
      </c>
      <c r="FZ44">
        <v>56</v>
      </c>
      <c r="GA44">
        <v>56.4</v>
      </c>
      <c r="GB44">
        <v>57.7</v>
      </c>
      <c r="GC44">
        <v>58.7</v>
      </c>
      <c r="GD44">
        <v>60.7</v>
      </c>
      <c r="GE44">
        <v>62.4</v>
      </c>
      <c r="GF44">
        <v>63</v>
      </c>
      <c r="GG44">
        <v>60.9</v>
      </c>
      <c r="GH44">
        <v>59.3</v>
      </c>
      <c r="GI44">
        <v>58</v>
      </c>
      <c r="GJ44">
        <v>61.9</v>
      </c>
      <c r="GK44">
        <v>60.2</v>
      </c>
      <c r="GL44">
        <v>58.7</v>
      </c>
      <c r="GM44">
        <v>58.2</v>
      </c>
      <c r="GN44">
        <v>57.8</v>
      </c>
      <c r="GO44">
        <v>78.5</v>
      </c>
      <c r="GP44">
        <v>69</v>
      </c>
      <c r="GQ44">
        <v>58.8</v>
      </c>
      <c r="GR44">
        <v>81.2</v>
      </c>
      <c r="GS44">
        <v>82.8</v>
      </c>
      <c r="GT44">
        <v>80.900000000000006</v>
      </c>
      <c r="GU44">
        <v>1124.3</v>
      </c>
      <c r="GV44">
        <v>1221.2</v>
      </c>
      <c r="GW44">
        <v>619.20000000000005</v>
      </c>
      <c r="GX44">
        <v>406.3</v>
      </c>
      <c r="GY44">
        <v>705.6</v>
      </c>
      <c r="GZ44">
        <v>555.1</v>
      </c>
    </row>
    <row r="45" spans="1:208" x14ac:dyDescent="0.35">
      <c r="A45" t="s">
        <v>631</v>
      </c>
      <c r="GU45">
        <v>1078.0999999999999</v>
      </c>
      <c r="GV45">
        <v>15.6</v>
      </c>
      <c r="GW45">
        <v>5</v>
      </c>
      <c r="GX45">
        <v>1933.7</v>
      </c>
      <c r="GY45">
        <v>290.10000000000002</v>
      </c>
      <c r="GZ45">
        <v>38.9</v>
      </c>
    </row>
    <row r="46" spans="1:208" x14ac:dyDescent="0.35">
      <c r="A46" t="s">
        <v>953</v>
      </c>
      <c r="GU46">
        <v>9.6</v>
      </c>
      <c r="GV46">
        <v>14.4</v>
      </c>
      <c r="GW46">
        <v>14.3</v>
      </c>
      <c r="GX46">
        <v>14.2</v>
      </c>
      <c r="GY46">
        <v>14.1</v>
      </c>
      <c r="GZ46">
        <v>15</v>
      </c>
    </row>
    <row r="47" spans="1:208" x14ac:dyDescent="0.35">
      <c r="A47" t="s">
        <v>452</v>
      </c>
      <c r="GU47">
        <v>57.2</v>
      </c>
      <c r="GV47">
        <v>81.2</v>
      </c>
      <c r="GW47">
        <v>24.4</v>
      </c>
      <c r="GX47">
        <v>10.8</v>
      </c>
      <c r="GY47">
        <v>24.7</v>
      </c>
      <c r="GZ47">
        <v>14</v>
      </c>
    </row>
    <row r="48" spans="1:208" x14ac:dyDescent="0.35">
      <c r="A48" t="s">
        <v>430</v>
      </c>
      <c r="GT48">
        <v>1.5</v>
      </c>
      <c r="GU48">
        <v>160.9</v>
      </c>
      <c r="GV48">
        <v>58.4</v>
      </c>
      <c r="GW48">
        <v>34.5</v>
      </c>
      <c r="GX48">
        <v>42.8</v>
      </c>
      <c r="GY48">
        <v>26.6</v>
      </c>
      <c r="GZ48">
        <v>37.4</v>
      </c>
    </row>
    <row r="49" spans="1:208" x14ac:dyDescent="0.35">
      <c r="A49" t="s">
        <v>454</v>
      </c>
      <c r="GU49">
        <v>576.9</v>
      </c>
      <c r="GV49">
        <v>819.5</v>
      </c>
      <c r="GW49">
        <v>246.3</v>
      </c>
      <c r="GX49">
        <v>184.6</v>
      </c>
      <c r="GY49">
        <v>427.2</v>
      </c>
      <c r="GZ49">
        <v>265</v>
      </c>
    </row>
    <row r="50" spans="1:208" x14ac:dyDescent="0.35">
      <c r="A50" t="s">
        <v>565</v>
      </c>
      <c r="GU50">
        <v>63.8</v>
      </c>
      <c r="GV50">
        <v>15</v>
      </c>
      <c r="GW50">
        <v>0.1</v>
      </c>
      <c r="GX50">
        <v>38</v>
      </c>
      <c r="GY50">
        <v>47.3</v>
      </c>
      <c r="GZ50">
        <v>0.7</v>
      </c>
    </row>
    <row r="51" spans="1:208" x14ac:dyDescent="0.35">
      <c r="A51" t="s">
        <v>564</v>
      </c>
      <c r="GU51">
        <v>73.3</v>
      </c>
      <c r="GV51">
        <v>73.3</v>
      </c>
      <c r="GW51">
        <v>73.3</v>
      </c>
      <c r="GX51">
        <v>62.9</v>
      </c>
      <c r="GY51">
        <v>62.9</v>
      </c>
      <c r="GZ51">
        <v>62.9</v>
      </c>
    </row>
    <row r="52" spans="1:208" x14ac:dyDescent="0.35">
      <c r="A52" t="s">
        <v>567</v>
      </c>
      <c r="GU52">
        <v>22</v>
      </c>
      <c r="GV52">
        <v>25.3</v>
      </c>
      <c r="GW52">
        <v>11.8</v>
      </c>
      <c r="GX52">
        <v>9.8000000000000007</v>
      </c>
      <c r="GY52">
        <v>12.3</v>
      </c>
      <c r="GZ52">
        <v>18.5</v>
      </c>
    </row>
    <row r="53" spans="1:208" x14ac:dyDescent="0.35">
      <c r="A53" t="s">
        <v>563</v>
      </c>
      <c r="GU53">
        <v>16.899999999999999</v>
      </c>
      <c r="GV53">
        <v>18.399999999999999</v>
      </c>
      <c r="GW53">
        <v>46.2</v>
      </c>
      <c r="GX53">
        <v>0.9</v>
      </c>
      <c r="GY53">
        <v>14.3</v>
      </c>
      <c r="GZ53">
        <v>8.6999999999999993</v>
      </c>
    </row>
    <row r="54" spans="1:208" x14ac:dyDescent="0.35">
      <c r="A54" t="s">
        <v>434</v>
      </c>
      <c r="GU54">
        <v>96.6</v>
      </c>
      <c r="GV54">
        <v>35.1</v>
      </c>
      <c r="GW54">
        <v>20.7</v>
      </c>
      <c r="GX54">
        <v>25.7</v>
      </c>
      <c r="GY54">
        <v>16</v>
      </c>
      <c r="GZ54">
        <v>22.4</v>
      </c>
    </row>
    <row r="55" spans="1:208" x14ac:dyDescent="0.35">
      <c r="A55" t="s">
        <v>568</v>
      </c>
      <c r="GU55">
        <v>140</v>
      </c>
      <c r="GV55">
        <v>140</v>
      </c>
      <c r="GW55">
        <v>140</v>
      </c>
      <c r="GX55">
        <v>8</v>
      </c>
      <c r="GY55">
        <v>8</v>
      </c>
      <c r="GZ55">
        <v>8</v>
      </c>
    </row>
    <row r="56" spans="1:208" x14ac:dyDescent="0.35">
      <c r="A56" t="s">
        <v>473</v>
      </c>
      <c r="GU56">
        <v>597.9</v>
      </c>
      <c r="GV56">
        <v>0</v>
      </c>
      <c r="GW56">
        <v>0</v>
      </c>
      <c r="GX56">
        <v>0</v>
      </c>
      <c r="GY56">
        <v>785.9</v>
      </c>
      <c r="GZ56">
        <v>187.9</v>
      </c>
    </row>
    <row r="57" spans="1:208" x14ac:dyDescent="0.35">
      <c r="A57" t="s">
        <v>474</v>
      </c>
      <c r="GU57">
        <v>28.4</v>
      </c>
      <c r="GV57">
        <v>15.8</v>
      </c>
      <c r="GW57">
        <v>15.2</v>
      </c>
      <c r="GX57">
        <v>28.9</v>
      </c>
      <c r="GY57">
        <v>67.599999999999994</v>
      </c>
      <c r="GZ57">
        <v>80.7</v>
      </c>
    </row>
    <row r="58" spans="1:208" x14ac:dyDescent="0.35">
      <c r="A58" t="s">
        <v>432</v>
      </c>
      <c r="GU58">
        <v>64.400000000000006</v>
      </c>
      <c r="GV58">
        <v>23.4</v>
      </c>
      <c r="GW58">
        <v>13.8</v>
      </c>
      <c r="GX58">
        <v>17.100000000000001</v>
      </c>
      <c r="GY58">
        <v>10.6</v>
      </c>
      <c r="GZ58">
        <v>15</v>
      </c>
    </row>
    <row r="59" spans="1:208" x14ac:dyDescent="0.35">
      <c r="A59" t="s">
        <v>413</v>
      </c>
      <c r="GU59">
        <v>6.3</v>
      </c>
      <c r="GV59">
        <v>26.7</v>
      </c>
      <c r="GW59">
        <v>82.1</v>
      </c>
      <c r="GX59">
        <v>97.8</v>
      </c>
      <c r="GY59">
        <v>104.5</v>
      </c>
      <c r="GZ59">
        <v>61.6</v>
      </c>
    </row>
    <row r="60" spans="1:208" x14ac:dyDescent="0.35">
      <c r="A60" t="s">
        <v>415</v>
      </c>
      <c r="GU60">
        <v>74.400000000000006</v>
      </c>
      <c r="GV60">
        <v>138.30000000000001</v>
      </c>
      <c r="GW60">
        <v>106.8</v>
      </c>
      <c r="GX60">
        <v>95.3</v>
      </c>
      <c r="GY60">
        <v>82.1</v>
      </c>
      <c r="GZ60">
        <v>50.1</v>
      </c>
    </row>
    <row r="61" spans="1:208" x14ac:dyDescent="0.35">
      <c r="A61" t="s">
        <v>417</v>
      </c>
      <c r="GU61">
        <v>698.9</v>
      </c>
      <c r="GV61">
        <v>413.9</v>
      </c>
      <c r="GW61">
        <v>14.7</v>
      </c>
      <c r="GX61">
        <v>286.89999999999998</v>
      </c>
      <c r="GY61">
        <v>237.2</v>
      </c>
      <c r="GZ61">
        <v>113.2</v>
      </c>
    </row>
    <row r="62" spans="1:208" x14ac:dyDescent="0.35">
      <c r="A62" t="s">
        <v>954</v>
      </c>
      <c r="GU62">
        <v>779.6</v>
      </c>
      <c r="GV62">
        <v>582.4</v>
      </c>
      <c r="GW62">
        <v>216.6</v>
      </c>
      <c r="GX62">
        <v>505</v>
      </c>
      <c r="GY62">
        <v>429.7</v>
      </c>
      <c r="GZ62">
        <v>230.6</v>
      </c>
    </row>
    <row r="63" spans="1:208" x14ac:dyDescent="0.35">
      <c r="A63" t="s">
        <v>409</v>
      </c>
      <c r="GU63">
        <v>0.1</v>
      </c>
      <c r="GV63">
        <v>3.7</v>
      </c>
      <c r="GW63">
        <v>12.9</v>
      </c>
      <c r="GX63">
        <v>25</v>
      </c>
      <c r="GY63">
        <v>5.8</v>
      </c>
      <c r="GZ63">
        <v>5.8</v>
      </c>
    </row>
    <row r="64" spans="1:208" x14ac:dyDescent="0.35">
      <c r="A64" t="s">
        <v>418</v>
      </c>
      <c r="GV64">
        <v>106.2</v>
      </c>
      <c r="GW64">
        <v>35.9</v>
      </c>
      <c r="GX64">
        <v>1.6</v>
      </c>
      <c r="GY64">
        <v>0.6</v>
      </c>
      <c r="GZ64">
        <v>0.1</v>
      </c>
    </row>
    <row r="65" spans="1:208" x14ac:dyDescent="0.35">
      <c r="A65" t="s">
        <v>955</v>
      </c>
      <c r="B65">
        <v>5.7</v>
      </c>
      <c r="C65">
        <v>5.4</v>
      </c>
      <c r="D65">
        <v>4.9000000000000004</v>
      </c>
      <c r="E65">
        <v>5.0999999999999996</v>
      </c>
      <c r="F65">
        <v>5.6</v>
      </c>
      <c r="G65">
        <v>6.4</v>
      </c>
      <c r="H65">
        <v>5.9</v>
      </c>
      <c r="I65">
        <v>5.8</v>
      </c>
      <c r="J65">
        <v>5.9</v>
      </c>
      <c r="K65">
        <v>5.5</v>
      </c>
      <c r="L65">
        <v>7</v>
      </c>
      <c r="M65">
        <v>5.9</v>
      </c>
      <c r="N65">
        <v>5.9</v>
      </c>
      <c r="O65">
        <v>6.4</v>
      </c>
      <c r="P65">
        <v>5.5</v>
      </c>
      <c r="Q65">
        <v>6.1</v>
      </c>
      <c r="R65">
        <v>8</v>
      </c>
      <c r="S65">
        <v>8.8000000000000007</v>
      </c>
      <c r="T65">
        <v>6.7</v>
      </c>
      <c r="U65">
        <v>8.1</v>
      </c>
      <c r="V65">
        <v>9</v>
      </c>
      <c r="W65">
        <v>8.1</v>
      </c>
      <c r="X65">
        <v>11.1</v>
      </c>
      <c r="Y65">
        <v>10.7</v>
      </c>
      <c r="Z65">
        <v>10.3</v>
      </c>
      <c r="AA65">
        <v>10</v>
      </c>
      <c r="AB65">
        <v>10.8</v>
      </c>
      <c r="AC65">
        <v>11.3</v>
      </c>
      <c r="AD65">
        <v>10.9</v>
      </c>
      <c r="AE65">
        <v>10.9</v>
      </c>
      <c r="AF65">
        <v>12.1</v>
      </c>
      <c r="AG65">
        <v>10.9</v>
      </c>
      <c r="AH65">
        <v>11.2</v>
      </c>
      <c r="AI65">
        <v>11.8</v>
      </c>
      <c r="AJ65">
        <v>12.2</v>
      </c>
      <c r="AK65">
        <v>12.8</v>
      </c>
      <c r="AL65">
        <v>13.9</v>
      </c>
      <c r="AM65">
        <v>13.4</v>
      </c>
      <c r="AN65">
        <v>14.7</v>
      </c>
      <c r="AO65">
        <v>16.100000000000001</v>
      </c>
      <c r="AP65">
        <v>16.7</v>
      </c>
      <c r="AQ65">
        <v>16.899999999999999</v>
      </c>
      <c r="AR65">
        <v>16.3</v>
      </c>
      <c r="AS65">
        <v>17.100000000000001</v>
      </c>
      <c r="AT65">
        <v>16.399999999999999</v>
      </c>
      <c r="AU65">
        <v>16</v>
      </c>
      <c r="AV65">
        <v>15.1</v>
      </c>
      <c r="AW65">
        <v>15.4</v>
      </c>
      <c r="AX65">
        <v>14.2</v>
      </c>
      <c r="AY65">
        <v>14.9</v>
      </c>
      <c r="AZ65">
        <v>14.8</v>
      </c>
      <c r="BA65">
        <v>14.7</v>
      </c>
      <c r="BB65">
        <v>16.100000000000001</v>
      </c>
      <c r="BC65">
        <v>14.3</v>
      </c>
      <c r="BD65">
        <v>16</v>
      </c>
      <c r="BE65">
        <v>15.9</v>
      </c>
      <c r="BF65">
        <v>16.7</v>
      </c>
      <c r="BG65">
        <v>17.3</v>
      </c>
      <c r="BH65">
        <v>18.2</v>
      </c>
      <c r="BI65">
        <v>18.899999999999999</v>
      </c>
      <c r="BJ65">
        <v>17.2</v>
      </c>
      <c r="BK65">
        <v>19.600000000000001</v>
      </c>
      <c r="BL65">
        <v>20.2</v>
      </c>
      <c r="BM65">
        <v>21.3</v>
      </c>
      <c r="BN65">
        <v>19.8</v>
      </c>
      <c r="BO65">
        <v>20.7</v>
      </c>
      <c r="BP65">
        <v>21.4</v>
      </c>
      <c r="BQ65">
        <v>18.399999999999999</v>
      </c>
      <c r="BR65">
        <v>18.899999999999999</v>
      </c>
      <c r="BS65">
        <v>19.7</v>
      </c>
      <c r="BT65">
        <v>19</v>
      </c>
      <c r="BU65">
        <v>18.8</v>
      </c>
      <c r="BV65">
        <v>19.100000000000001</v>
      </c>
      <c r="BW65">
        <v>20</v>
      </c>
      <c r="BX65">
        <v>20.5</v>
      </c>
      <c r="BY65">
        <v>19.399999999999999</v>
      </c>
      <c r="BZ65">
        <v>20.3</v>
      </c>
      <c r="CA65">
        <v>20.100000000000001</v>
      </c>
      <c r="CB65">
        <v>19</v>
      </c>
      <c r="CC65">
        <v>21.5</v>
      </c>
      <c r="CD65">
        <v>22.3</v>
      </c>
      <c r="CE65">
        <v>20.3</v>
      </c>
      <c r="CF65">
        <v>20.7</v>
      </c>
      <c r="CG65">
        <v>49.5</v>
      </c>
      <c r="CH65">
        <v>26</v>
      </c>
      <c r="CI65">
        <v>22.2</v>
      </c>
      <c r="CJ65">
        <v>37.1</v>
      </c>
      <c r="CK65">
        <v>20.8</v>
      </c>
      <c r="CL65">
        <v>21.6</v>
      </c>
      <c r="CM65">
        <v>23.2</v>
      </c>
      <c r="CN65">
        <v>22.5</v>
      </c>
      <c r="CO65">
        <v>23.2</v>
      </c>
      <c r="CP65">
        <v>24.4</v>
      </c>
      <c r="CQ65">
        <v>22.6</v>
      </c>
      <c r="CR65">
        <v>25.3</v>
      </c>
      <c r="CS65">
        <v>24.9</v>
      </c>
      <c r="CT65">
        <v>23.8</v>
      </c>
      <c r="CU65">
        <v>27.5</v>
      </c>
      <c r="CV65">
        <v>26.2</v>
      </c>
      <c r="CW65">
        <v>26.7</v>
      </c>
      <c r="CX65">
        <v>27.9</v>
      </c>
      <c r="CY65">
        <v>28.2</v>
      </c>
      <c r="CZ65">
        <v>28.4</v>
      </c>
      <c r="DA65">
        <v>27</v>
      </c>
      <c r="DB65">
        <v>29.3</v>
      </c>
      <c r="DC65">
        <v>28.1</v>
      </c>
      <c r="DD65">
        <v>27.3</v>
      </c>
      <c r="DE65">
        <v>28.9</v>
      </c>
      <c r="DF65">
        <v>28.6</v>
      </c>
      <c r="DG65">
        <v>29.5</v>
      </c>
      <c r="DH65">
        <v>29.7</v>
      </c>
      <c r="DI65">
        <v>29</v>
      </c>
      <c r="DJ65">
        <v>27.3</v>
      </c>
      <c r="DK65">
        <v>27.5</v>
      </c>
      <c r="DL65">
        <v>29.4</v>
      </c>
      <c r="DM65">
        <v>31.5</v>
      </c>
      <c r="DN65">
        <v>29.2</v>
      </c>
      <c r="DO65">
        <v>33.9</v>
      </c>
      <c r="DP65">
        <v>35.9</v>
      </c>
      <c r="DQ65">
        <v>56.3</v>
      </c>
      <c r="DR65">
        <v>38</v>
      </c>
      <c r="DS65">
        <v>37.9</v>
      </c>
      <c r="DT65">
        <v>39.4</v>
      </c>
      <c r="DU65">
        <v>49.6</v>
      </c>
      <c r="DV65">
        <v>40.9</v>
      </c>
      <c r="DW65">
        <v>43.8</v>
      </c>
      <c r="DX65">
        <v>44.3</v>
      </c>
      <c r="DY65">
        <v>45.3</v>
      </c>
      <c r="DZ65">
        <v>59.6</v>
      </c>
      <c r="EA65">
        <v>47.2</v>
      </c>
      <c r="EB65">
        <v>43.2</v>
      </c>
      <c r="EC65">
        <v>63.5</v>
      </c>
      <c r="ED65">
        <v>65.7</v>
      </c>
      <c r="EE65">
        <v>75.5</v>
      </c>
      <c r="EF65">
        <v>71.5</v>
      </c>
      <c r="EG65">
        <v>66.400000000000006</v>
      </c>
      <c r="EH65">
        <v>75.3</v>
      </c>
      <c r="EI65">
        <v>65.2</v>
      </c>
      <c r="EJ65">
        <v>74.7</v>
      </c>
      <c r="EK65">
        <v>70.2</v>
      </c>
      <c r="EL65">
        <v>90.6</v>
      </c>
      <c r="EM65">
        <v>75</v>
      </c>
      <c r="EN65">
        <v>141.5</v>
      </c>
      <c r="EO65">
        <v>82.9</v>
      </c>
      <c r="EP65">
        <v>80.5</v>
      </c>
      <c r="EQ65">
        <v>77.5</v>
      </c>
      <c r="ER65">
        <v>74.8</v>
      </c>
      <c r="ES65">
        <v>73.900000000000006</v>
      </c>
      <c r="ET65">
        <v>90.3</v>
      </c>
      <c r="EU65">
        <v>86.5</v>
      </c>
      <c r="EV65">
        <v>86.3</v>
      </c>
      <c r="EW65">
        <v>80.400000000000006</v>
      </c>
      <c r="EX65">
        <v>87</v>
      </c>
      <c r="EY65">
        <v>81.400000000000006</v>
      </c>
      <c r="EZ65">
        <v>91.2</v>
      </c>
      <c r="FA65">
        <v>348.6</v>
      </c>
      <c r="FB65">
        <v>301.2</v>
      </c>
      <c r="FC65">
        <v>226</v>
      </c>
      <c r="FD65">
        <v>144.9</v>
      </c>
      <c r="FE65">
        <v>178.4</v>
      </c>
      <c r="FF65">
        <v>164.3</v>
      </c>
      <c r="FG65">
        <v>195.8</v>
      </c>
      <c r="FH65">
        <v>122.5</v>
      </c>
      <c r="FI65">
        <v>110</v>
      </c>
      <c r="FJ65">
        <v>110.2</v>
      </c>
      <c r="FK65">
        <v>142.19999999999999</v>
      </c>
      <c r="FL65">
        <v>122.8</v>
      </c>
      <c r="FM65">
        <v>149.69999999999999</v>
      </c>
      <c r="FN65">
        <v>110.8</v>
      </c>
      <c r="FO65">
        <v>93</v>
      </c>
      <c r="FP65">
        <v>90.7</v>
      </c>
      <c r="FQ65">
        <v>125.3</v>
      </c>
      <c r="FR65">
        <v>91.2</v>
      </c>
      <c r="FS65">
        <v>84.4</v>
      </c>
      <c r="FT65">
        <v>85.3</v>
      </c>
      <c r="FU65">
        <v>79.7</v>
      </c>
      <c r="FV65">
        <v>86.8</v>
      </c>
      <c r="FW65">
        <v>84.1</v>
      </c>
      <c r="FX65">
        <v>83</v>
      </c>
      <c r="FY65">
        <v>80.8</v>
      </c>
      <c r="FZ65">
        <v>83.2</v>
      </c>
      <c r="GA65">
        <v>77.099999999999994</v>
      </c>
      <c r="GB65">
        <v>83.9</v>
      </c>
      <c r="GC65">
        <v>76.400000000000006</v>
      </c>
      <c r="GD65">
        <v>80.900000000000006</v>
      </c>
      <c r="GE65">
        <v>77.2</v>
      </c>
      <c r="GF65">
        <v>79.599999999999994</v>
      </c>
      <c r="GG65">
        <v>84.5</v>
      </c>
      <c r="GH65">
        <v>83.7</v>
      </c>
      <c r="GI65">
        <v>84.9</v>
      </c>
      <c r="GJ65">
        <v>116</v>
      </c>
      <c r="GK65">
        <v>80.3</v>
      </c>
      <c r="GL65">
        <v>77.900000000000006</v>
      </c>
      <c r="GM65">
        <v>85.3</v>
      </c>
      <c r="GN65">
        <v>84.4</v>
      </c>
      <c r="GO65">
        <v>81.400000000000006</v>
      </c>
      <c r="GP65">
        <v>84.5</v>
      </c>
      <c r="GQ65">
        <v>77.900000000000006</v>
      </c>
      <c r="GR65">
        <v>81</v>
      </c>
      <c r="GS65">
        <v>132.30000000000001</v>
      </c>
      <c r="GT65">
        <v>92.5</v>
      </c>
      <c r="GU65">
        <v>92</v>
      </c>
      <c r="GV65">
        <v>92.1</v>
      </c>
      <c r="GW65">
        <v>90.4</v>
      </c>
      <c r="GX65">
        <v>297.7</v>
      </c>
      <c r="GY65">
        <v>89.9</v>
      </c>
      <c r="GZ65">
        <v>100.9</v>
      </c>
    </row>
    <row r="66" spans="1:208" x14ac:dyDescent="0.35">
      <c r="A66" t="s">
        <v>670</v>
      </c>
      <c r="B66">
        <v>0.58399999999999996</v>
      </c>
      <c r="C66">
        <v>0.98</v>
      </c>
      <c r="D66">
        <v>1.256</v>
      </c>
      <c r="E66">
        <v>1.5920000000000001</v>
      </c>
      <c r="F66">
        <v>1.62</v>
      </c>
      <c r="G66">
        <v>1.6</v>
      </c>
      <c r="H66">
        <v>1.7</v>
      </c>
      <c r="I66">
        <v>1.8720000000000001</v>
      </c>
      <c r="J66">
        <v>1.8320000000000001</v>
      </c>
      <c r="K66">
        <v>1.8240000000000001</v>
      </c>
      <c r="L66">
        <v>2.1080000000000001</v>
      </c>
      <c r="M66">
        <v>2.1560000000000001</v>
      </c>
      <c r="N66">
        <v>2.1560000000000001</v>
      </c>
      <c r="O66">
        <v>2.1440000000000001</v>
      </c>
      <c r="P66">
        <v>2.2480000000000002</v>
      </c>
      <c r="Q66">
        <v>2.2879999999999998</v>
      </c>
      <c r="R66">
        <v>3.0640000000000001</v>
      </c>
      <c r="S66">
        <v>3.16</v>
      </c>
      <c r="T66">
        <v>3.62</v>
      </c>
      <c r="U66">
        <v>3.8879999999999999</v>
      </c>
      <c r="V66">
        <v>4.3639999999999999</v>
      </c>
      <c r="W66">
        <v>4.5119999999999996</v>
      </c>
      <c r="X66">
        <v>4.8319999999999999</v>
      </c>
      <c r="Y66">
        <v>4.68</v>
      </c>
      <c r="Z66">
        <v>4.7679999999999998</v>
      </c>
      <c r="AA66">
        <v>4.6760000000000002</v>
      </c>
      <c r="AB66">
        <v>4.4160000000000004</v>
      </c>
      <c r="AC66">
        <v>4.532</v>
      </c>
      <c r="AD66">
        <v>4.4960000000000004</v>
      </c>
      <c r="AE66">
        <v>4.3159999999999998</v>
      </c>
      <c r="AF66">
        <v>4.38</v>
      </c>
      <c r="AG66">
        <v>4.3840000000000003</v>
      </c>
      <c r="AH66">
        <v>4.5839999999999996</v>
      </c>
      <c r="AI66">
        <v>4.4880000000000004</v>
      </c>
      <c r="AJ66">
        <v>4.6719999999999997</v>
      </c>
      <c r="AK66">
        <v>4.5960000000000001</v>
      </c>
      <c r="AL66">
        <v>5.4240000000000004</v>
      </c>
      <c r="AM66">
        <v>5.78</v>
      </c>
      <c r="AN66">
        <v>6.88</v>
      </c>
      <c r="AO66">
        <v>7.2439999999999998</v>
      </c>
      <c r="AP66">
        <v>7.7640000000000002</v>
      </c>
      <c r="AQ66">
        <v>8.14</v>
      </c>
      <c r="AR66">
        <v>8.44</v>
      </c>
      <c r="AS66">
        <v>8.5120000000000005</v>
      </c>
      <c r="AT66">
        <v>10.144</v>
      </c>
      <c r="AU66">
        <v>10.272</v>
      </c>
      <c r="AV66">
        <v>10.16</v>
      </c>
      <c r="AW66">
        <v>9.6839999999999993</v>
      </c>
      <c r="AX66">
        <v>9.2959999999999994</v>
      </c>
      <c r="AY66">
        <v>9.4320000000000004</v>
      </c>
      <c r="AZ66">
        <v>9.6760000000000002</v>
      </c>
      <c r="BA66">
        <v>11.18</v>
      </c>
      <c r="BB66">
        <v>11.288</v>
      </c>
      <c r="BC66">
        <v>11.124000000000001</v>
      </c>
      <c r="BD66">
        <v>10.964</v>
      </c>
      <c r="BE66">
        <v>10.888</v>
      </c>
      <c r="BF66">
        <v>10.8</v>
      </c>
      <c r="BG66">
        <v>10.624000000000001</v>
      </c>
      <c r="BH66">
        <v>10.432</v>
      </c>
      <c r="BI66">
        <v>10.82</v>
      </c>
      <c r="BJ66">
        <v>10.784000000000001</v>
      </c>
      <c r="BK66">
        <v>10.72</v>
      </c>
      <c r="BL66">
        <v>10.612</v>
      </c>
      <c r="BM66">
        <v>10.644</v>
      </c>
      <c r="BN66">
        <v>10.488</v>
      </c>
      <c r="BO66">
        <v>10.564</v>
      </c>
      <c r="BP66">
        <v>10.576000000000001</v>
      </c>
      <c r="BQ66">
        <v>10.584</v>
      </c>
      <c r="BR66">
        <v>10.54</v>
      </c>
      <c r="BS66">
        <v>10.488</v>
      </c>
      <c r="BT66">
        <v>10.311999999999999</v>
      </c>
      <c r="BU66">
        <v>11.087999999999999</v>
      </c>
      <c r="BV66">
        <v>11.176</v>
      </c>
      <c r="BW66">
        <v>11.132</v>
      </c>
      <c r="BX66">
        <v>11.052</v>
      </c>
      <c r="BY66">
        <v>11.492000000000001</v>
      </c>
      <c r="BZ66">
        <v>11.656000000000001</v>
      </c>
      <c r="CA66">
        <v>11.712</v>
      </c>
      <c r="CB66">
        <v>11.784000000000001</v>
      </c>
      <c r="CC66">
        <v>14.148</v>
      </c>
      <c r="CD66">
        <v>13.984</v>
      </c>
      <c r="CE66">
        <v>14.215999999999999</v>
      </c>
      <c r="CF66">
        <v>14.404</v>
      </c>
      <c r="CG66">
        <v>16.36</v>
      </c>
      <c r="CH66">
        <v>16.995999999999999</v>
      </c>
      <c r="CI66">
        <v>17.635999999999999</v>
      </c>
      <c r="CJ66">
        <v>18.091999999999999</v>
      </c>
      <c r="CK66">
        <v>20.332000000000001</v>
      </c>
      <c r="CL66">
        <v>20.596</v>
      </c>
      <c r="CM66">
        <v>20.931999999999999</v>
      </c>
      <c r="CN66">
        <v>21.792000000000002</v>
      </c>
      <c r="CO66">
        <v>21.86</v>
      </c>
      <c r="CP66">
        <v>21.82</v>
      </c>
      <c r="CQ66">
        <v>22.14</v>
      </c>
      <c r="CR66">
        <v>22.204000000000001</v>
      </c>
      <c r="CS66">
        <v>22.68</v>
      </c>
      <c r="CT66">
        <v>23.06</v>
      </c>
      <c r="CU66">
        <v>22.58</v>
      </c>
      <c r="CV66">
        <v>22.504000000000001</v>
      </c>
      <c r="CW66">
        <v>23.224</v>
      </c>
      <c r="CX66">
        <v>22.716000000000001</v>
      </c>
      <c r="CY66">
        <v>22.384</v>
      </c>
      <c r="CZ66">
        <v>22.052</v>
      </c>
      <c r="DA66">
        <v>22.635999999999999</v>
      </c>
      <c r="DB66">
        <v>22.564</v>
      </c>
      <c r="DC66">
        <v>22.236000000000001</v>
      </c>
      <c r="DD66">
        <v>21.852</v>
      </c>
      <c r="DE66">
        <v>21.16</v>
      </c>
      <c r="DF66">
        <v>20.04</v>
      </c>
      <c r="DG66">
        <v>19.076000000000001</v>
      </c>
      <c r="DH66">
        <v>18.143999999999998</v>
      </c>
      <c r="DI66">
        <v>17.667999999999999</v>
      </c>
      <c r="DJ66">
        <v>17.123999999999999</v>
      </c>
      <c r="DK66">
        <v>16.579999999999998</v>
      </c>
      <c r="DL66">
        <v>15.976000000000001</v>
      </c>
      <c r="DM66">
        <v>16.18</v>
      </c>
      <c r="DN66">
        <v>15.788</v>
      </c>
      <c r="DO66">
        <v>15.464</v>
      </c>
      <c r="DP66">
        <v>15.284000000000001</v>
      </c>
      <c r="DQ66">
        <v>15.356</v>
      </c>
      <c r="DR66">
        <v>13.616</v>
      </c>
      <c r="DS66">
        <v>14.896000000000001</v>
      </c>
      <c r="DT66">
        <v>14.84</v>
      </c>
      <c r="DU66">
        <v>14.907999999999999</v>
      </c>
      <c r="DV66">
        <v>15.1</v>
      </c>
      <c r="DW66">
        <v>15.536</v>
      </c>
      <c r="DX66">
        <v>15.996</v>
      </c>
      <c r="DY66">
        <v>17.236000000000001</v>
      </c>
      <c r="DZ66">
        <v>17.898</v>
      </c>
      <c r="EA66">
        <v>18.222000000000001</v>
      </c>
      <c r="EB66">
        <v>18.484999999999999</v>
      </c>
      <c r="EC66">
        <v>19.841999999999999</v>
      </c>
      <c r="ED66">
        <v>20.652000000000001</v>
      </c>
      <c r="EE66">
        <v>21.759</v>
      </c>
      <c r="EF66">
        <v>22.788</v>
      </c>
      <c r="EG66">
        <v>23.298999999999999</v>
      </c>
      <c r="EH66">
        <v>24.085999999999999</v>
      </c>
      <c r="EI66">
        <v>24.969000000000001</v>
      </c>
      <c r="EJ66">
        <v>25.888000000000002</v>
      </c>
      <c r="EK66">
        <v>28.838999999999999</v>
      </c>
      <c r="EL66">
        <v>27.844000000000001</v>
      </c>
      <c r="EM66">
        <v>28.236999999999998</v>
      </c>
      <c r="EN66">
        <v>29.613</v>
      </c>
      <c r="EO66">
        <v>32.274000000000001</v>
      </c>
      <c r="EP66">
        <v>29.234999999999999</v>
      </c>
      <c r="EQ66">
        <v>29.263999999999999</v>
      </c>
      <c r="ER66">
        <v>29.344000000000001</v>
      </c>
      <c r="ES66">
        <v>29.716999999999999</v>
      </c>
      <c r="ET66">
        <v>30</v>
      </c>
      <c r="EU66">
        <v>30.391999999999999</v>
      </c>
      <c r="EV66">
        <v>30.74</v>
      </c>
      <c r="EW66">
        <v>32.552999999999997</v>
      </c>
      <c r="EX66">
        <v>33.466000000000001</v>
      </c>
      <c r="EY66">
        <v>34.606999999999999</v>
      </c>
      <c r="EZ66">
        <v>37.1</v>
      </c>
      <c r="FA66">
        <v>42.963999999999999</v>
      </c>
      <c r="FB66">
        <v>44.63</v>
      </c>
      <c r="FC66">
        <v>55.540999999999997</v>
      </c>
      <c r="FD66">
        <v>58.195</v>
      </c>
      <c r="FE66">
        <v>60.683</v>
      </c>
      <c r="FF66">
        <v>63.749000000000002</v>
      </c>
      <c r="FG66">
        <v>65.742999999999995</v>
      </c>
      <c r="FH66">
        <v>67.739999999999995</v>
      </c>
      <c r="FI66">
        <v>68.828000000000003</v>
      </c>
      <c r="FJ66">
        <v>71.063000000000002</v>
      </c>
      <c r="FK66">
        <v>72.828999999999994</v>
      </c>
      <c r="FL66">
        <v>73.527000000000001</v>
      </c>
      <c r="FM66">
        <v>73.492000000000004</v>
      </c>
      <c r="FN66">
        <v>74.054000000000002</v>
      </c>
      <c r="FO66">
        <v>74.347999999999999</v>
      </c>
      <c r="FP66">
        <v>75.343000000000004</v>
      </c>
      <c r="FQ66">
        <v>75.66</v>
      </c>
      <c r="FR66">
        <v>75.959999999999994</v>
      </c>
      <c r="FS66">
        <v>76.039000000000001</v>
      </c>
      <c r="FT66">
        <v>75.213999999999999</v>
      </c>
      <c r="FU66">
        <v>71.414000000000001</v>
      </c>
      <c r="FV66">
        <v>69.317999999999998</v>
      </c>
      <c r="FW66">
        <v>69.353999999999999</v>
      </c>
      <c r="FX66">
        <v>68.644999999999996</v>
      </c>
      <c r="FY66">
        <v>70.316999999999993</v>
      </c>
      <c r="FZ66">
        <v>69.766999999999996</v>
      </c>
      <c r="GA66">
        <v>69.164000000000001</v>
      </c>
      <c r="GB66">
        <v>68.382000000000005</v>
      </c>
      <c r="GC66">
        <v>67.638000000000005</v>
      </c>
      <c r="GD66">
        <v>67.293999999999997</v>
      </c>
      <c r="GE66">
        <v>65.412999999999997</v>
      </c>
      <c r="GF66">
        <v>64.802999999999997</v>
      </c>
      <c r="GG66">
        <v>64.498999999999995</v>
      </c>
      <c r="GH66">
        <v>63.601999999999997</v>
      </c>
      <c r="GI66">
        <v>62.271000000000001</v>
      </c>
      <c r="GJ66">
        <v>63.802</v>
      </c>
      <c r="GK66">
        <v>67.216999999999999</v>
      </c>
      <c r="GL66">
        <v>59.726999999999997</v>
      </c>
      <c r="GM66">
        <v>58.39</v>
      </c>
      <c r="GN66">
        <v>57.319000000000003</v>
      </c>
      <c r="GO66">
        <v>57.116</v>
      </c>
      <c r="GP66">
        <v>55.898000000000003</v>
      </c>
      <c r="GQ66">
        <v>54.478000000000002</v>
      </c>
      <c r="GR66">
        <v>54.216000000000001</v>
      </c>
      <c r="GS66">
        <v>54.152999999999999</v>
      </c>
      <c r="GT66">
        <v>57.268000000000001</v>
      </c>
      <c r="GU66">
        <v>92.045000000000002</v>
      </c>
      <c r="GV66">
        <v>92.712999999999994</v>
      </c>
      <c r="GW66">
        <v>93.037000000000006</v>
      </c>
      <c r="GX66">
        <v>109.65300000000001</v>
      </c>
      <c r="GY66">
        <v>128.93899999999999</v>
      </c>
      <c r="GZ66">
        <v>140.09399999999999</v>
      </c>
    </row>
    <row r="67" spans="1:208" x14ac:dyDescent="0.35">
      <c r="A67" t="s">
        <v>956</v>
      </c>
      <c r="B67">
        <v>38.1</v>
      </c>
      <c r="C67">
        <v>38.633333333333297</v>
      </c>
      <c r="D67">
        <v>39.033333333333303</v>
      </c>
      <c r="E67">
        <v>39.6</v>
      </c>
      <c r="F67">
        <v>39.933333333333302</v>
      </c>
      <c r="G67">
        <v>40.299999999999997</v>
      </c>
      <c r="H67">
        <v>40.700000000000003</v>
      </c>
      <c r="I67">
        <v>41</v>
      </c>
      <c r="J67">
        <v>41.3333333333333</v>
      </c>
      <c r="K67">
        <v>41.6</v>
      </c>
      <c r="L67">
        <v>41.933333333333302</v>
      </c>
      <c r="M67">
        <v>42.366666666666703</v>
      </c>
      <c r="N67">
        <v>43.033333333333303</v>
      </c>
      <c r="O67">
        <v>43.933333333333302</v>
      </c>
      <c r="P67">
        <v>44.8</v>
      </c>
      <c r="Q67">
        <v>45.933333333333302</v>
      </c>
      <c r="R67">
        <v>47.3</v>
      </c>
      <c r="S67">
        <v>48.566666666666698</v>
      </c>
      <c r="T67">
        <v>49.933333333333302</v>
      </c>
      <c r="U67">
        <v>51.466666666666697</v>
      </c>
      <c r="V67">
        <v>52.566666666666698</v>
      </c>
      <c r="W67">
        <v>53.2</v>
      </c>
      <c r="X67">
        <v>54.266666666666701</v>
      </c>
      <c r="Y67">
        <v>55.266666666666701</v>
      </c>
      <c r="Z67">
        <v>55.9</v>
      </c>
      <c r="AA67">
        <v>56.4</v>
      </c>
      <c r="AB67">
        <v>57.3</v>
      </c>
      <c r="AC67">
        <v>58.133333333333297</v>
      </c>
      <c r="AD67">
        <v>59.2</v>
      </c>
      <c r="AE67">
        <v>60.233333333333299</v>
      </c>
      <c r="AF67">
        <v>61.066666666666698</v>
      </c>
      <c r="AG67">
        <v>61.966666666666697</v>
      </c>
      <c r="AH67">
        <v>63.033333333333303</v>
      </c>
      <c r="AI67">
        <v>64.466666666666697</v>
      </c>
      <c r="AJ67">
        <v>65.966666666666697</v>
      </c>
      <c r="AK67">
        <v>67.5</v>
      </c>
      <c r="AL67">
        <v>69.2</v>
      </c>
      <c r="AM67">
        <v>71.400000000000006</v>
      </c>
      <c r="AN67">
        <v>73.7</v>
      </c>
      <c r="AO67">
        <v>76.033333333333303</v>
      </c>
      <c r="AP67">
        <v>79.033333333333303</v>
      </c>
      <c r="AQ67">
        <v>81.7</v>
      </c>
      <c r="AR67">
        <v>83.233333333333306</v>
      </c>
      <c r="AS67">
        <v>85.566666666666706</v>
      </c>
      <c r="AT67">
        <v>87.933333333333294</v>
      </c>
      <c r="AU67">
        <v>89.766666666666694</v>
      </c>
      <c r="AV67">
        <v>92.266666666666694</v>
      </c>
      <c r="AW67">
        <v>93.766666666666694</v>
      </c>
      <c r="AX67">
        <v>94.6</v>
      </c>
      <c r="AY67">
        <v>95.966666666666697</v>
      </c>
      <c r="AZ67">
        <v>97.633333333333297</v>
      </c>
      <c r="BA67">
        <v>97.933333333333294</v>
      </c>
      <c r="BB67">
        <v>98</v>
      </c>
      <c r="BC67">
        <v>99.133333333333297</v>
      </c>
      <c r="BD67">
        <v>100.1</v>
      </c>
      <c r="BE67">
        <v>101.1</v>
      </c>
      <c r="BF67">
        <v>102.533333333333</v>
      </c>
      <c r="BG67">
        <v>103.5</v>
      </c>
      <c r="BH67">
        <v>104.4</v>
      </c>
      <c r="BI67">
        <v>105.3</v>
      </c>
      <c r="BJ67">
        <v>106.26666666666701</v>
      </c>
      <c r="BK67">
        <v>107.23333333333299</v>
      </c>
      <c r="BL67">
        <v>107.9</v>
      </c>
      <c r="BM67">
        <v>109</v>
      </c>
      <c r="BN67">
        <v>109.566666666667</v>
      </c>
      <c r="BO67">
        <v>109.033333333333</v>
      </c>
      <c r="BP67">
        <v>109.7</v>
      </c>
      <c r="BQ67">
        <v>110.466666666667</v>
      </c>
      <c r="BR67">
        <v>111.8</v>
      </c>
      <c r="BS67">
        <v>113.066666666667</v>
      </c>
      <c r="BT67">
        <v>114.26666666666701</v>
      </c>
      <c r="BU67">
        <v>115.333333333333</v>
      </c>
      <c r="BV67">
        <v>116.23333333333299</v>
      </c>
      <c r="BW67">
        <v>117.566666666667</v>
      </c>
      <c r="BX67">
        <v>119</v>
      </c>
      <c r="BY67">
        <v>120.3</v>
      </c>
      <c r="BZ67">
        <v>121.666666666667</v>
      </c>
      <c r="CA67">
        <v>123.633333333333</v>
      </c>
      <c r="CB67">
        <v>124.6</v>
      </c>
      <c r="CC67">
        <v>125.866666666667</v>
      </c>
      <c r="CD67">
        <v>128.03333333333299</v>
      </c>
      <c r="CE67">
        <v>129.30000000000001</v>
      </c>
      <c r="CF67">
        <v>131.53333333333299</v>
      </c>
      <c r="CG67">
        <v>133.76666666666699</v>
      </c>
      <c r="CH67">
        <v>134.76666666666699</v>
      </c>
      <c r="CI67">
        <v>135.566666666667</v>
      </c>
      <c r="CJ67">
        <v>136.6</v>
      </c>
      <c r="CK67">
        <v>137.73333333333301</v>
      </c>
      <c r="CL67">
        <v>138.666666666667</v>
      </c>
      <c r="CM67">
        <v>139.73333333333301</v>
      </c>
      <c r="CN67">
        <v>140.80000000000001</v>
      </c>
      <c r="CO67">
        <v>142.03333333333299</v>
      </c>
      <c r="CP67">
        <v>143.066666666667</v>
      </c>
      <c r="CQ67">
        <v>144.1</v>
      </c>
      <c r="CR67">
        <v>144.76666666666699</v>
      </c>
      <c r="CS67">
        <v>145.96666666666701</v>
      </c>
      <c r="CT67">
        <v>146.69999999999999</v>
      </c>
      <c r="CU67">
        <v>147.53333333333299</v>
      </c>
      <c r="CV67">
        <v>148.9</v>
      </c>
      <c r="CW67">
        <v>149.76666666666699</v>
      </c>
      <c r="CX67">
        <v>150.86666666666699</v>
      </c>
      <c r="CY67">
        <v>152.1</v>
      </c>
      <c r="CZ67">
        <v>152.86666666666699</v>
      </c>
      <c r="DA67">
        <v>153.69999999999999</v>
      </c>
      <c r="DB67">
        <v>155.066666666667</v>
      </c>
      <c r="DC67">
        <v>156.4</v>
      </c>
      <c r="DD67">
        <v>157.30000000000001</v>
      </c>
      <c r="DE67">
        <v>158.666666666667</v>
      </c>
      <c r="DF67">
        <v>159.63333333333301</v>
      </c>
      <c r="DG67">
        <v>160</v>
      </c>
      <c r="DH67">
        <v>160.80000000000001</v>
      </c>
      <c r="DI67">
        <v>161.666666666667</v>
      </c>
      <c r="DJ67">
        <v>162</v>
      </c>
      <c r="DK67">
        <v>162.53333333333299</v>
      </c>
      <c r="DL67">
        <v>163.36666666666699</v>
      </c>
      <c r="DM67">
        <v>164.13333333333301</v>
      </c>
      <c r="DN67">
        <v>164.73333333333301</v>
      </c>
      <c r="DO67">
        <v>165.96666666666701</v>
      </c>
      <c r="DP67">
        <v>167.2</v>
      </c>
      <c r="DQ67">
        <v>168.433333333333</v>
      </c>
      <c r="DR67">
        <v>170.1</v>
      </c>
      <c r="DS67">
        <v>171.433333333333</v>
      </c>
      <c r="DT67">
        <v>173</v>
      </c>
      <c r="DU67">
        <v>174.23333333333301</v>
      </c>
      <c r="DV67">
        <v>175.9</v>
      </c>
      <c r="DW67">
        <v>177.13333333333301</v>
      </c>
      <c r="DX67">
        <v>177.63333333333301</v>
      </c>
      <c r="DY67">
        <v>177.5</v>
      </c>
      <c r="DZ67">
        <v>178.066666666667</v>
      </c>
      <c r="EA67">
        <v>179.46666666666701</v>
      </c>
      <c r="EB67">
        <v>180.433333333333</v>
      </c>
      <c r="EC67">
        <v>181.5</v>
      </c>
      <c r="ED67">
        <v>183.36666666666699</v>
      </c>
      <c r="EE67">
        <v>183.066666666667</v>
      </c>
      <c r="EF67">
        <v>184.433333333333</v>
      </c>
      <c r="EG67">
        <v>185.13333333333301</v>
      </c>
      <c r="EH67">
        <v>186.7</v>
      </c>
      <c r="EI67">
        <v>188.166666666667</v>
      </c>
      <c r="EJ67">
        <v>189.36666666666699</v>
      </c>
      <c r="EK67">
        <v>191.4</v>
      </c>
      <c r="EL67">
        <v>192.36666666666699</v>
      </c>
      <c r="EM67">
        <v>193.666666666667</v>
      </c>
      <c r="EN67">
        <v>196.6</v>
      </c>
      <c r="EO67">
        <v>198.433333333333</v>
      </c>
      <c r="EP67">
        <v>199.46666666666701</v>
      </c>
      <c r="EQ67">
        <v>201.26666666666699</v>
      </c>
      <c r="ER67">
        <v>203.166666666667</v>
      </c>
      <c r="ES67">
        <v>202.333333333333</v>
      </c>
      <c r="ET67">
        <v>204.31700000000001</v>
      </c>
      <c r="EU67">
        <v>206.631</v>
      </c>
      <c r="EV67">
        <v>207.93899999999999</v>
      </c>
      <c r="EW67">
        <v>210.48966666666701</v>
      </c>
      <c r="EX67">
        <v>212.76966666666701</v>
      </c>
      <c r="EY67">
        <v>215.53766666666701</v>
      </c>
      <c r="EZ67">
        <v>218.86099999999999</v>
      </c>
      <c r="FA67">
        <v>213.84866666666699</v>
      </c>
      <c r="FB67">
        <v>212.37766666666701</v>
      </c>
      <c r="FC67">
        <v>213.50700000000001</v>
      </c>
      <c r="FD67">
        <v>215.34399999999999</v>
      </c>
      <c r="FE67">
        <v>217.03</v>
      </c>
      <c r="FF67">
        <v>217.374</v>
      </c>
      <c r="FG67">
        <v>217.297333333333</v>
      </c>
      <c r="FH67">
        <v>217.934333333333</v>
      </c>
      <c r="FI67">
        <v>219.69900000000001</v>
      </c>
      <c r="FJ67">
        <v>222.04366666666701</v>
      </c>
      <c r="FK67">
        <v>224.56833333333299</v>
      </c>
      <c r="FL67">
        <v>226.03266666666701</v>
      </c>
      <c r="FM67">
        <v>227.047333333333</v>
      </c>
      <c r="FN67">
        <v>228.32599999999999</v>
      </c>
      <c r="FO67">
        <v>228.80799999999999</v>
      </c>
      <c r="FP67">
        <v>229.84100000000001</v>
      </c>
      <c r="FQ67">
        <v>231.369333333333</v>
      </c>
      <c r="FR67">
        <v>232.29933333333301</v>
      </c>
      <c r="FS67">
        <v>232.04499999999999</v>
      </c>
      <c r="FT67">
        <v>233.3</v>
      </c>
      <c r="FU67">
        <v>234.16266666666701</v>
      </c>
      <c r="FV67">
        <v>235.62100000000001</v>
      </c>
      <c r="FW67">
        <v>236.87233333333299</v>
      </c>
      <c r="FX67">
        <v>237.47833333333301</v>
      </c>
      <c r="FY67">
        <v>236.88833333333301</v>
      </c>
      <c r="FZ67">
        <v>235.35499999999999</v>
      </c>
      <c r="GA67">
        <v>236.96</v>
      </c>
      <c r="GB67">
        <v>237.85499999999999</v>
      </c>
      <c r="GC67">
        <v>237.83699999999999</v>
      </c>
      <c r="GD67">
        <v>237.689333333333</v>
      </c>
      <c r="GE67">
        <v>239.59033333333301</v>
      </c>
      <c r="GF67">
        <v>240.607333333333</v>
      </c>
      <c r="GG67">
        <v>242.13466666666699</v>
      </c>
      <c r="GH67">
        <v>243.75266666666701</v>
      </c>
      <c r="GI67">
        <v>244.18700000000001</v>
      </c>
      <c r="GJ67">
        <v>245.345333333333</v>
      </c>
      <c r="GK67">
        <v>247.25700000000001</v>
      </c>
      <c r="GL67">
        <v>249.17933333333301</v>
      </c>
      <c r="GM67">
        <v>250.737666666667</v>
      </c>
      <c r="GN67">
        <v>251.75433333333299</v>
      </c>
      <c r="GO67">
        <v>252.738</v>
      </c>
      <c r="GP67">
        <v>253.185666666667</v>
      </c>
      <c r="GQ67">
        <v>255.37333333333299</v>
      </c>
      <c r="GR67">
        <v>256.191666666667</v>
      </c>
      <c r="GS67">
        <v>257.85966666666701</v>
      </c>
      <c r="GT67">
        <v>258.5</v>
      </c>
      <c r="GU67">
        <v>256.47199999999998</v>
      </c>
      <c r="GV67">
        <v>259.421333333333</v>
      </c>
      <c r="GW67">
        <v>260.983</v>
      </c>
      <c r="GX67">
        <v>263.39499999999998</v>
      </c>
      <c r="GY67">
        <v>268.78800000000001</v>
      </c>
      <c r="GZ67">
        <v>273.13833333333298</v>
      </c>
    </row>
    <row r="68" spans="1:208" x14ac:dyDescent="0.35">
      <c r="A68" t="s">
        <v>957</v>
      </c>
      <c r="B68">
        <v>38.299999999999997</v>
      </c>
      <c r="C68">
        <v>38.8333333333333</v>
      </c>
      <c r="D68">
        <v>39.233333333333299</v>
      </c>
      <c r="E68">
        <v>39.799999999999997</v>
      </c>
      <c r="F68">
        <v>40.1666666666667</v>
      </c>
      <c r="G68">
        <v>40.533333333333303</v>
      </c>
      <c r="H68">
        <v>40.966666666666697</v>
      </c>
      <c r="I68">
        <v>41.233333333333299</v>
      </c>
      <c r="J68">
        <v>41.6</v>
      </c>
      <c r="K68">
        <v>41.8</v>
      </c>
      <c r="L68">
        <v>42.2</v>
      </c>
      <c r="M68">
        <v>42.633333333333297</v>
      </c>
      <c r="N68">
        <v>43.266666666666701</v>
      </c>
      <c r="O68">
        <v>44.1666666666667</v>
      </c>
      <c r="P68">
        <v>45.066666666666698</v>
      </c>
      <c r="Q68">
        <v>46.1666666666667</v>
      </c>
      <c r="R68">
        <v>47.566666666666698</v>
      </c>
      <c r="S68">
        <v>48.766666666666701</v>
      </c>
      <c r="T68">
        <v>50.233333333333299</v>
      </c>
      <c r="U68">
        <v>51.766666666666701</v>
      </c>
      <c r="V68">
        <v>52.866666666666703</v>
      </c>
      <c r="W68">
        <v>53.5</v>
      </c>
      <c r="X68">
        <v>54.566666666666698</v>
      </c>
      <c r="Y68">
        <v>55.566666666666698</v>
      </c>
      <c r="Z68">
        <v>56.233333333333299</v>
      </c>
      <c r="AA68">
        <v>56.733333333333299</v>
      </c>
      <c r="AB68">
        <v>57.6</v>
      </c>
      <c r="AC68">
        <v>58.433333333333302</v>
      </c>
      <c r="AD68">
        <v>59.533333333333303</v>
      </c>
      <c r="AE68">
        <v>60.6</v>
      </c>
      <c r="AF68">
        <v>61.433333333333302</v>
      </c>
      <c r="AG68">
        <v>62.266666666666701</v>
      </c>
      <c r="AH68">
        <v>63.366666666666703</v>
      </c>
      <c r="AI68">
        <v>64.766666666666694</v>
      </c>
      <c r="AJ68">
        <v>66.233333333333306</v>
      </c>
      <c r="AK68">
        <v>67.8333333333333</v>
      </c>
      <c r="AL68">
        <v>69.566666666666706</v>
      </c>
      <c r="AM68">
        <v>71.900000000000006</v>
      </c>
      <c r="AN68">
        <v>74.233333333333306</v>
      </c>
      <c r="AO68">
        <v>76.5</v>
      </c>
      <c r="AP68">
        <v>79.5</v>
      </c>
      <c r="AQ68">
        <v>82.2</v>
      </c>
      <c r="AR68">
        <v>83.733333333333306</v>
      </c>
      <c r="AS68">
        <v>86.1666666666667</v>
      </c>
      <c r="AT68">
        <v>88.466666666666697</v>
      </c>
      <c r="AU68">
        <v>90.233333333333306</v>
      </c>
      <c r="AV68">
        <v>92.733333333333306</v>
      </c>
      <c r="AW68">
        <v>94.1666666666667</v>
      </c>
      <c r="AX68">
        <v>94.966666666666697</v>
      </c>
      <c r="AY68">
        <v>96.233333333333306</v>
      </c>
      <c r="AZ68">
        <v>98</v>
      </c>
      <c r="BA68">
        <v>98.3333333333333</v>
      </c>
      <c r="BB68">
        <v>98.3</v>
      </c>
      <c r="BC68">
        <v>99.433333333333294</v>
      </c>
      <c r="BD68">
        <v>100.4</v>
      </c>
      <c r="BE68">
        <v>101.166666666667</v>
      </c>
      <c r="BF68">
        <v>101.933333333333</v>
      </c>
      <c r="BG68">
        <v>102.466666666667</v>
      </c>
      <c r="BH68">
        <v>103.933333333333</v>
      </c>
      <c r="BI68">
        <v>104.8</v>
      </c>
      <c r="BJ68">
        <v>105.666666666667</v>
      </c>
      <c r="BK68">
        <v>106.633333333333</v>
      </c>
      <c r="BL68">
        <v>107.133333333333</v>
      </c>
      <c r="BM68">
        <v>108.2</v>
      </c>
      <c r="BN68">
        <v>108.666666666667</v>
      </c>
      <c r="BO68">
        <v>107.933333333333</v>
      </c>
      <c r="BP68">
        <v>108.5</v>
      </c>
      <c r="BQ68">
        <v>109.2</v>
      </c>
      <c r="BR68">
        <v>110.666666666667</v>
      </c>
      <c r="BS68">
        <v>111.966666666667</v>
      </c>
      <c r="BT68">
        <v>113.166666666667</v>
      </c>
      <c r="BU68">
        <v>114.166666666667</v>
      </c>
      <c r="BV68">
        <v>114.933333333333</v>
      </c>
      <c r="BW68">
        <v>116.2</v>
      </c>
      <c r="BX68">
        <v>117.73333333333299</v>
      </c>
      <c r="BY68">
        <v>118.933333333333</v>
      </c>
      <c r="BZ68">
        <v>120.366666666667</v>
      </c>
      <c r="CA68">
        <v>122.4</v>
      </c>
      <c r="CB68">
        <v>123.26666666666701</v>
      </c>
      <c r="CC68">
        <v>124.4</v>
      </c>
      <c r="CD68">
        <v>126.566666666667</v>
      </c>
      <c r="CE68">
        <v>127.666666666667</v>
      </c>
      <c r="CF68">
        <v>129.86666666666699</v>
      </c>
      <c r="CG68">
        <v>132.1</v>
      </c>
      <c r="CH68">
        <v>132.933333333333</v>
      </c>
      <c r="CI68">
        <v>133.73333333333301</v>
      </c>
      <c r="CJ68">
        <v>134.63333333333301</v>
      </c>
      <c r="CK68">
        <v>135.73333333333301</v>
      </c>
      <c r="CL68">
        <v>136.53333333333299</v>
      </c>
      <c r="CM68">
        <v>137.566666666667</v>
      </c>
      <c r="CN68">
        <v>138.69999999999999</v>
      </c>
      <c r="CO68">
        <v>139.80000000000001</v>
      </c>
      <c r="CP68">
        <v>140.76666666666699</v>
      </c>
      <c r="CQ68">
        <v>141.73333333333301</v>
      </c>
      <c r="CR68">
        <v>142.333333333333</v>
      </c>
      <c r="CS68">
        <v>143.433333333333</v>
      </c>
      <c r="CT68">
        <v>144.03333333333299</v>
      </c>
      <c r="CU68">
        <v>144.86666666666699</v>
      </c>
      <c r="CV68">
        <v>146.4</v>
      </c>
      <c r="CW68">
        <v>147.26666666666699</v>
      </c>
      <c r="CX68">
        <v>148.333333333333</v>
      </c>
      <c r="CY68">
        <v>149.5</v>
      </c>
      <c r="CZ68">
        <v>150.166666666667</v>
      </c>
      <c r="DA68">
        <v>151</v>
      </c>
      <c r="DB68">
        <v>152.4</v>
      </c>
      <c r="DC68">
        <v>153.73333333333301</v>
      </c>
      <c r="DD68">
        <v>154.566666666667</v>
      </c>
      <c r="DE68">
        <v>155.86666666666699</v>
      </c>
      <c r="DF68">
        <v>156.80000000000001</v>
      </c>
      <c r="DG68">
        <v>157.1</v>
      </c>
      <c r="DH68">
        <v>157.80000000000001</v>
      </c>
      <c r="DI68">
        <v>158.53333333333299</v>
      </c>
      <c r="DJ68">
        <v>158.73333333333301</v>
      </c>
      <c r="DK68">
        <v>159.19999999999999</v>
      </c>
      <c r="DL68">
        <v>159.96666666666701</v>
      </c>
      <c r="DM68">
        <v>160.76666666666699</v>
      </c>
      <c r="DN68">
        <v>161.36666666666699</v>
      </c>
      <c r="DO68">
        <v>162.53333333333299</v>
      </c>
      <c r="DP68">
        <v>163.9</v>
      </c>
      <c r="DQ68">
        <v>165.2</v>
      </c>
      <c r="DR68">
        <v>166.833333333333</v>
      </c>
      <c r="DS68">
        <v>168.166666666667</v>
      </c>
      <c r="DT68">
        <v>169.7</v>
      </c>
      <c r="DU68">
        <v>170.833333333333</v>
      </c>
      <c r="DV68">
        <v>172.433333333333</v>
      </c>
      <c r="DW68">
        <v>173.73333333333301</v>
      </c>
      <c r="DX68">
        <v>174.1</v>
      </c>
      <c r="DY68">
        <v>173.666666666667</v>
      </c>
      <c r="DZ68">
        <v>174.03333333333299</v>
      </c>
      <c r="EA68">
        <v>175.53333333333299</v>
      </c>
      <c r="EB68">
        <v>176.5</v>
      </c>
      <c r="EC68">
        <v>177.46666666666701</v>
      </c>
      <c r="ED68">
        <v>179.46666666666701</v>
      </c>
      <c r="EE68">
        <v>178.933333333333</v>
      </c>
      <c r="EF68">
        <v>180.2</v>
      </c>
      <c r="EG68">
        <v>180.73333333333301</v>
      </c>
      <c r="EH68">
        <v>182.333333333333</v>
      </c>
      <c r="EI68">
        <v>183.666666666667</v>
      </c>
      <c r="EJ68">
        <v>184.86666666666699</v>
      </c>
      <c r="EK68">
        <v>187.066666666667</v>
      </c>
      <c r="EL68">
        <v>187.933333333333</v>
      </c>
      <c r="EM68">
        <v>189.23333333333301</v>
      </c>
      <c r="EN68">
        <v>192.566666666667</v>
      </c>
      <c r="EO68">
        <v>194.2</v>
      </c>
      <c r="EP68">
        <v>195.13333333333301</v>
      </c>
      <c r="EQ68">
        <v>196.933333333333</v>
      </c>
      <c r="ER68">
        <v>198.8</v>
      </c>
      <c r="ES68">
        <v>197.566666666667</v>
      </c>
      <c r="ET68">
        <v>199.553</v>
      </c>
      <c r="EU68">
        <v>202.077</v>
      </c>
      <c r="EV68">
        <v>203.37</v>
      </c>
      <c r="EW68">
        <v>206.08566666666701</v>
      </c>
      <c r="EX68">
        <v>208.51599999999999</v>
      </c>
      <c r="EY68">
        <v>211.50266666666701</v>
      </c>
      <c r="EZ68">
        <v>215.13</v>
      </c>
      <c r="FA68">
        <v>208.838666666667</v>
      </c>
      <c r="FB68">
        <v>206.94333333333299</v>
      </c>
      <c r="FC68">
        <v>208.39033333333299</v>
      </c>
      <c r="FD68">
        <v>210.69499999999999</v>
      </c>
      <c r="FE68">
        <v>212.63266666666701</v>
      </c>
      <c r="FF68">
        <v>213.23699999999999</v>
      </c>
      <c r="FG68">
        <v>213.15066666666701</v>
      </c>
      <c r="FH68">
        <v>213.82</v>
      </c>
      <c r="FI68">
        <v>215.76400000000001</v>
      </c>
      <c r="FJ68">
        <v>218.41566666666699</v>
      </c>
      <c r="FK68">
        <v>221.28766666666701</v>
      </c>
      <c r="FL68">
        <v>222.738</v>
      </c>
      <c r="FM68">
        <v>223.774666666667</v>
      </c>
      <c r="FN68">
        <v>225.08733333333299</v>
      </c>
      <c r="FO68">
        <v>225.45933333333301</v>
      </c>
      <c r="FP68">
        <v>226.357</v>
      </c>
      <c r="FQ68">
        <v>227.97166666666701</v>
      </c>
      <c r="FR68">
        <v>228.83666666666701</v>
      </c>
      <c r="FS68">
        <v>228.40966666666699</v>
      </c>
      <c r="FT68">
        <v>229.589</v>
      </c>
      <c r="FU68">
        <v>230.43366666666699</v>
      </c>
      <c r="FV68">
        <v>231.95</v>
      </c>
      <c r="FW68">
        <v>233.101333333333</v>
      </c>
      <c r="FX68">
        <v>233.494333333333</v>
      </c>
      <c r="FY68">
        <v>232.43100000000001</v>
      </c>
      <c r="FZ68">
        <v>230.23666666666699</v>
      </c>
      <c r="GA68">
        <v>231.957666666667</v>
      </c>
      <c r="GB68">
        <v>232.69333333333299</v>
      </c>
      <c r="GC68">
        <v>232.280333333333</v>
      </c>
      <c r="GD68">
        <v>231.78100000000001</v>
      </c>
      <c r="GE68">
        <v>233.774</v>
      </c>
      <c r="GF68">
        <v>234.59666666666701</v>
      </c>
      <c r="GG68">
        <v>236.14066666666699</v>
      </c>
      <c r="GH68">
        <v>237.75</v>
      </c>
      <c r="GI68">
        <v>238.030666666667</v>
      </c>
      <c r="GJ68">
        <v>239.2</v>
      </c>
      <c r="GK68">
        <v>241.303666666667</v>
      </c>
      <c r="GL68">
        <v>243.274333333333</v>
      </c>
      <c r="GM68">
        <v>244.81299999999999</v>
      </c>
      <c r="GN68">
        <v>245.79300000000001</v>
      </c>
      <c r="GO68">
        <v>246.68100000000001</v>
      </c>
      <c r="GP68">
        <v>246.76499999999999</v>
      </c>
      <c r="GQ68">
        <v>249.00766666666701</v>
      </c>
      <c r="GR68">
        <v>249.66499999999999</v>
      </c>
      <c r="GS68">
        <v>251.42533333333299</v>
      </c>
      <c r="GT68">
        <v>251.88533333333299</v>
      </c>
      <c r="GU68">
        <v>249.57599999999999</v>
      </c>
      <c r="GV68">
        <v>253.01366666666701</v>
      </c>
      <c r="GW68">
        <v>254.68033333333301</v>
      </c>
      <c r="GX68">
        <v>257.350666666667</v>
      </c>
      <c r="GY68">
        <v>263.125333333333</v>
      </c>
      <c r="GZ68">
        <v>267.85533333333302</v>
      </c>
    </row>
    <row r="69" spans="1:208" x14ac:dyDescent="0.35">
      <c r="A69" t="s">
        <v>958</v>
      </c>
      <c r="B69">
        <v>4942.2</v>
      </c>
      <c r="C69">
        <v>4983.3999999999996</v>
      </c>
      <c r="D69">
        <v>5023.3</v>
      </c>
      <c r="E69">
        <v>5062.2</v>
      </c>
      <c r="F69">
        <v>5101.1000000000004</v>
      </c>
      <c r="G69">
        <v>5140.8</v>
      </c>
      <c r="H69">
        <v>5181</v>
      </c>
      <c r="I69">
        <v>5221.8999999999996</v>
      </c>
      <c r="J69">
        <v>5263.6</v>
      </c>
      <c r="K69">
        <v>5305.9</v>
      </c>
      <c r="L69">
        <v>5348.8</v>
      </c>
      <c r="M69">
        <v>5392.4</v>
      </c>
      <c r="N69">
        <v>5437</v>
      </c>
      <c r="O69">
        <v>5483.8</v>
      </c>
      <c r="P69">
        <v>5531.1</v>
      </c>
      <c r="Q69">
        <v>5579.5</v>
      </c>
      <c r="R69">
        <v>5628.5</v>
      </c>
      <c r="S69">
        <v>5677.8</v>
      </c>
      <c r="T69">
        <v>5726.5</v>
      </c>
      <c r="U69">
        <v>5774.5</v>
      </c>
      <c r="V69">
        <v>5821.2</v>
      </c>
      <c r="W69">
        <v>5866.9</v>
      </c>
      <c r="X69">
        <v>5912.2</v>
      </c>
      <c r="Y69">
        <v>5957.5</v>
      </c>
      <c r="Z69">
        <v>6002.8</v>
      </c>
      <c r="AA69">
        <v>6048.8</v>
      </c>
      <c r="AB69">
        <v>6096.3</v>
      </c>
      <c r="AC69">
        <v>6144.6</v>
      </c>
      <c r="AD69">
        <v>6194.4</v>
      </c>
      <c r="AE69">
        <v>6245.4</v>
      </c>
      <c r="AF69">
        <v>6297.2</v>
      </c>
      <c r="AG69">
        <v>6350.4</v>
      </c>
      <c r="AH69">
        <v>6404.9</v>
      </c>
      <c r="AI69">
        <v>6460.6</v>
      </c>
      <c r="AJ69">
        <v>6517.8</v>
      </c>
      <c r="AK69">
        <v>6576</v>
      </c>
      <c r="AL69">
        <v>6635.8</v>
      </c>
      <c r="AM69">
        <v>6693.6</v>
      </c>
      <c r="AN69">
        <v>6748.6</v>
      </c>
      <c r="AO69">
        <v>6800.1</v>
      </c>
      <c r="AP69">
        <v>6847.5</v>
      </c>
      <c r="AQ69">
        <v>6890.1</v>
      </c>
      <c r="AR69">
        <v>6928.1</v>
      </c>
      <c r="AS69">
        <v>6968</v>
      </c>
      <c r="AT69">
        <v>7012.1</v>
      </c>
      <c r="AU69">
        <v>7059.3</v>
      </c>
      <c r="AV69">
        <v>7109.1</v>
      </c>
      <c r="AW69">
        <v>7161.4</v>
      </c>
      <c r="AX69">
        <v>7215.7</v>
      </c>
      <c r="AY69">
        <v>7271.2</v>
      </c>
      <c r="AZ69">
        <v>7327.8</v>
      </c>
      <c r="BA69">
        <v>7385.4</v>
      </c>
      <c r="BB69">
        <v>7443</v>
      </c>
      <c r="BC69">
        <v>7501.9</v>
      </c>
      <c r="BD69">
        <v>7562.5</v>
      </c>
      <c r="BE69">
        <v>7625.6</v>
      </c>
      <c r="BF69">
        <v>7691.2</v>
      </c>
      <c r="BG69">
        <v>7759.3</v>
      </c>
      <c r="BH69">
        <v>7829</v>
      </c>
      <c r="BI69">
        <v>7899.9</v>
      </c>
      <c r="BJ69">
        <v>7971.2</v>
      </c>
      <c r="BK69">
        <v>8042.9</v>
      </c>
      <c r="BL69">
        <v>8114.7</v>
      </c>
      <c r="BM69">
        <v>8185.9</v>
      </c>
      <c r="BN69">
        <v>8256.6</v>
      </c>
      <c r="BO69">
        <v>8326.9</v>
      </c>
      <c r="BP69">
        <v>8397.1</v>
      </c>
      <c r="BQ69">
        <v>8467</v>
      </c>
      <c r="BR69">
        <v>8536.4</v>
      </c>
      <c r="BS69">
        <v>8605.2000000000007</v>
      </c>
      <c r="BT69">
        <v>8673.5</v>
      </c>
      <c r="BU69">
        <v>8741.7999999999993</v>
      </c>
      <c r="BV69">
        <v>8809.4</v>
      </c>
      <c r="BW69">
        <v>8877.1</v>
      </c>
      <c r="BX69">
        <v>8944.4</v>
      </c>
      <c r="BY69">
        <v>9011.7999999999993</v>
      </c>
      <c r="BZ69">
        <v>9078.7999999999993</v>
      </c>
      <c r="CA69">
        <v>9145.6</v>
      </c>
      <c r="CB69">
        <v>9212.2000000000007</v>
      </c>
      <c r="CC69">
        <v>9278.6</v>
      </c>
      <c r="CD69">
        <v>9344.2999999999993</v>
      </c>
      <c r="CE69">
        <v>9409.5</v>
      </c>
      <c r="CF69">
        <v>9473.4</v>
      </c>
      <c r="CG69">
        <v>9535.7999999999993</v>
      </c>
      <c r="CH69">
        <v>9597.4</v>
      </c>
      <c r="CI69">
        <v>9657.7999999999993</v>
      </c>
      <c r="CJ69">
        <v>9717.7000000000007</v>
      </c>
      <c r="CK69">
        <v>9777.7999999999993</v>
      </c>
      <c r="CL69">
        <v>9838.1</v>
      </c>
      <c r="CM69">
        <v>9899.4</v>
      </c>
      <c r="CN69">
        <v>9962.2000000000007</v>
      </c>
      <c r="CO69">
        <v>10025.9</v>
      </c>
      <c r="CP69">
        <v>10090.700000000001</v>
      </c>
      <c r="CQ69">
        <v>10157</v>
      </c>
      <c r="CR69">
        <v>10224.299999999999</v>
      </c>
      <c r="CS69">
        <v>10292.6</v>
      </c>
      <c r="CT69">
        <v>10361.5</v>
      </c>
      <c r="CU69">
        <v>10431</v>
      </c>
      <c r="CV69">
        <v>10501.8</v>
      </c>
      <c r="CW69">
        <v>10573.4</v>
      </c>
      <c r="CX69">
        <v>10645.6</v>
      </c>
      <c r="CY69">
        <v>10718.7</v>
      </c>
      <c r="CZ69">
        <v>10792.5</v>
      </c>
      <c r="DA69">
        <v>10868</v>
      </c>
      <c r="DB69">
        <v>10944.9</v>
      </c>
      <c r="DC69">
        <v>11026.5</v>
      </c>
      <c r="DD69">
        <v>11113.8</v>
      </c>
      <c r="DE69">
        <v>11206.7</v>
      </c>
      <c r="DF69">
        <v>11304.9</v>
      </c>
      <c r="DG69">
        <v>11407.8</v>
      </c>
      <c r="DH69">
        <v>11515.8</v>
      </c>
      <c r="DI69">
        <v>11627.7</v>
      </c>
      <c r="DJ69">
        <v>11743.2</v>
      </c>
      <c r="DK69">
        <v>11862.3</v>
      </c>
      <c r="DL69">
        <v>11983.8</v>
      </c>
      <c r="DM69">
        <v>12107.5</v>
      </c>
      <c r="DN69">
        <v>12233.9</v>
      </c>
      <c r="DO69">
        <v>12361.8</v>
      </c>
      <c r="DP69">
        <v>12491.8</v>
      </c>
      <c r="DQ69">
        <v>12624</v>
      </c>
      <c r="DR69">
        <v>12757.5</v>
      </c>
      <c r="DS69">
        <v>12888.3</v>
      </c>
      <c r="DT69">
        <v>13014.4</v>
      </c>
      <c r="DU69">
        <v>13134.8</v>
      </c>
      <c r="DV69">
        <v>13249.5</v>
      </c>
      <c r="DW69">
        <v>13358.1</v>
      </c>
      <c r="DX69">
        <v>13461</v>
      </c>
      <c r="DY69">
        <v>13558.2</v>
      </c>
      <c r="DZ69">
        <v>13650.7</v>
      </c>
      <c r="EA69">
        <v>13739.9</v>
      </c>
      <c r="EB69">
        <v>13826.9</v>
      </c>
      <c r="EC69">
        <v>13912.8</v>
      </c>
      <c r="ED69">
        <v>13998.3</v>
      </c>
      <c r="EE69">
        <v>14084.6</v>
      </c>
      <c r="EF69">
        <v>14171.3</v>
      </c>
      <c r="EG69">
        <v>14259.3</v>
      </c>
      <c r="EH69">
        <v>14349.4</v>
      </c>
      <c r="EI69">
        <v>14441.3</v>
      </c>
      <c r="EJ69">
        <v>14535.5</v>
      </c>
      <c r="EK69">
        <v>14631.1</v>
      </c>
      <c r="EL69">
        <v>14725.1</v>
      </c>
      <c r="EM69">
        <v>14816.5</v>
      </c>
      <c r="EN69">
        <v>14906.4</v>
      </c>
      <c r="EO69">
        <v>14994.3</v>
      </c>
      <c r="EP69">
        <v>15079.8</v>
      </c>
      <c r="EQ69">
        <v>15163.2</v>
      </c>
      <c r="ER69">
        <v>15243</v>
      </c>
      <c r="ES69">
        <v>15319</v>
      </c>
      <c r="ET69">
        <v>15394.6</v>
      </c>
      <c r="EU69">
        <v>15470.2</v>
      </c>
      <c r="EV69">
        <v>15546.4</v>
      </c>
      <c r="EW69">
        <v>15622</v>
      </c>
      <c r="EX69">
        <v>15696.8</v>
      </c>
      <c r="EY69">
        <v>15769.3</v>
      </c>
      <c r="EZ69">
        <v>15838.1</v>
      </c>
      <c r="FA69">
        <v>15903</v>
      </c>
      <c r="FB69">
        <v>15962.6</v>
      </c>
      <c r="FC69">
        <v>16018.4</v>
      </c>
      <c r="FD69">
        <v>16070.9</v>
      </c>
      <c r="FE69">
        <v>16122.2</v>
      </c>
      <c r="FF69">
        <v>16173.8</v>
      </c>
      <c r="FG69">
        <v>16227.2</v>
      </c>
      <c r="FH69">
        <v>16283.3</v>
      </c>
      <c r="FI69">
        <v>16341.6</v>
      </c>
      <c r="FJ69">
        <v>16402.400000000001</v>
      </c>
      <c r="FK69">
        <v>16465.5</v>
      </c>
      <c r="FL69">
        <v>16531</v>
      </c>
      <c r="FM69">
        <v>16598.2</v>
      </c>
      <c r="FN69">
        <v>16667</v>
      </c>
      <c r="FO69">
        <v>16737.8</v>
      </c>
      <c r="FP69">
        <v>16810.099999999999</v>
      </c>
      <c r="FQ69">
        <v>16883.7</v>
      </c>
      <c r="FR69">
        <v>16958.3</v>
      </c>
      <c r="FS69">
        <v>17034.099999999999</v>
      </c>
      <c r="FT69">
        <v>17110.5</v>
      </c>
      <c r="FU69">
        <v>17187.900000000001</v>
      </c>
      <c r="FV69">
        <v>17266.3</v>
      </c>
      <c r="FW69">
        <v>17345.599999999999</v>
      </c>
      <c r="FX69">
        <v>17426.099999999999</v>
      </c>
      <c r="FY69">
        <v>17507.2</v>
      </c>
      <c r="FZ69">
        <v>17588.400000000001</v>
      </c>
      <c r="GA69">
        <v>17669.599999999999</v>
      </c>
      <c r="GB69">
        <v>17750</v>
      </c>
      <c r="GC69">
        <v>17829</v>
      </c>
      <c r="GD69">
        <v>17906.900000000001</v>
      </c>
      <c r="GE69">
        <v>17983.7</v>
      </c>
      <c r="GF69">
        <v>18059.3</v>
      </c>
      <c r="GG69">
        <v>18134.2</v>
      </c>
      <c r="GH69">
        <v>18209.5</v>
      </c>
      <c r="GI69">
        <v>18284.5</v>
      </c>
      <c r="GJ69">
        <v>18362.099999999999</v>
      </c>
      <c r="GK69">
        <v>18441.599999999999</v>
      </c>
      <c r="GL69">
        <v>18523.900000000001</v>
      </c>
      <c r="GM69">
        <v>18609.599999999999</v>
      </c>
      <c r="GN69">
        <v>18698.099999999999</v>
      </c>
      <c r="GO69">
        <v>18787.900000000001</v>
      </c>
      <c r="GP69">
        <v>18879</v>
      </c>
      <c r="GQ69">
        <v>18971.400000000001</v>
      </c>
      <c r="GR69">
        <v>19064.099999999999</v>
      </c>
      <c r="GS69">
        <v>19157.099999999999</v>
      </c>
      <c r="GT69">
        <v>19250.2</v>
      </c>
      <c r="GU69">
        <v>19340.2</v>
      </c>
      <c r="GV69">
        <v>19424.2</v>
      </c>
      <c r="GW69">
        <v>19512</v>
      </c>
      <c r="GX69">
        <v>19602.5</v>
      </c>
      <c r="GY69">
        <v>19697.400000000001</v>
      </c>
      <c r="GZ69">
        <v>19795.8</v>
      </c>
    </row>
    <row r="70" spans="1:208" x14ac:dyDescent="0.35">
      <c r="A70" t="s">
        <v>959</v>
      </c>
      <c r="B70">
        <v>1052.4000000000001</v>
      </c>
      <c r="C70">
        <v>1076</v>
      </c>
      <c r="D70">
        <v>1093.5</v>
      </c>
      <c r="E70">
        <v>1116.5</v>
      </c>
      <c r="F70">
        <v>1142.2</v>
      </c>
      <c r="G70">
        <v>1166.2</v>
      </c>
      <c r="H70">
        <v>1187.3</v>
      </c>
      <c r="I70">
        <v>1206.5999999999999</v>
      </c>
      <c r="J70">
        <v>1234.7</v>
      </c>
      <c r="K70">
        <v>1252.4000000000001</v>
      </c>
      <c r="L70">
        <v>1274.7</v>
      </c>
      <c r="M70">
        <v>1301.4000000000001</v>
      </c>
      <c r="N70">
        <v>1327.3</v>
      </c>
      <c r="O70">
        <v>1359.3</v>
      </c>
      <c r="P70">
        <v>1397.7</v>
      </c>
      <c r="Q70">
        <v>1438</v>
      </c>
      <c r="R70">
        <v>1478</v>
      </c>
      <c r="S70">
        <v>1526.2</v>
      </c>
      <c r="T70">
        <v>1584.4</v>
      </c>
      <c r="U70">
        <v>1644.7</v>
      </c>
      <c r="V70">
        <v>1695.6</v>
      </c>
      <c r="W70">
        <v>1734.4</v>
      </c>
      <c r="X70">
        <v>1778.6</v>
      </c>
      <c r="Y70">
        <v>1822.2</v>
      </c>
      <c r="Z70">
        <v>1855.5</v>
      </c>
      <c r="AA70">
        <v>1888.6</v>
      </c>
      <c r="AB70">
        <v>1928</v>
      </c>
      <c r="AC70">
        <v>1978.1</v>
      </c>
      <c r="AD70">
        <v>2026.2</v>
      </c>
      <c r="AE70">
        <v>2071.6999999999998</v>
      </c>
      <c r="AF70">
        <v>2114.4</v>
      </c>
      <c r="AG70">
        <v>2178.3000000000002</v>
      </c>
      <c r="AH70">
        <v>2229</v>
      </c>
      <c r="AI70">
        <v>2291.1999999999998</v>
      </c>
      <c r="AJ70">
        <v>2350.9</v>
      </c>
      <c r="AK70">
        <v>2420.3000000000002</v>
      </c>
      <c r="AL70">
        <v>2486.9</v>
      </c>
      <c r="AM70">
        <v>2569.9</v>
      </c>
      <c r="AN70">
        <v>2647.7</v>
      </c>
      <c r="AO70">
        <v>2717.5</v>
      </c>
      <c r="AP70">
        <v>2793.8</v>
      </c>
      <c r="AQ70">
        <v>2878.2</v>
      </c>
      <c r="AR70">
        <v>2958.7</v>
      </c>
      <c r="AS70">
        <v>3053.3</v>
      </c>
      <c r="AT70">
        <v>3153.5</v>
      </c>
      <c r="AU70">
        <v>3237.6</v>
      </c>
      <c r="AV70">
        <v>3321.8</v>
      </c>
      <c r="AW70">
        <v>3404.1</v>
      </c>
      <c r="AX70">
        <v>3477.1</v>
      </c>
      <c r="AY70">
        <v>3549.4</v>
      </c>
      <c r="AZ70">
        <v>3627.7</v>
      </c>
      <c r="BA70">
        <v>3694.2</v>
      </c>
      <c r="BB70">
        <v>3751</v>
      </c>
      <c r="BC70">
        <v>3808.7</v>
      </c>
      <c r="BD70">
        <v>3880.4</v>
      </c>
      <c r="BE70">
        <v>3942.4</v>
      </c>
      <c r="BF70">
        <v>4016.6</v>
      </c>
      <c r="BG70">
        <v>4086.8</v>
      </c>
      <c r="BH70">
        <v>4160.2</v>
      </c>
      <c r="BI70">
        <v>4229.3</v>
      </c>
      <c r="BJ70">
        <v>4309.7</v>
      </c>
      <c r="BK70">
        <v>4376.3999999999996</v>
      </c>
      <c r="BL70">
        <v>4442.1000000000004</v>
      </c>
      <c r="BM70">
        <v>4506.1000000000004</v>
      </c>
      <c r="BN70">
        <v>4567.6000000000004</v>
      </c>
      <c r="BO70">
        <v>4623.8999999999996</v>
      </c>
      <c r="BP70">
        <v>4682.1000000000004</v>
      </c>
      <c r="BQ70">
        <v>4746.7</v>
      </c>
      <c r="BR70">
        <v>4816.1000000000004</v>
      </c>
      <c r="BS70">
        <v>4888.5</v>
      </c>
      <c r="BT70">
        <v>4964.7</v>
      </c>
      <c r="BU70">
        <v>5043.5</v>
      </c>
      <c r="BV70">
        <v>5122.5</v>
      </c>
      <c r="BW70">
        <v>5212</v>
      </c>
      <c r="BX70">
        <v>5314.3</v>
      </c>
      <c r="BY70">
        <v>5400.6</v>
      </c>
      <c r="BZ70">
        <v>5497.5</v>
      </c>
      <c r="CA70">
        <v>5597</v>
      </c>
      <c r="CB70">
        <v>5678.9</v>
      </c>
      <c r="CC70">
        <v>5760.6</v>
      </c>
      <c r="CD70">
        <v>5863.9</v>
      </c>
      <c r="CE70">
        <v>5970.9</v>
      </c>
      <c r="CF70">
        <v>6063</v>
      </c>
      <c r="CG70">
        <v>6148.4</v>
      </c>
      <c r="CH70">
        <v>6248.7</v>
      </c>
      <c r="CI70">
        <v>6334.3</v>
      </c>
      <c r="CJ70">
        <v>6423.3</v>
      </c>
      <c r="CK70">
        <v>6501.3</v>
      </c>
      <c r="CL70">
        <v>6565.9</v>
      </c>
      <c r="CM70">
        <v>6646.5</v>
      </c>
      <c r="CN70">
        <v>6721.3</v>
      </c>
      <c r="CO70">
        <v>6810.8</v>
      </c>
      <c r="CP70">
        <v>6893.2</v>
      </c>
      <c r="CQ70">
        <v>6979.8</v>
      </c>
      <c r="CR70">
        <v>7067.8</v>
      </c>
      <c r="CS70">
        <v>7153.8</v>
      </c>
      <c r="CT70">
        <v>7236.2</v>
      </c>
      <c r="CU70">
        <v>7319.9</v>
      </c>
      <c r="CV70">
        <v>7411.8</v>
      </c>
      <c r="CW70">
        <v>7502.9</v>
      </c>
      <c r="CX70">
        <v>7595.1</v>
      </c>
      <c r="CY70">
        <v>7684</v>
      </c>
      <c r="CZ70">
        <v>7774.9</v>
      </c>
      <c r="DA70">
        <v>7867.1</v>
      </c>
      <c r="DB70">
        <v>7960.9</v>
      </c>
      <c r="DC70">
        <v>8053.4</v>
      </c>
      <c r="DD70">
        <v>8143.7</v>
      </c>
      <c r="DE70">
        <v>8255.7000000000007</v>
      </c>
      <c r="DF70">
        <v>8377.7000000000007</v>
      </c>
      <c r="DG70">
        <v>8471.1</v>
      </c>
      <c r="DH70">
        <v>8588.4</v>
      </c>
      <c r="DI70">
        <v>8700.2999999999993</v>
      </c>
      <c r="DJ70">
        <v>8799.6</v>
      </c>
      <c r="DK70">
        <v>8909.7999999999993</v>
      </c>
      <c r="DL70">
        <v>9039.7999999999993</v>
      </c>
      <c r="DM70">
        <v>9158.2000000000007</v>
      </c>
      <c r="DN70">
        <v>9288.7000000000007</v>
      </c>
      <c r="DO70">
        <v>9419.9</v>
      </c>
      <c r="DP70">
        <v>9551.5</v>
      </c>
      <c r="DQ70">
        <v>9704.5</v>
      </c>
      <c r="DR70">
        <v>9873.9</v>
      </c>
      <c r="DS70">
        <v>10035.5</v>
      </c>
      <c r="DT70">
        <v>10191.4</v>
      </c>
      <c r="DU70">
        <v>10340</v>
      </c>
      <c r="DV70">
        <v>10494.1</v>
      </c>
      <c r="DW70">
        <v>10644.1</v>
      </c>
      <c r="DX70">
        <v>10769.2</v>
      </c>
      <c r="DY70">
        <v>10882.9</v>
      </c>
      <c r="DZ70">
        <v>10993.3</v>
      </c>
      <c r="EA70">
        <v>11104.7</v>
      </c>
      <c r="EB70">
        <v>11226.6</v>
      </c>
      <c r="EC70">
        <v>11360.4</v>
      </c>
      <c r="ED70">
        <v>11482</v>
      </c>
      <c r="EE70">
        <v>11586.9</v>
      </c>
      <c r="EF70">
        <v>11721.3</v>
      </c>
      <c r="EG70">
        <v>11863.9</v>
      </c>
      <c r="EH70">
        <v>12027.7</v>
      </c>
      <c r="EI70">
        <v>12203.5</v>
      </c>
      <c r="EJ70">
        <v>12363.2</v>
      </c>
      <c r="EK70">
        <v>12540.5</v>
      </c>
      <c r="EL70">
        <v>12721.1</v>
      </c>
      <c r="EM70">
        <v>12889.7</v>
      </c>
      <c r="EN70">
        <v>13085.3</v>
      </c>
      <c r="EO70">
        <v>13268.4</v>
      </c>
      <c r="EP70">
        <v>13437.1</v>
      </c>
      <c r="EQ70">
        <v>13624.5</v>
      </c>
      <c r="ER70">
        <v>13792</v>
      </c>
      <c r="ES70">
        <v>13912</v>
      </c>
      <c r="ET70">
        <v>14118.1</v>
      </c>
      <c r="EU70">
        <v>14279.2</v>
      </c>
      <c r="EV70">
        <v>14423.4</v>
      </c>
      <c r="EW70">
        <v>14551.1</v>
      </c>
      <c r="EX70">
        <v>14674.8</v>
      </c>
      <c r="EY70">
        <v>14821.6</v>
      </c>
      <c r="EZ70">
        <v>14997.2</v>
      </c>
      <c r="FA70">
        <v>15105.6</v>
      </c>
      <c r="FB70">
        <v>15160.7</v>
      </c>
      <c r="FC70">
        <v>15191.5</v>
      </c>
      <c r="FD70">
        <v>15257.4</v>
      </c>
      <c r="FE70">
        <v>15357.7</v>
      </c>
      <c r="FF70">
        <v>15446</v>
      </c>
      <c r="FG70">
        <v>15568.9</v>
      </c>
      <c r="FH70">
        <v>15668.1</v>
      </c>
      <c r="FI70">
        <v>15812.7</v>
      </c>
      <c r="FJ70">
        <v>15956.6</v>
      </c>
      <c r="FK70">
        <v>16123.3</v>
      </c>
      <c r="FL70">
        <v>16291.9</v>
      </c>
      <c r="FM70">
        <v>16382.9</v>
      </c>
      <c r="FN70">
        <v>16553.8</v>
      </c>
      <c r="FO70">
        <v>16689.8</v>
      </c>
      <c r="FP70">
        <v>16848</v>
      </c>
      <c r="FQ70">
        <v>17008.2</v>
      </c>
      <c r="FR70">
        <v>17151.400000000001</v>
      </c>
      <c r="FS70">
        <v>17277.8</v>
      </c>
      <c r="FT70">
        <v>17438.5</v>
      </c>
      <c r="FU70">
        <v>17620.599999999999</v>
      </c>
      <c r="FV70">
        <v>17773.5</v>
      </c>
      <c r="FW70">
        <v>17954.7</v>
      </c>
      <c r="FX70">
        <v>18115.7</v>
      </c>
      <c r="FY70">
        <v>18229.099999999999</v>
      </c>
      <c r="FZ70">
        <v>18297.400000000001</v>
      </c>
      <c r="GA70">
        <v>18481.8</v>
      </c>
      <c r="GB70">
        <v>18624.400000000001</v>
      </c>
      <c r="GC70">
        <v>18709.3</v>
      </c>
      <c r="GD70">
        <v>18778</v>
      </c>
      <c r="GE70">
        <v>18989.400000000001</v>
      </c>
      <c r="GF70">
        <v>19133.900000000001</v>
      </c>
      <c r="GG70">
        <v>19307.3</v>
      </c>
      <c r="GH70">
        <v>19485.900000000001</v>
      </c>
      <c r="GI70">
        <v>19626.5</v>
      </c>
      <c r="GJ70">
        <v>19807.599999999999</v>
      </c>
      <c r="GK70">
        <v>20027.3</v>
      </c>
      <c r="GL70">
        <v>20235</v>
      </c>
      <c r="GM70">
        <v>20503.3</v>
      </c>
      <c r="GN70">
        <v>20682.7</v>
      </c>
      <c r="GO70">
        <v>20881.099999999999</v>
      </c>
      <c r="GP70">
        <v>21035.8</v>
      </c>
      <c r="GQ70">
        <v>21274.7</v>
      </c>
      <c r="GR70">
        <v>21452.9</v>
      </c>
      <c r="GS70">
        <v>21638</v>
      </c>
      <c r="GT70">
        <v>21832.6</v>
      </c>
      <c r="GU70">
        <v>21819</v>
      </c>
      <c r="GV70">
        <v>22112.5</v>
      </c>
      <c r="GW70">
        <v>22315.4</v>
      </c>
      <c r="GX70">
        <v>22645</v>
      </c>
      <c r="GY70">
        <v>22983.3</v>
      </c>
      <c r="GZ70">
        <v>23233.1</v>
      </c>
    </row>
    <row r="71" spans="1:208" x14ac:dyDescent="0.35">
      <c r="A71" t="s">
        <v>960</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c r="BO71">
        <v>-1</v>
      </c>
      <c r="BP71">
        <v>-1</v>
      </c>
      <c r="BQ71">
        <v>-1</v>
      </c>
      <c r="BR71">
        <v>-1</v>
      </c>
      <c r="BS71">
        <v>-1</v>
      </c>
      <c r="BT71">
        <v>-1</v>
      </c>
      <c r="BU71">
        <v>-1</v>
      </c>
      <c r="BV71">
        <v>-1</v>
      </c>
      <c r="BW71">
        <v>-1</v>
      </c>
      <c r="BX71">
        <v>-1</v>
      </c>
      <c r="BY71">
        <v>-1</v>
      </c>
      <c r="BZ71">
        <v>-1</v>
      </c>
      <c r="CA71">
        <v>-1</v>
      </c>
      <c r="CB71">
        <v>-1</v>
      </c>
      <c r="CC71">
        <v>-1</v>
      </c>
      <c r="CD71">
        <v>-1</v>
      </c>
      <c r="CE71">
        <v>-1</v>
      </c>
      <c r="CF71">
        <v>1</v>
      </c>
      <c r="CG71">
        <v>1</v>
      </c>
      <c r="CH71">
        <v>1</v>
      </c>
      <c r="CI71">
        <v>-1</v>
      </c>
      <c r="CJ71">
        <v>-1</v>
      </c>
      <c r="CK71">
        <v>-1</v>
      </c>
      <c r="CL71">
        <v>-1</v>
      </c>
      <c r="CM71">
        <v>-1</v>
      </c>
      <c r="CN71">
        <v>-1</v>
      </c>
      <c r="CO71">
        <v>-1</v>
      </c>
      <c r="CP71">
        <v>-1</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c r="GH71">
        <v>-1</v>
      </c>
      <c r="GI71">
        <v>-1</v>
      </c>
      <c r="GJ71">
        <v>-1</v>
      </c>
      <c r="GK71">
        <v>-1</v>
      </c>
      <c r="GL71">
        <v>-1</v>
      </c>
      <c r="GM71">
        <v>-1</v>
      </c>
      <c r="GN71">
        <v>-1</v>
      </c>
      <c r="GO71">
        <v>-1</v>
      </c>
      <c r="GP71">
        <v>-1</v>
      </c>
      <c r="GQ71">
        <v>-1</v>
      </c>
      <c r="GR71">
        <v>-1</v>
      </c>
      <c r="GS71">
        <v>1</v>
      </c>
      <c r="GT71">
        <v>1</v>
      </c>
      <c r="GU71">
        <v>1</v>
      </c>
      <c r="GV71">
        <v>-1</v>
      </c>
      <c r="GW71">
        <v>-1</v>
      </c>
      <c r="GX71">
        <v>-1</v>
      </c>
      <c r="GY71">
        <v>-1</v>
      </c>
      <c r="GZ71">
        <v>-1</v>
      </c>
    </row>
    <row r="72" spans="1:208" x14ac:dyDescent="0.35">
      <c r="A72" t="s">
        <v>540</v>
      </c>
      <c r="B72">
        <v>2613.3333333333298</v>
      </c>
      <c r="C72">
        <v>2648.3333333333298</v>
      </c>
      <c r="D72">
        <v>2681.6666666666702</v>
      </c>
      <c r="E72">
        <v>2716.3333333333298</v>
      </c>
      <c r="F72">
        <v>2719.3333333333298</v>
      </c>
      <c r="G72">
        <v>2739.6666666666702</v>
      </c>
      <c r="H72">
        <v>2751.6666666666702</v>
      </c>
      <c r="I72">
        <v>2781</v>
      </c>
      <c r="J72">
        <v>2815</v>
      </c>
      <c r="K72">
        <v>2849</v>
      </c>
      <c r="L72">
        <v>2874</v>
      </c>
      <c r="M72">
        <v>2901.3333333333298</v>
      </c>
      <c r="N72">
        <v>2899.6666666666702</v>
      </c>
      <c r="O72">
        <v>2911.6666666666702</v>
      </c>
      <c r="P72">
        <v>2926.3333333333298</v>
      </c>
      <c r="Q72">
        <v>2953.3333333333298</v>
      </c>
      <c r="R72">
        <v>2988.6666666666702</v>
      </c>
      <c r="S72">
        <v>3018</v>
      </c>
      <c r="T72">
        <v>3048.3333333333298</v>
      </c>
      <c r="U72">
        <v>3099</v>
      </c>
      <c r="V72">
        <v>3161.6666666666702</v>
      </c>
      <c r="W72">
        <v>3177.3333333333298</v>
      </c>
      <c r="X72">
        <v>3178</v>
      </c>
      <c r="Y72">
        <v>3197.3333333333298</v>
      </c>
      <c r="Z72">
        <v>3214.3333333333298</v>
      </c>
      <c r="AA72">
        <v>3241.6666666666702</v>
      </c>
      <c r="AB72">
        <v>3290.6666666666702</v>
      </c>
      <c r="AC72">
        <v>3342</v>
      </c>
      <c r="AD72">
        <v>3341.3333333333298</v>
      </c>
      <c r="AE72">
        <v>3374.6666666666702</v>
      </c>
      <c r="AF72">
        <v>3385</v>
      </c>
      <c r="AG72">
        <v>3404.6666666666702</v>
      </c>
      <c r="AH72">
        <v>3442.3333333333298</v>
      </c>
      <c r="AI72">
        <v>3479</v>
      </c>
      <c r="AJ72">
        <v>3477.3333333333298</v>
      </c>
      <c r="AK72">
        <v>3494</v>
      </c>
      <c r="AL72">
        <v>3504.3333333333298</v>
      </c>
      <c r="AM72">
        <v>3518</v>
      </c>
      <c r="AN72">
        <v>3560.6666666666702</v>
      </c>
      <c r="AO72">
        <v>3579.3333333333298</v>
      </c>
      <c r="AP72">
        <v>3582</v>
      </c>
      <c r="AQ72">
        <v>3602.6666666666702</v>
      </c>
      <c r="AR72">
        <v>3624</v>
      </c>
      <c r="AS72">
        <v>3630.6666666666702</v>
      </c>
      <c r="AT72">
        <v>3636</v>
      </c>
      <c r="AU72">
        <v>3631.6666666666702</v>
      </c>
      <c r="AV72">
        <v>3640</v>
      </c>
      <c r="AW72">
        <v>3653</v>
      </c>
      <c r="AX72">
        <v>3645.6666666666702</v>
      </c>
      <c r="AY72">
        <v>3647.3333333333298</v>
      </c>
      <c r="AZ72">
        <v>3625.6666666666702</v>
      </c>
      <c r="BA72">
        <v>3640.3333333333298</v>
      </c>
      <c r="BB72">
        <v>3650.3333333333298</v>
      </c>
      <c r="BC72">
        <v>3656</v>
      </c>
      <c r="BD72">
        <v>3671.3333333333298</v>
      </c>
      <c r="BE72">
        <v>3671.6666666666702</v>
      </c>
      <c r="BF72">
        <v>3687</v>
      </c>
      <c r="BG72">
        <v>3720</v>
      </c>
      <c r="BH72">
        <v>3758</v>
      </c>
      <c r="BI72">
        <v>3773</v>
      </c>
      <c r="BJ72">
        <v>3798.3333333333298</v>
      </c>
      <c r="BK72">
        <v>3819.3333333333298</v>
      </c>
      <c r="BL72">
        <v>3844.3333333333298</v>
      </c>
      <c r="BM72">
        <v>3864.3333333333298</v>
      </c>
      <c r="BN72">
        <v>3872.3333333333298</v>
      </c>
      <c r="BO72">
        <v>3883</v>
      </c>
      <c r="BP72">
        <v>3889.3333333333298</v>
      </c>
      <c r="BQ72">
        <v>3926.6666666666702</v>
      </c>
      <c r="BR72">
        <v>3943.6666666666702</v>
      </c>
      <c r="BS72">
        <v>3953</v>
      </c>
      <c r="BT72">
        <v>3969</v>
      </c>
      <c r="BU72">
        <v>4000.6666666666702</v>
      </c>
      <c r="BV72">
        <v>4030.6666666666702</v>
      </c>
      <c r="BW72">
        <v>4065.3333333333298</v>
      </c>
      <c r="BX72">
        <v>4094.3333333333298</v>
      </c>
      <c r="BY72">
        <v>4114.6666666666697</v>
      </c>
      <c r="BZ72">
        <v>4135.6666666666697</v>
      </c>
      <c r="CA72">
        <v>4169</v>
      </c>
      <c r="CB72">
        <v>4201.3333333333303</v>
      </c>
      <c r="CC72">
        <v>4221</v>
      </c>
      <c r="CD72">
        <v>4258</v>
      </c>
      <c r="CE72">
        <v>4295.6666666666697</v>
      </c>
      <c r="CF72">
        <v>4322.6666666666697</v>
      </c>
      <c r="CG72">
        <v>4342.6666666666697</v>
      </c>
      <c r="CH72">
        <v>4358</v>
      </c>
      <c r="CI72">
        <v>4362.3333333333303</v>
      </c>
      <c r="CJ72">
        <v>4345</v>
      </c>
      <c r="CK72">
        <v>4354.3333333333303</v>
      </c>
      <c r="CL72">
        <v>4372</v>
      </c>
      <c r="CM72">
        <v>4395.6666666666697</v>
      </c>
      <c r="CN72">
        <v>4425.3333333333303</v>
      </c>
      <c r="CO72">
        <v>4438</v>
      </c>
      <c r="CP72">
        <v>4456</v>
      </c>
      <c r="CQ72">
        <v>4478</v>
      </c>
      <c r="CR72">
        <v>4496</v>
      </c>
      <c r="CS72">
        <v>4515</v>
      </c>
      <c r="CT72">
        <v>4523.6666666666697</v>
      </c>
      <c r="CU72">
        <v>4555.3333333333303</v>
      </c>
      <c r="CV72">
        <v>4600</v>
      </c>
      <c r="CW72">
        <v>4626.3333333333303</v>
      </c>
      <c r="CX72">
        <v>4649.6666666666697</v>
      </c>
      <c r="CY72">
        <v>4643</v>
      </c>
      <c r="CZ72">
        <v>4623.6666666666697</v>
      </c>
      <c r="DA72">
        <v>4624.6666666666697</v>
      </c>
      <c r="DB72">
        <v>4621.3333333333303</v>
      </c>
      <c r="DC72">
        <v>4618.3333333333303</v>
      </c>
      <c r="DD72">
        <v>4600.3333333333303</v>
      </c>
      <c r="DE72">
        <v>4581.3333333333303</v>
      </c>
      <c r="DF72">
        <v>4574.3333333333303</v>
      </c>
      <c r="DG72">
        <v>4577</v>
      </c>
      <c r="DH72">
        <v>4589</v>
      </c>
      <c r="DI72">
        <v>4583</v>
      </c>
      <c r="DJ72">
        <v>4578</v>
      </c>
      <c r="DK72">
        <v>4596.6666666666697</v>
      </c>
      <c r="DL72">
        <v>4631.6666666666697</v>
      </c>
      <c r="DM72">
        <v>4640.6666666666697</v>
      </c>
      <c r="DN72">
        <v>4669</v>
      </c>
      <c r="DO72">
        <v>4688.3333333333303</v>
      </c>
      <c r="DP72">
        <v>4717.3333333333303</v>
      </c>
      <c r="DQ72">
        <v>4757.3333333333303</v>
      </c>
      <c r="DR72">
        <v>4768</v>
      </c>
      <c r="DS72">
        <v>4779.3333333333303</v>
      </c>
      <c r="DT72">
        <v>4793.3333333333303</v>
      </c>
      <c r="DU72">
        <v>4809</v>
      </c>
      <c r="DV72">
        <v>4832</v>
      </c>
      <c r="DW72">
        <v>4877.6666666666697</v>
      </c>
      <c r="DX72">
        <v>4936.6666666666697</v>
      </c>
      <c r="DY72">
        <v>4977.3333333333303</v>
      </c>
      <c r="DZ72">
        <v>5004.3333333333303</v>
      </c>
      <c r="EA72">
        <v>5039</v>
      </c>
      <c r="EB72">
        <v>5052.6666666666697</v>
      </c>
      <c r="EC72">
        <v>5020.6666666666697</v>
      </c>
      <c r="ED72">
        <v>5029.3333333333303</v>
      </c>
      <c r="EE72">
        <v>5007.6666666666697</v>
      </c>
      <c r="EF72">
        <v>4978.6666666666697</v>
      </c>
      <c r="EG72">
        <v>4985.3333333333303</v>
      </c>
      <c r="EH72">
        <v>4968.3333333333303</v>
      </c>
      <c r="EI72">
        <v>4974</v>
      </c>
      <c r="EJ72">
        <v>4984</v>
      </c>
      <c r="EK72">
        <v>4995.3333333333303</v>
      </c>
      <c r="EL72">
        <v>5015.6666666666697</v>
      </c>
      <c r="EM72">
        <v>5023.3333333333303</v>
      </c>
      <c r="EN72">
        <v>5039.3333333333303</v>
      </c>
      <c r="EO72">
        <v>5047.6666666666697</v>
      </c>
      <c r="EP72">
        <v>5047</v>
      </c>
      <c r="EQ72">
        <v>5068.3333333333303</v>
      </c>
      <c r="ER72">
        <v>5086</v>
      </c>
      <c r="ES72">
        <v>5098.3333333333303</v>
      </c>
      <c r="ET72">
        <v>5106.3333333333303</v>
      </c>
      <c r="EU72">
        <v>5124.3333333333303</v>
      </c>
      <c r="EV72">
        <v>5122</v>
      </c>
      <c r="EW72">
        <v>5136</v>
      </c>
      <c r="EX72">
        <v>5148.6666666666697</v>
      </c>
      <c r="EY72">
        <v>5166</v>
      </c>
      <c r="EZ72">
        <v>5196.3333333333303</v>
      </c>
      <c r="FA72">
        <v>5189</v>
      </c>
      <c r="FB72">
        <v>5192</v>
      </c>
      <c r="FC72">
        <v>5181.6666666666697</v>
      </c>
      <c r="FD72">
        <v>5145.3333333333303</v>
      </c>
      <c r="FE72">
        <v>5153.3333333333303</v>
      </c>
      <c r="FF72">
        <v>5144</v>
      </c>
      <c r="FG72">
        <v>5136.6666666666697</v>
      </c>
      <c r="FH72">
        <v>5129.3333333333303</v>
      </c>
      <c r="FI72">
        <v>5137</v>
      </c>
      <c r="FJ72">
        <v>5113.3333333333303</v>
      </c>
      <c r="FK72">
        <v>5084.3333333333303</v>
      </c>
      <c r="FL72">
        <v>5069.6666666666697</v>
      </c>
      <c r="FM72">
        <v>5051</v>
      </c>
      <c r="FN72">
        <v>5048</v>
      </c>
      <c r="FO72">
        <v>5055.3333333333303</v>
      </c>
      <c r="FP72">
        <v>5064.6666666666697</v>
      </c>
      <c r="FQ72">
        <v>5051.6666666666697</v>
      </c>
      <c r="FR72">
        <v>5042</v>
      </c>
      <c r="FS72">
        <v>5044.6666666666697</v>
      </c>
      <c r="FT72">
        <v>5040</v>
      </c>
      <c r="FU72">
        <v>5055.3333333333303</v>
      </c>
      <c r="FV72">
        <v>5054.6666666666697</v>
      </c>
      <c r="FW72">
        <v>5054.6666666666697</v>
      </c>
      <c r="FX72">
        <v>5030.6666666666697</v>
      </c>
      <c r="FY72">
        <v>5052.6666666666697</v>
      </c>
      <c r="FZ72">
        <v>5067.6666666666697</v>
      </c>
      <c r="GA72">
        <v>5072.3333333333303</v>
      </c>
      <c r="GB72">
        <v>5077.6666666666697</v>
      </c>
      <c r="GC72">
        <v>5087.3333333333303</v>
      </c>
      <c r="GD72">
        <v>5089</v>
      </c>
      <c r="GE72">
        <v>5098.6666666666697</v>
      </c>
      <c r="GF72">
        <v>5126.6666666666697</v>
      </c>
      <c r="GG72">
        <v>5135.3333333333303</v>
      </c>
      <c r="GH72">
        <v>5158</v>
      </c>
      <c r="GI72">
        <v>5170.3333333333303</v>
      </c>
      <c r="GJ72">
        <v>5168.3333333333303</v>
      </c>
      <c r="GK72">
        <v>5160.3333333333303</v>
      </c>
      <c r="GL72">
        <v>5150.3333333333303</v>
      </c>
      <c r="GM72">
        <v>5173</v>
      </c>
      <c r="GN72">
        <v>5185.3333333333303</v>
      </c>
      <c r="GO72">
        <v>5177</v>
      </c>
      <c r="GP72">
        <v>5171.3333333333303</v>
      </c>
      <c r="GQ72">
        <v>5177.3333333333303</v>
      </c>
      <c r="GR72">
        <v>5218.3333333333303</v>
      </c>
      <c r="GS72">
        <v>5250.3333333333303</v>
      </c>
      <c r="GT72">
        <v>5276.3333333333303</v>
      </c>
      <c r="GU72">
        <v>5049.3333333333303</v>
      </c>
      <c r="GV72">
        <v>5036.3333333333303</v>
      </c>
      <c r="GW72">
        <v>4935.3333333333303</v>
      </c>
      <c r="GX72">
        <v>4976.6666666666697</v>
      </c>
      <c r="GY72">
        <v>5023</v>
      </c>
      <c r="GZ72">
        <v>5062.6666666666697</v>
      </c>
    </row>
    <row r="73" spans="1:208" x14ac:dyDescent="0.35">
      <c r="A73" t="s">
        <v>542</v>
      </c>
      <c r="B73">
        <v>7048.6666666666697</v>
      </c>
      <c r="C73">
        <v>7104.3333333333303</v>
      </c>
      <c r="D73">
        <v>7204.3333333333303</v>
      </c>
      <c r="E73">
        <v>7279.3333333333303</v>
      </c>
      <c r="F73">
        <v>7353.3333333333303</v>
      </c>
      <c r="G73">
        <v>7419.6666666666697</v>
      </c>
      <c r="H73">
        <v>7443.6666666666697</v>
      </c>
      <c r="I73">
        <v>7534</v>
      </c>
      <c r="J73">
        <v>7651.6666666666697</v>
      </c>
      <c r="K73">
        <v>7726.3333333333303</v>
      </c>
      <c r="L73">
        <v>7855</v>
      </c>
      <c r="M73">
        <v>7931.3333333333303</v>
      </c>
      <c r="N73">
        <v>8016</v>
      </c>
      <c r="O73">
        <v>8115</v>
      </c>
      <c r="P73">
        <v>8183.6666666666697</v>
      </c>
      <c r="Q73">
        <v>8272.3333333333303</v>
      </c>
      <c r="R73">
        <v>8307.6666666666697</v>
      </c>
      <c r="S73">
        <v>8346.3333333333303</v>
      </c>
      <c r="T73">
        <v>8424.6666666666697</v>
      </c>
      <c r="U73">
        <v>8551.3333333333303</v>
      </c>
      <c r="V73">
        <v>8673</v>
      </c>
      <c r="W73">
        <v>8751.3333333333303</v>
      </c>
      <c r="X73">
        <v>8786.3333333333303</v>
      </c>
      <c r="Y73">
        <v>8824.6666666666697</v>
      </c>
      <c r="Z73">
        <v>8883</v>
      </c>
      <c r="AA73">
        <v>8868.6666666666697</v>
      </c>
      <c r="AB73">
        <v>8845</v>
      </c>
      <c r="AC73">
        <v>8861</v>
      </c>
      <c r="AD73">
        <v>8860.6666666666697</v>
      </c>
      <c r="AE73">
        <v>8907.3333333333303</v>
      </c>
      <c r="AF73">
        <v>9099.3333333333303</v>
      </c>
      <c r="AG73">
        <v>9231</v>
      </c>
      <c r="AH73">
        <v>9348.3333333333303</v>
      </c>
      <c r="AI73">
        <v>9466</v>
      </c>
      <c r="AJ73">
        <v>9492.3333333333303</v>
      </c>
      <c r="AK73">
        <v>9482.6666666666697</v>
      </c>
      <c r="AL73">
        <v>9531.3333333333303</v>
      </c>
      <c r="AM73">
        <v>9604.3333333333303</v>
      </c>
      <c r="AN73">
        <v>9710.6666666666697</v>
      </c>
      <c r="AO73">
        <v>9697.3333333333303</v>
      </c>
      <c r="AP73">
        <v>9741.3333333333303</v>
      </c>
      <c r="AQ73">
        <v>9749.3333333333303</v>
      </c>
      <c r="AR73">
        <v>9782.3333333333303</v>
      </c>
      <c r="AS73">
        <v>9793</v>
      </c>
      <c r="AT73">
        <v>9750.3333333333303</v>
      </c>
      <c r="AU73">
        <v>9665</v>
      </c>
      <c r="AV73">
        <v>9547.6666666666697</v>
      </c>
      <c r="AW73">
        <v>9507</v>
      </c>
      <c r="AX73">
        <v>9484.3333333333303</v>
      </c>
      <c r="AY73">
        <v>9495.6666666666697</v>
      </c>
      <c r="AZ73">
        <v>9409.6666666666697</v>
      </c>
      <c r="BA73">
        <v>9437</v>
      </c>
      <c r="BB73">
        <v>9447.3333333333303</v>
      </c>
      <c r="BC73">
        <v>9445.3333333333303</v>
      </c>
      <c r="BD73">
        <v>9433</v>
      </c>
      <c r="BE73">
        <v>9401.6666666666697</v>
      </c>
      <c r="BF73">
        <v>9412</v>
      </c>
      <c r="BG73">
        <v>9445.3333333333303</v>
      </c>
      <c r="BH73">
        <v>9509</v>
      </c>
      <c r="BI73">
        <v>9555</v>
      </c>
      <c r="BJ73">
        <v>9595.6666666666697</v>
      </c>
      <c r="BK73">
        <v>9640.3333333333303</v>
      </c>
      <c r="BL73">
        <v>9746.6666666666697</v>
      </c>
      <c r="BM73">
        <v>9764.3333333333303</v>
      </c>
      <c r="BN73">
        <v>9815.3333333333303</v>
      </c>
      <c r="BO73">
        <v>9854.3333333333303</v>
      </c>
      <c r="BP73">
        <v>9906.6666666666697</v>
      </c>
      <c r="BQ73">
        <v>10024.333333333299</v>
      </c>
      <c r="BR73">
        <v>10039.333333333299</v>
      </c>
      <c r="BS73">
        <v>10083.333333333299</v>
      </c>
      <c r="BT73">
        <v>10092.333333333299</v>
      </c>
      <c r="BU73">
        <v>10184.666666666701</v>
      </c>
      <c r="BV73">
        <v>10250.666666666701</v>
      </c>
      <c r="BW73">
        <v>10315.333333333299</v>
      </c>
      <c r="BX73">
        <v>10341.666666666701</v>
      </c>
      <c r="BY73">
        <v>10446.666666666701</v>
      </c>
      <c r="BZ73">
        <v>10510.666666666701</v>
      </c>
      <c r="CA73">
        <v>10566.333333333299</v>
      </c>
      <c r="CB73">
        <v>10640.666666666701</v>
      </c>
      <c r="CC73">
        <v>10719.666666666701</v>
      </c>
      <c r="CD73">
        <v>10814</v>
      </c>
      <c r="CE73">
        <v>10873</v>
      </c>
      <c r="CF73">
        <v>10967.333333333299</v>
      </c>
      <c r="CG73">
        <v>11000.333333333299</v>
      </c>
      <c r="CH73">
        <v>11027</v>
      </c>
      <c r="CI73">
        <v>11057.333333333299</v>
      </c>
      <c r="CJ73">
        <v>11099.333333333299</v>
      </c>
      <c r="CK73">
        <v>11139.333333333299</v>
      </c>
      <c r="CL73">
        <v>11199</v>
      </c>
      <c r="CM73">
        <v>11238</v>
      </c>
      <c r="CN73">
        <v>11306.666666666701</v>
      </c>
      <c r="CO73">
        <v>11319.666666666701</v>
      </c>
      <c r="CP73">
        <v>11366.666666666701</v>
      </c>
      <c r="CQ73">
        <v>11407.666666666701</v>
      </c>
      <c r="CR73">
        <v>11483</v>
      </c>
      <c r="CS73">
        <v>11520.666666666701</v>
      </c>
      <c r="CT73">
        <v>11591.333333333299</v>
      </c>
      <c r="CU73">
        <v>11672.333333333299</v>
      </c>
      <c r="CV73">
        <v>11710.333333333299</v>
      </c>
      <c r="CW73">
        <v>11752</v>
      </c>
      <c r="CX73">
        <v>11791.333333333299</v>
      </c>
      <c r="CY73">
        <v>11828.666666666701</v>
      </c>
      <c r="CZ73">
        <v>11868</v>
      </c>
      <c r="DA73">
        <v>11923</v>
      </c>
      <c r="DB73">
        <v>11966</v>
      </c>
      <c r="DC73">
        <v>12017.333333333299</v>
      </c>
      <c r="DD73">
        <v>12067</v>
      </c>
      <c r="DE73">
        <v>12139</v>
      </c>
      <c r="DF73">
        <v>12185.666666666701</v>
      </c>
      <c r="DG73">
        <v>12229.666666666701</v>
      </c>
      <c r="DH73">
        <v>12296</v>
      </c>
      <c r="DI73">
        <v>12380</v>
      </c>
      <c r="DJ73">
        <v>12437.333333333299</v>
      </c>
      <c r="DK73">
        <v>12501.333333333299</v>
      </c>
      <c r="DL73">
        <v>12553.333333333299</v>
      </c>
      <c r="DM73">
        <v>12616.333333333299</v>
      </c>
      <c r="DN73">
        <v>12694.666666666701</v>
      </c>
      <c r="DO73">
        <v>12783.333333333299</v>
      </c>
      <c r="DP73">
        <v>12887.333333333299</v>
      </c>
      <c r="DQ73">
        <v>12972.333333333299</v>
      </c>
      <c r="DR73">
        <v>13050.333333333299</v>
      </c>
      <c r="DS73">
        <v>13113</v>
      </c>
      <c r="DT73">
        <v>13168</v>
      </c>
      <c r="DU73">
        <v>13220.666666666701</v>
      </c>
      <c r="DV73">
        <v>13310</v>
      </c>
      <c r="DW73">
        <v>13410.666666666701</v>
      </c>
      <c r="DX73">
        <v>13500.666666666701</v>
      </c>
      <c r="DY73">
        <v>13583.666666666701</v>
      </c>
      <c r="DZ73">
        <v>13639</v>
      </c>
      <c r="EA73">
        <v>13699.333333333299</v>
      </c>
      <c r="EB73">
        <v>13744.666666666701</v>
      </c>
      <c r="EC73">
        <v>13775</v>
      </c>
      <c r="ED73">
        <v>13801</v>
      </c>
      <c r="EE73">
        <v>13820</v>
      </c>
      <c r="EF73">
        <v>13832.333333333299</v>
      </c>
      <c r="EG73">
        <v>13824.333333333299</v>
      </c>
      <c r="EH73">
        <v>13859</v>
      </c>
      <c r="EI73">
        <v>13898</v>
      </c>
      <c r="EJ73">
        <v>13909.333333333299</v>
      </c>
      <c r="EK73">
        <v>13958.666666666701</v>
      </c>
      <c r="EL73">
        <v>13994.666666666701</v>
      </c>
      <c r="EM73">
        <v>14012</v>
      </c>
      <c r="EN73">
        <v>14085.333333333299</v>
      </c>
      <c r="EO73">
        <v>14072.333333333299</v>
      </c>
      <c r="EP73">
        <v>14098</v>
      </c>
      <c r="EQ73">
        <v>14119.666666666701</v>
      </c>
      <c r="ER73">
        <v>14201</v>
      </c>
      <c r="ES73">
        <v>14251.333333333299</v>
      </c>
      <c r="ET73">
        <v>14287.333333333299</v>
      </c>
      <c r="EU73">
        <v>14336</v>
      </c>
      <c r="EV73">
        <v>14369.333333333299</v>
      </c>
      <c r="EW73">
        <v>14455</v>
      </c>
      <c r="EX73">
        <v>14521.666666666701</v>
      </c>
      <c r="EY73">
        <v>14560.333333333299</v>
      </c>
      <c r="EZ73">
        <v>14594</v>
      </c>
      <c r="FA73">
        <v>14591</v>
      </c>
      <c r="FB73">
        <v>14587</v>
      </c>
      <c r="FC73">
        <v>14576.333333333299</v>
      </c>
      <c r="FD73">
        <v>14532</v>
      </c>
      <c r="FE73">
        <v>14521</v>
      </c>
      <c r="FF73">
        <v>14466</v>
      </c>
      <c r="FG73">
        <v>14434</v>
      </c>
      <c r="FH73">
        <v>14327.666666666701</v>
      </c>
      <c r="FI73">
        <v>14279</v>
      </c>
      <c r="FJ73">
        <v>14232.666666666701</v>
      </c>
      <c r="FK73">
        <v>14207.666666666701</v>
      </c>
      <c r="FL73">
        <v>14094</v>
      </c>
      <c r="FM73">
        <v>14080.666666666701</v>
      </c>
      <c r="FN73">
        <v>14067.666666666701</v>
      </c>
      <c r="FO73">
        <v>14044.333333333299</v>
      </c>
      <c r="FP73">
        <v>14034.333333333299</v>
      </c>
      <c r="FQ73">
        <v>14026.333333333299</v>
      </c>
      <c r="FR73">
        <v>14029.333333333299</v>
      </c>
      <c r="FS73">
        <v>14033</v>
      </c>
      <c r="FT73">
        <v>14031</v>
      </c>
      <c r="FU73">
        <v>14033.666666666701</v>
      </c>
      <c r="FV73">
        <v>14037.666666666701</v>
      </c>
      <c r="FW73">
        <v>14077</v>
      </c>
      <c r="FX73">
        <v>14120</v>
      </c>
      <c r="FY73">
        <v>14140</v>
      </c>
      <c r="FZ73">
        <v>14155</v>
      </c>
      <c r="GA73">
        <v>14181.666666666701</v>
      </c>
      <c r="GB73">
        <v>14214</v>
      </c>
      <c r="GC73">
        <v>14223.666666666701</v>
      </c>
      <c r="GD73">
        <v>14277</v>
      </c>
      <c r="GE73">
        <v>14297.666666666701</v>
      </c>
      <c r="GF73">
        <v>14369</v>
      </c>
      <c r="GG73">
        <v>14351</v>
      </c>
      <c r="GH73">
        <v>14347</v>
      </c>
      <c r="GI73">
        <v>14363</v>
      </c>
      <c r="GJ73">
        <v>14401.666666666701</v>
      </c>
      <c r="GK73">
        <v>14428.666666666701</v>
      </c>
      <c r="GL73">
        <v>14442.333333333299</v>
      </c>
      <c r="GM73">
        <v>14468.666666666701</v>
      </c>
      <c r="GN73">
        <v>14494.333333333299</v>
      </c>
      <c r="GO73">
        <v>14510</v>
      </c>
      <c r="GP73">
        <v>14527.666666666701</v>
      </c>
      <c r="GQ73">
        <v>14558.333333333299</v>
      </c>
      <c r="GR73">
        <v>14590</v>
      </c>
      <c r="GS73">
        <v>14620.333333333299</v>
      </c>
      <c r="GT73">
        <v>14658.333333333299</v>
      </c>
      <c r="GU73">
        <v>13569.666666666701</v>
      </c>
      <c r="GV73">
        <v>13736.666666666701</v>
      </c>
      <c r="GW73">
        <v>13655.333333333299</v>
      </c>
      <c r="GX73">
        <v>13671.333333333299</v>
      </c>
      <c r="GY73">
        <v>13769.333333333299</v>
      </c>
      <c r="GZ73">
        <v>14107</v>
      </c>
    </row>
    <row r="74" spans="1:208" x14ac:dyDescent="0.35">
      <c r="A74" t="s">
        <v>544</v>
      </c>
      <c r="B74">
        <v>23545.666666666701</v>
      </c>
      <c r="C74">
        <v>24037</v>
      </c>
      <c r="D74">
        <v>25485.666666666701</v>
      </c>
      <c r="E74">
        <v>25754.666666666701</v>
      </c>
      <c r="F74">
        <v>25713</v>
      </c>
      <c r="G74">
        <v>25998.666666666701</v>
      </c>
      <c r="H74">
        <v>25691</v>
      </c>
      <c r="I74">
        <v>26178.666666666701</v>
      </c>
      <c r="J74">
        <v>25519</v>
      </c>
      <c r="K74">
        <v>24875</v>
      </c>
      <c r="L74">
        <v>25641</v>
      </c>
      <c r="M74">
        <v>27114.333333333299</v>
      </c>
      <c r="N74">
        <v>27472.666666666701</v>
      </c>
      <c r="O74">
        <v>27079.333333333299</v>
      </c>
      <c r="P74">
        <v>27510</v>
      </c>
      <c r="Q74">
        <v>28620</v>
      </c>
      <c r="R74">
        <v>30923.666666666701</v>
      </c>
      <c r="S74">
        <v>33400.666666666701</v>
      </c>
      <c r="T74">
        <v>33701.666666666701</v>
      </c>
      <c r="U74">
        <v>33884</v>
      </c>
      <c r="V74">
        <v>37820.333333333299</v>
      </c>
      <c r="W74">
        <v>35429.666666666701</v>
      </c>
      <c r="X74">
        <v>36988.333333333299</v>
      </c>
      <c r="Y74">
        <v>39554</v>
      </c>
      <c r="Z74">
        <v>42554</v>
      </c>
      <c r="AA74">
        <v>38830.666666666701</v>
      </c>
      <c r="AB74">
        <v>36130</v>
      </c>
      <c r="AC74">
        <v>34359.666666666701</v>
      </c>
      <c r="AD74">
        <v>36034</v>
      </c>
      <c r="AE74">
        <v>37037.666666666701</v>
      </c>
      <c r="AF74">
        <v>35666.333333333299</v>
      </c>
      <c r="AG74">
        <v>35160</v>
      </c>
      <c r="AH74">
        <v>34095.333333333299</v>
      </c>
      <c r="AI74">
        <v>41889.666666666701</v>
      </c>
      <c r="AJ74">
        <v>43760.666666666701</v>
      </c>
      <c r="AK74">
        <v>45015.333333333299</v>
      </c>
      <c r="AL74">
        <v>40794</v>
      </c>
      <c r="AM74">
        <v>45875.333333333299</v>
      </c>
      <c r="AN74">
        <v>49343.666666666701</v>
      </c>
      <c r="AO74">
        <v>52609</v>
      </c>
      <c r="AP74">
        <v>55934.333333333299</v>
      </c>
      <c r="AQ74">
        <v>54112</v>
      </c>
      <c r="AR74">
        <v>52797</v>
      </c>
      <c r="AS74">
        <v>54381</v>
      </c>
      <c r="AT74">
        <v>60484</v>
      </c>
      <c r="AU74">
        <v>53862</v>
      </c>
      <c r="AV74">
        <v>52044</v>
      </c>
      <c r="AW74">
        <v>54313.666666666701</v>
      </c>
      <c r="AX74">
        <v>51944</v>
      </c>
      <c r="AY74">
        <v>52182.666666666701</v>
      </c>
      <c r="AZ74">
        <v>52486.333333333299</v>
      </c>
      <c r="BA74">
        <v>54765.333333333299</v>
      </c>
      <c r="BB74">
        <v>52678.333333333299</v>
      </c>
      <c r="BC74">
        <v>51386</v>
      </c>
      <c r="BD74">
        <v>53662.333333333299</v>
      </c>
      <c r="BE74">
        <v>53249</v>
      </c>
      <c r="BF74">
        <v>55752.333333333299</v>
      </c>
      <c r="BG74">
        <v>57382.666666666701</v>
      </c>
      <c r="BH74">
        <v>59910.333333333299</v>
      </c>
      <c r="BI74">
        <v>60890.666666666701</v>
      </c>
      <c r="BJ74">
        <v>62514.666666666701</v>
      </c>
      <c r="BK74">
        <v>65739.333333333299</v>
      </c>
      <c r="BL74">
        <v>67220</v>
      </c>
      <c r="BM74">
        <v>66558.333333333299</v>
      </c>
      <c r="BN74">
        <v>70815.333333333299</v>
      </c>
      <c r="BO74">
        <v>72215.333333333299</v>
      </c>
      <c r="BP74">
        <v>73843.333333333299</v>
      </c>
      <c r="BQ74">
        <v>71122.666666666701</v>
      </c>
      <c r="BR74">
        <v>75290</v>
      </c>
      <c r="BS74">
        <v>75025.666666666701</v>
      </c>
      <c r="BT74">
        <v>77047</v>
      </c>
      <c r="BU74">
        <v>78058</v>
      </c>
      <c r="BV74">
        <v>79349.666666666701</v>
      </c>
      <c r="BW74">
        <v>83348</v>
      </c>
      <c r="BX74">
        <v>82022.666666666701</v>
      </c>
      <c r="BY74">
        <v>84604</v>
      </c>
      <c r="BZ74">
        <v>83566.666666666701</v>
      </c>
      <c r="CA74">
        <v>85684</v>
      </c>
      <c r="CB74">
        <v>85730.333333333299</v>
      </c>
      <c r="CC74">
        <v>89358.333333333299</v>
      </c>
      <c r="CD74">
        <v>94388.333333333299</v>
      </c>
      <c r="CE74">
        <v>93807</v>
      </c>
      <c r="CF74">
        <v>94972</v>
      </c>
      <c r="CG74">
        <v>98807.666666666701</v>
      </c>
      <c r="CH74">
        <v>95253.666666666701</v>
      </c>
      <c r="CI74">
        <v>96128.666666666701</v>
      </c>
      <c r="CJ74">
        <v>97326.333333333299</v>
      </c>
      <c r="CK74">
        <v>99221</v>
      </c>
      <c r="CL74">
        <v>106368.66666666701</v>
      </c>
      <c r="CM74">
        <v>103446</v>
      </c>
      <c r="CN74">
        <v>99580.333333333299</v>
      </c>
      <c r="CO74">
        <v>98022.333333333299</v>
      </c>
      <c r="CP74">
        <v>102495</v>
      </c>
      <c r="CQ74">
        <v>111962</v>
      </c>
      <c r="CR74">
        <v>116124.66666666701</v>
      </c>
      <c r="CS74">
        <v>118029</v>
      </c>
      <c r="CT74">
        <v>111803</v>
      </c>
      <c r="CU74">
        <v>113545</v>
      </c>
      <c r="CV74">
        <v>118942</v>
      </c>
      <c r="CW74">
        <v>117294.33333333299</v>
      </c>
      <c r="CX74">
        <v>116848.66666666701</v>
      </c>
      <c r="CY74">
        <v>124434.33333333299</v>
      </c>
      <c r="CZ74">
        <v>125240</v>
      </c>
      <c r="DA74">
        <v>127572.66666666701</v>
      </c>
      <c r="DB74">
        <v>126179.33333333299</v>
      </c>
      <c r="DC74">
        <v>131672</v>
      </c>
      <c r="DD74">
        <v>131615</v>
      </c>
      <c r="DE74">
        <v>135638.66666666701</v>
      </c>
      <c r="DF74">
        <v>135471.66666666701</v>
      </c>
      <c r="DG74">
        <v>139479.33333333299</v>
      </c>
      <c r="DH74">
        <v>141385.33333333299</v>
      </c>
      <c r="DI74">
        <v>140102.66666666701</v>
      </c>
      <c r="DJ74">
        <v>133975</v>
      </c>
      <c r="DK74">
        <v>137818</v>
      </c>
      <c r="DL74">
        <v>143529.33333333299</v>
      </c>
      <c r="DM74">
        <v>144434.66666666701</v>
      </c>
      <c r="DN74">
        <v>150497</v>
      </c>
      <c r="DO74">
        <v>152515.33333333299</v>
      </c>
      <c r="DP74">
        <v>155465.33333333299</v>
      </c>
      <c r="DQ74">
        <v>163365.33333333299</v>
      </c>
      <c r="DR74">
        <v>168776.33333333299</v>
      </c>
      <c r="DS74">
        <v>165200.66666666701</v>
      </c>
      <c r="DT74">
        <v>166145</v>
      </c>
      <c r="DU74">
        <v>170616.66666666701</v>
      </c>
      <c r="DV74">
        <v>176411.33333333299</v>
      </c>
      <c r="DW74">
        <v>189275.66666666701</v>
      </c>
      <c r="DX74">
        <v>187116</v>
      </c>
      <c r="DY74">
        <v>193037.66666666701</v>
      </c>
      <c r="DZ74">
        <v>198023.33333333299</v>
      </c>
      <c r="EA74">
        <v>194794</v>
      </c>
      <c r="EB74">
        <v>196443.66666666701</v>
      </c>
      <c r="EC74">
        <v>199770.66666666701</v>
      </c>
      <c r="ED74">
        <v>197410.66666666701</v>
      </c>
      <c r="EE74">
        <v>195858</v>
      </c>
      <c r="EF74">
        <v>200686</v>
      </c>
      <c r="EG74">
        <v>199340</v>
      </c>
      <c r="EH74">
        <v>197322.33333333299</v>
      </c>
      <c r="EI74">
        <v>202356.33333333299</v>
      </c>
      <c r="EJ74">
        <v>202328</v>
      </c>
      <c r="EK74">
        <v>204931</v>
      </c>
      <c r="EL74">
        <v>207202</v>
      </c>
      <c r="EM74">
        <v>215946</v>
      </c>
      <c r="EN74">
        <v>219407.66666666701</v>
      </c>
      <c r="EO74">
        <v>222763.66666666701</v>
      </c>
      <c r="EP74">
        <v>230117.66666666701</v>
      </c>
      <c r="EQ74">
        <v>238436</v>
      </c>
      <c r="ER74">
        <v>238965</v>
      </c>
      <c r="ES74">
        <v>242956.33333333299</v>
      </c>
      <c r="ET74">
        <v>258254.33333333299</v>
      </c>
      <c r="EU74">
        <v>266203.66666666698</v>
      </c>
      <c r="EV74">
        <v>271640.33333333302</v>
      </c>
      <c r="EW74">
        <v>276454.66666666698</v>
      </c>
      <c r="EX74">
        <v>278038.33333333302</v>
      </c>
      <c r="EY74">
        <v>283074.33333333302</v>
      </c>
      <c r="EZ74">
        <v>287093.66666666698</v>
      </c>
      <c r="FA74">
        <v>288334</v>
      </c>
      <c r="FB74">
        <v>289591.33333333302</v>
      </c>
      <c r="FC74">
        <v>292223.66666666698</v>
      </c>
      <c r="FD74">
        <v>287368</v>
      </c>
      <c r="FE74">
        <v>274301</v>
      </c>
      <c r="FF74">
        <v>268022</v>
      </c>
      <c r="FG74">
        <v>274526.66666666698</v>
      </c>
      <c r="FH74">
        <v>277232.33333333302</v>
      </c>
      <c r="FI74">
        <v>269906.33333333302</v>
      </c>
      <c r="FJ74">
        <v>258077</v>
      </c>
      <c r="FK74">
        <v>251739</v>
      </c>
      <c r="FL74">
        <v>253215.33333333299</v>
      </c>
      <c r="FM74">
        <v>258046</v>
      </c>
      <c r="FN74">
        <v>254528.33333333299</v>
      </c>
      <c r="FO74">
        <v>254598.66666666701</v>
      </c>
      <c r="FP74">
        <v>252248.66666666701</v>
      </c>
      <c r="FQ74">
        <v>246424.33333333299</v>
      </c>
      <c r="FR74">
        <v>242924.33333333299</v>
      </c>
      <c r="FS74">
        <v>245991.66666666701</v>
      </c>
      <c r="FT74">
        <v>249225</v>
      </c>
      <c r="FU74">
        <v>247543.33333333299</v>
      </c>
      <c r="FV74">
        <v>242281</v>
      </c>
      <c r="FW74">
        <v>251080</v>
      </c>
      <c r="FX74">
        <v>258128</v>
      </c>
      <c r="FY74">
        <v>260687.66666666701</v>
      </c>
      <c r="FZ74">
        <v>260300</v>
      </c>
      <c r="GA74">
        <v>273597.33333333302</v>
      </c>
      <c r="GB74">
        <v>278438.66666666698</v>
      </c>
      <c r="GC74">
        <v>269445</v>
      </c>
      <c r="GD74">
        <v>278949.33333333302</v>
      </c>
      <c r="GE74">
        <v>274095</v>
      </c>
      <c r="GF74">
        <v>271667</v>
      </c>
      <c r="GG74">
        <v>276420.33333333302</v>
      </c>
      <c r="GH74">
        <v>272574.33333333302</v>
      </c>
      <c r="GI74">
        <v>274286.33333333302</v>
      </c>
      <c r="GJ74">
        <v>274862.66666666698</v>
      </c>
      <c r="GK74">
        <v>280795.33333333302</v>
      </c>
      <c r="GL74">
        <v>282163</v>
      </c>
      <c r="GM74">
        <v>291235.66666666698</v>
      </c>
      <c r="GN74">
        <v>292706.66666666698</v>
      </c>
      <c r="GO74">
        <v>285420</v>
      </c>
      <c r="GP74">
        <v>304217</v>
      </c>
      <c r="GQ74">
        <v>321543</v>
      </c>
      <c r="GR74">
        <v>322016</v>
      </c>
      <c r="GS74">
        <v>324071.66666666698</v>
      </c>
      <c r="GT74">
        <v>341494</v>
      </c>
      <c r="GU74">
        <v>335548.33333333302</v>
      </c>
      <c r="GV74">
        <v>323099.33333333302</v>
      </c>
      <c r="GW74">
        <v>328325</v>
      </c>
      <c r="GX74">
        <v>322875.33333333302</v>
      </c>
      <c r="GY74">
        <v>318491.33333333302</v>
      </c>
      <c r="GZ74">
        <v>323230.55555555603</v>
      </c>
    </row>
    <row r="75" spans="1:208" x14ac:dyDescent="0.35">
      <c r="A75" t="s">
        <v>961</v>
      </c>
      <c r="B75">
        <v>1.4432117337345E-2</v>
      </c>
      <c r="C75">
        <v>1.4432117337345E-2</v>
      </c>
      <c r="D75">
        <v>8.2024190184901702E-3</v>
      </c>
      <c r="E75">
        <v>1.30998345284059E-2</v>
      </c>
      <c r="F75">
        <v>1.51535774238918E-2</v>
      </c>
      <c r="G75">
        <v>1.336312849162E-2</v>
      </c>
      <c r="H75">
        <v>1.0099673635000301E-2</v>
      </c>
      <c r="I75">
        <v>8.2521940357158704E-3</v>
      </c>
      <c r="J75">
        <v>1.60661701022E-2</v>
      </c>
      <c r="K75">
        <v>6.0947022972339697E-3</v>
      </c>
      <c r="L75">
        <v>9.0654918241124295E-3</v>
      </c>
      <c r="M75">
        <v>1.13350125944585E-2</v>
      </c>
      <c r="N75">
        <v>1.2702366127023801E-2</v>
      </c>
      <c r="O75">
        <v>1.6560091818330801E-2</v>
      </c>
      <c r="P75">
        <v>1.9072580645161302E-2</v>
      </c>
      <c r="Q75">
        <v>1.73307482293357E-2</v>
      </c>
      <c r="R75">
        <v>2.0263700361712999E-2</v>
      </c>
      <c r="S75">
        <v>2.2224763647453499E-2</v>
      </c>
      <c r="T75">
        <v>3.0803654670893001E-2</v>
      </c>
      <c r="U75">
        <v>3.03172822980355E-2</v>
      </c>
      <c r="V75">
        <v>2.2648267144211399E-2</v>
      </c>
      <c r="W75">
        <v>1.4489767889026299E-2</v>
      </c>
      <c r="X75">
        <v>1.76673661409328E-2</v>
      </c>
      <c r="Y75">
        <v>1.6695490222163E-2</v>
      </c>
      <c r="Z75">
        <v>1.0958456002617E-2</v>
      </c>
      <c r="AA75">
        <v>9.9660249150623804E-3</v>
      </c>
      <c r="AB75">
        <v>1.2751097299202201E-2</v>
      </c>
      <c r="AC75">
        <v>1.6987757426212498E-2</v>
      </c>
      <c r="AD75">
        <v>1.6175189747418099E-2</v>
      </c>
      <c r="AE75">
        <v>1.5795273662299499E-2</v>
      </c>
      <c r="AF75">
        <v>1.37716972034716E-2</v>
      </c>
      <c r="AG75">
        <v>1.67058054160103E-2</v>
      </c>
      <c r="AH75">
        <v>1.6372832792445099E-2</v>
      </c>
      <c r="AI75">
        <v>1.9963754566637099E-2</v>
      </c>
      <c r="AJ75">
        <v>1.7655187974165799E-2</v>
      </c>
      <c r="AK75">
        <v>1.9759997782889501E-2</v>
      </c>
      <c r="AL75">
        <v>1.8670507663876498E-2</v>
      </c>
      <c r="AM75">
        <v>2.41442787396953E-2</v>
      </c>
      <c r="AN75">
        <v>2.0891945399603901E-2</v>
      </c>
      <c r="AO75">
        <v>1.8244450114825301E-2</v>
      </c>
      <c r="AP75">
        <v>2.1851898258363499E-2</v>
      </c>
      <c r="AQ75">
        <v>2.3738872403560801E-2</v>
      </c>
      <c r="AR75">
        <v>2.23020721044438E-2</v>
      </c>
      <c r="AS75">
        <v>2.6502015184178399E-2</v>
      </c>
      <c r="AT75">
        <v>2.65026137375306E-2</v>
      </c>
      <c r="AU75">
        <v>1.8791140366482901E-2</v>
      </c>
      <c r="AV75">
        <v>1.9426800253203199E-2</v>
      </c>
      <c r="AW75">
        <v>1.65299873669786E-2</v>
      </c>
      <c r="AX75">
        <v>1.4323328067404001E-2</v>
      </c>
      <c r="AY75">
        <v>1.32904163638252E-2</v>
      </c>
      <c r="AZ75">
        <v>1.3874372374218701E-2</v>
      </c>
      <c r="BA75">
        <v>1.01269404915911E-2</v>
      </c>
      <c r="BB75">
        <v>7.9843115282252092E-3</v>
      </c>
      <c r="BC75">
        <v>7.4247597871834898E-3</v>
      </c>
      <c r="BD75">
        <v>1.0621526819847699E-2</v>
      </c>
      <c r="BE75">
        <v>7.4875694647558201E-3</v>
      </c>
      <c r="BF75">
        <v>9.8511680117672196E-3</v>
      </c>
      <c r="BG75">
        <v>8.9884625704319508E-3</v>
      </c>
      <c r="BH75">
        <v>9.0223564495603998E-3</v>
      </c>
      <c r="BI75">
        <v>7.0027483904972999E-3</v>
      </c>
      <c r="BJ75">
        <v>1.0225445844393799E-2</v>
      </c>
      <c r="BK75">
        <v>5.92143002535117E-3</v>
      </c>
      <c r="BL75">
        <v>6.6407902724381403E-3</v>
      </c>
      <c r="BM75">
        <v>5.18986879134542E-3</v>
      </c>
      <c r="BN75">
        <v>4.9449151001708103E-3</v>
      </c>
      <c r="BO75">
        <v>3.5095336300157202E-3</v>
      </c>
      <c r="BP75">
        <v>4.7411306605133997E-3</v>
      </c>
      <c r="BQ75">
        <v>5.9388176190904298E-3</v>
      </c>
      <c r="BR75">
        <v>5.7967395569507004E-3</v>
      </c>
      <c r="BS75">
        <v>6.79186394992115E-3</v>
      </c>
      <c r="BT75">
        <v>7.7147990277239798E-3</v>
      </c>
      <c r="BU75">
        <v>7.4984269034468198E-3</v>
      </c>
      <c r="BV75">
        <v>7.7375479259556004E-3</v>
      </c>
      <c r="BW75">
        <v>9.98502246630051E-3</v>
      </c>
      <c r="BX75">
        <v>1.2238566826324701E-2</v>
      </c>
      <c r="BY75">
        <v>9.2110802391176493E-3</v>
      </c>
      <c r="BZ75">
        <v>9.6108923446573992E-3</v>
      </c>
      <c r="CA75">
        <v>1.08250148740661E-2</v>
      </c>
      <c r="CB75">
        <v>7.42278828703635E-3</v>
      </c>
      <c r="CC75">
        <v>6.8163006962365102E-3</v>
      </c>
      <c r="CD75">
        <v>1.08967229234167E-2</v>
      </c>
      <c r="CE75">
        <v>1.1193851354583499E-2</v>
      </c>
      <c r="CF75">
        <v>8.6414886067964804E-3</v>
      </c>
      <c r="CG75">
        <v>7.6450447915199504E-3</v>
      </c>
      <c r="CH75">
        <v>9.7126543784522602E-3</v>
      </c>
      <c r="CI75">
        <v>7.2067365315466904E-3</v>
      </c>
      <c r="CJ75">
        <v>7.6738828626787799E-3</v>
      </c>
      <c r="CK75">
        <v>5.8137774413322702E-3</v>
      </c>
      <c r="CL75">
        <v>4.0039738688022498E-3</v>
      </c>
      <c r="CM75">
        <v>5.9670164917540198E-3</v>
      </c>
      <c r="CN75">
        <v>4.7840472145219701E-3</v>
      </c>
      <c r="CO75">
        <v>7.0454916269895298E-3</v>
      </c>
      <c r="CP75">
        <v>5.9504521754498701E-3</v>
      </c>
      <c r="CQ75">
        <v>5.9006120237781196E-3</v>
      </c>
      <c r="CR75">
        <v>5.0217609641782799E-3</v>
      </c>
      <c r="CS75">
        <v>5.8801378790949198E-3</v>
      </c>
      <c r="CT75">
        <v>5.1114438749064704E-3</v>
      </c>
      <c r="CU75">
        <v>4.7702952425974204E-3</v>
      </c>
      <c r="CV75">
        <v>5.33219275734242E-3</v>
      </c>
      <c r="CW75">
        <v>5.5733613183197601E-3</v>
      </c>
      <c r="CX75">
        <v>5.6976039037051097E-3</v>
      </c>
      <c r="CY75">
        <v>4.9080786975359602E-3</v>
      </c>
      <c r="CZ75">
        <v>4.47942395445211E-3</v>
      </c>
      <c r="DA75">
        <v>4.7234030729905703E-3</v>
      </c>
      <c r="DB75">
        <v>4.6044080639362503E-3</v>
      </c>
      <c r="DC75">
        <v>4.0878122634366897E-3</v>
      </c>
      <c r="DD75">
        <v>4.8525057572101904E-3</v>
      </c>
      <c r="DE75">
        <v>4.2288489346029596E-3</v>
      </c>
      <c r="DF75">
        <v>4.4827211475766404E-3</v>
      </c>
      <c r="DG75">
        <v>4.9766045492656303E-3</v>
      </c>
      <c r="DH75">
        <v>2.9738676427053501E-3</v>
      </c>
      <c r="DI75">
        <v>3.5822097001410001E-3</v>
      </c>
      <c r="DJ75">
        <v>1.0160156145557801E-3</v>
      </c>
      <c r="DK75">
        <v>2.59088116669792E-3</v>
      </c>
      <c r="DL75">
        <v>3.87627877237851E-3</v>
      </c>
      <c r="DM75">
        <v>2.6803603890504001E-3</v>
      </c>
      <c r="DN75">
        <v>2.6996625421822399E-3</v>
      </c>
      <c r="DO75">
        <v>4.5269173408648599E-3</v>
      </c>
      <c r="DP75">
        <v>3.83645154509149E-3</v>
      </c>
      <c r="DQ75">
        <v>5.2615046332653596E-3</v>
      </c>
      <c r="DR75">
        <v>6.6661458740202599E-3</v>
      </c>
      <c r="DS75">
        <v>6.0141234900024099E-3</v>
      </c>
      <c r="DT75">
        <v>6.26100818945008E-3</v>
      </c>
      <c r="DU75">
        <v>5.4171457774372404E-3</v>
      </c>
      <c r="DV75">
        <v>6.8493150684931798E-3</v>
      </c>
      <c r="DW75">
        <v>6.6638900458142504E-3</v>
      </c>
      <c r="DX75">
        <v>3.0340642669976999E-3</v>
      </c>
      <c r="DY75">
        <v>3.2248790670348399E-3</v>
      </c>
      <c r="DZ75">
        <v>2.6663011923600002E-3</v>
      </c>
      <c r="EA75">
        <v>3.96396396396392E-3</v>
      </c>
      <c r="EB75">
        <v>4.4681535757606899E-3</v>
      </c>
      <c r="EC75">
        <v>5.8160310516910396E-3</v>
      </c>
      <c r="ED75">
        <v>5.4026241317211001E-3</v>
      </c>
      <c r="EE75">
        <v>3.4239898620656E-3</v>
      </c>
      <c r="EF75">
        <v>5.7438463126449103E-3</v>
      </c>
      <c r="EG75">
        <v>5.7955615657676596E-3</v>
      </c>
      <c r="EH75">
        <v>7.1666946771986604E-3</v>
      </c>
      <c r="EI75">
        <v>8.1169024660603401E-3</v>
      </c>
      <c r="EJ75">
        <v>6.33719555450463E-3</v>
      </c>
      <c r="EK75">
        <v>7.7071290944123998E-3</v>
      </c>
      <c r="EL75">
        <v>7.6715011891992403E-3</v>
      </c>
      <c r="EM75">
        <v>7.3122758301513704E-3</v>
      </c>
      <c r="EN75">
        <v>9.4415474030002892E-3</v>
      </c>
      <c r="EO75">
        <v>7.9650448318238105E-3</v>
      </c>
      <c r="EP75">
        <v>6.9990065926126598E-3</v>
      </c>
      <c r="EQ75">
        <v>8.84489484776463E-3</v>
      </c>
      <c r="ER75">
        <v>7.3227917726934599E-3</v>
      </c>
      <c r="ES75">
        <v>3.8057626969067999E-3</v>
      </c>
      <c r="ET75">
        <v>1.00113190544744E-2</v>
      </c>
      <c r="EU75">
        <v>6.3432998215606799E-3</v>
      </c>
      <c r="EV75">
        <v>4.2274383453526597E-3</v>
      </c>
      <c r="EW75">
        <v>4.8448569152257396E-3</v>
      </c>
      <c r="EX75">
        <v>4.31791882741184E-3</v>
      </c>
      <c r="EY75">
        <v>3.6272470261908799E-3</v>
      </c>
      <c r="EZ75">
        <v>7.7491363273982598E-3</v>
      </c>
      <c r="FA75">
        <v>1.80372136196771E-3</v>
      </c>
      <c r="FB75">
        <v>2.7375625164527401E-4</v>
      </c>
      <c r="FC75">
        <v>-1.3789328533383399E-3</v>
      </c>
      <c r="FD75">
        <v>6.1136291767671701E-4</v>
      </c>
      <c r="FE75">
        <v>3.6764705882352802E-3</v>
      </c>
      <c r="FF75">
        <v>2.5294667128477099E-3</v>
      </c>
      <c r="FG75">
        <v>4.65880776398153E-3</v>
      </c>
      <c r="FH75">
        <v>3.6368183570751902E-3</v>
      </c>
      <c r="FI75">
        <v>5.7313730376278302E-3</v>
      </c>
      <c r="FJ75">
        <v>4.9037826230591301E-3</v>
      </c>
      <c r="FK75">
        <v>7.22218227021032E-3</v>
      </c>
      <c r="FL75">
        <v>5.2936496603497299E-3</v>
      </c>
      <c r="FM75">
        <v>1.2783961201692201E-3</v>
      </c>
      <c r="FN75">
        <v>5.9784976744656796E-3</v>
      </c>
      <c r="FO75">
        <v>4.16007735930779E-3</v>
      </c>
      <c r="FP75">
        <v>6.1590931888855201E-3</v>
      </c>
      <c r="FQ75">
        <v>4.2470888498964401E-3</v>
      </c>
      <c r="FR75">
        <v>3.9114464409808498E-3</v>
      </c>
      <c r="FS75">
        <v>3.0062101973813401E-3</v>
      </c>
      <c r="FT75">
        <v>5.3732697085617804E-3</v>
      </c>
      <c r="FU75">
        <v>5.6583605464191099E-3</v>
      </c>
      <c r="FV75">
        <v>4.0468064358849497E-3</v>
      </c>
      <c r="FW75">
        <v>5.7009663477880501E-3</v>
      </c>
      <c r="FX75">
        <v>4.6063813349812603E-3</v>
      </c>
      <c r="FY75">
        <v>7.2095281123529798E-4</v>
      </c>
      <c r="FZ75">
        <v>-1.1526934603856E-4</v>
      </c>
      <c r="GA75">
        <v>5.6776697536795604E-3</v>
      </c>
      <c r="GB75">
        <v>2.4454782533933602E-3</v>
      </c>
      <c r="GC75">
        <v>-6.6705419338730602E-5</v>
      </c>
      <c r="GD75">
        <v>-5.6226889795296697E-4</v>
      </c>
      <c r="GE75">
        <v>6.7033459517700199E-3</v>
      </c>
      <c r="GF75">
        <v>3.0120481927711201E-3</v>
      </c>
      <c r="GG75">
        <v>5.4394016658168001E-3</v>
      </c>
      <c r="GH75">
        <v>5.0436742744435197E-3</v>
      </c>
      <c r="GI75">
        <v>3.30819479099498E-3</v>
      </c>
      <c r="GJ75">
        <v>5.4116485502182501E-3</v>
      </c>
      <c r="GK75">
        <v>6.6331918993534104E-3</v>
      </c>
      <c r="GL75">
        <v>6.0188849417437398E-3</v>
      </c>
      <c r="GM75">
        <v>7.7210187353631303E-3</v>
      </c>
      <c r="GN75">
        <v>4.45731508043146E-3</v>
      </c>
      <c r="GO75">
        <v>4.9165363724275003E-3</v>
      </c>
      <c r="GP75">
        <v>2.7969889649341901E-3</v>
      </c>
      <c r="GQ75">
        <v>5.7398073577155104E-3</v>
      </c>
      <c r="GR75">
        <v>3.4063954628953401E-3</v>
      </c>
      <c r="GS75">
        <v>3.7591980377520398E-3</v>
      </c>
      <c r="GT75">
        <v>3.9841695662568002E-3</v>
      </c>
      <c r="GU75">
        <v>-3.7743502914540099E-3</v>
      </c>
      <c r="GV75">
        <v>8.9847657321919794E-3</v>
      </c>
      <c r="GW75">
        <v>5.5007720381807798E-3</v>
      </c>
      <c r="GX75">
        <v>1.0601076685483799E-2</v>
      </c>
      <c r="GY75">
        <v>1.48498609983942E-2</v>
      </c>
      <c r="GZ75">
        <v>1.3986013986014E-2</v>
      </c>
    </row>
    <row r="76" spans="1:208" x14ac:dyDescent="0.35">
      <c r="A76" t="s">
        <v>962</v>
      </c>
      <c r="B76">
        <v>1.1084103062712699E-2</v>
      </c>
      <c r="C76">
        <v>1.1084103062712699E-2</v>
      </c>
      <c r="D76">
        <v>9.7124723531110107E-3</v>
      </c>
      <c r="E76">
        <v>1.29523809523808E-2</v>
      </c>
      <c r="F76">
        <v>9.4960511470478792E-3</v>
      </c>
      <c r="G76">
        <v>1.1362578001303801E-2</v>
      </c>
      <c r="H76">
        <v>9.8535776775023898E-3</v>
      </c>
      <c r="I76">
        <v>6.2009848623016898E-3</v>
      </c>
      <c r="J76">
        <v>1.05582744245059E-2</v>
      </c>
      <c r="K76">
        <v>5.7396529303619399E-3</v>
      </c>
      <c r="L76">
        <v>8.7832716572295907E-3</v>
      </c>
      <c r="M76">
        <v>8.1764341907539801E-3</v>
      </c>
      <c r="N76">
        <v>1.20555872166936E-2</v>
      </c>
      <c r="O76">
        <v>1.9232435242138201E-2</v>
      </c>
      <c r="P76">
        <v>1.81895452613683E-2</v>
      </c>
      <c r="Q76">
        <v>2.0452458468987599E-2</v>
      </c>
      <c r="R76">
        <v>2.9777486910994602E-2</v>
      </c>
      <c r="S76">
        <v>2.8320622815379799E-2</v>
      </c>
      <c r="T76">
        <v>2.69612576770057E-2</v>
      </c>
      <c r="U76">
        <v>2.5425960055666299E-2</v>
      </c>
      <c r="V76">
        <v>1.8816711293694801E-2</v>
      </c>
      <c r="W76">
        <v>1.2276785714285801E-2</v>
      </c>
      <c r="X76">
        <v>1.8707543479034E-2</v>
      </c>
      <c r="Y76">
        <v>1.6792933701078799E-2</v>
      </c>
      <c r="Z76">
        <v>1.0987501716797099E-2</v>
      </c>
      <c r="AA76">
        <v>8.3888058687677809E-3</v>
      </c>
      <c r="AB76">
        <v>1.5189788151291701E-2</v>
      </c>
      <c r="AC76">
        <v>1.5791918253599501E-2</v>
      </c>
      <c r="AD76">
        <v>1.8028610621203301E-2</v>
      </c>
      <c r="AE76">
        <v>1.7131857555341599E-2</v>
      </c>
      <c r="AF76">
        <v>1.50454201362602E-2</v>
      </c>
      <c r="AG76">
        <v>1.4200926012243299E-2</v>
      </c>
      <c r="AH76">
        <v>1.6422574912678501E-2</v>
      </c>
      <c r="AI76">
        <v>2.05281244347983E-2</v>
      </c>
      <c r="AJ76">
        <v>1.7545414266725699E-2</v>
      </c>
      <c r="AK76">
        <v>1.8897500653139599E-2</v>
      </c>
      <c r="AL76">
        <v>1.8860398860398801E-2</v>
      </c>
      <c r="AM76">
        <v>2.7319501146468202E-2</v>
      </c>
      <c r="AN76">
        <v>2.4796537739187201E-2</v>
      </c>
      <c r="AO76">
        <v>2.4223107569721E-2</v>
      </c>
      <c r="AP76">
        <v>3.0003630517089399E-2</v>
      </c>
      <c r="AQ76">
        <v>2.4471915204310201E-2</v>
      </c>
      <c r="AR76">
        <v>2.3395836917254401E-2</v>
      </c>
      <c r="AS76">
        <v>2.47340489397978E-2</v>
      </c>
      <c r="AT76">
        <v>2.59414618142619E-2</v>
      </c>
      <c r="AU76">
        <v>1.6788487894015401E-2</v>
      </c>
      <c r="AV76">
        <v>1.6466359654049099E-2</v>
      </c>
      <c r="AW76">
        <v>1.53155940594061E-2</v>
      </c>
      <c r="AX76">
        <v>1.2711956640038199E-2</v>
      </c>
      <c r="AY76">
        <v>9.6292315959161101E-3</v>
      </c>
      <c r="AZ76">
        <v>1.5796308517659102E-2</v>
      </c>
      <c r="BA76">
        <v>1.1023787069055701E-2</v>
      </c>
      <c r="BB76">
        <v>8.2709728239465097E-3</v>
      </c>
      <c r="BC76">
        <v>9.1488486842106198E-3</v>
      </c>
      <c r="BD76">
        <v>1.31404706122031E-2</v>
      </c>
      <c r="BE76">
        <v>6.5956163281721799E-3</v>
      </c>
      <c r="BF76">
        <v>1.08074633425226E-2</v>
      </c>
      <c r="BG76">
        <v>9.6839858495227898E-3</v>
      </c>
      <c r="BH76">
        <v>7.7120319442540702E-3</v>
      </c>
      <c r="BI76">
        <v>6.1767962239964698E-3</v>
      </c>
      <c r="BJ76">
        <v>1.1795139089978901E-2</v>
      </c>
      <c r="BK76">
        <v>8.1088300389224894E-3</v>
      </c>
      <c r="BL76">
        <v>7.8354183621325308E-3</v>
      </c>
      <c r="BM76">
        <v>6.9857843045200204E-3</v>
      </c>
      <c r="BN76">
        <v>7.08651138504002E-3</v>
      </c>
      <c r="BO76">
        <v>-1.0554969168380399E-3</v>
      </c>
      <c r="BP76">
        <v>5.2645237830422102E-3</v>
      </c>
      <c r="BQ76">
        <v>6.0483127420247803E-3</v>
      </c>
      <c r="BR76">
        <v>9.4211664650463208E-3</v>
      </c>
      <c r="BS76">
        <v>9.6419233004068107E-3</v>
      </c>
      <c r="BT76">
        <v>9.4779058683884792E-3</v>
      </c>
      <c r="BU76">
        <v>8.6406556208800094E-3</v>
      </c>
      <c r="BV76">
        <v>7.8954340722423594E-3</v>
      </c>
      <c r="BW76">
        <v>1.10406224808104E-2</v>
      </c>
      <c r="BX76">
        <v>1.23240657283505E-2</v>
      </c>
      <c r="BY76">
        <v>1.01022207763299E-2</v>
      </c>
      <c r="BZ76">
        <v>1.14928889868289E-2</v>
      </c>
      <c r="CA76">
        <v>1.34738817851219E-2</v>
      </c>
      <c r="CB76">
        <v>5.9032658123190397E-3</v>
      </c>
      <c r="CC76">
        <v>7.8577064702787195E-3</v>
      </c>
      <c r="CD76">
        <v>1.4500081552764501E-2</v>
      </c>
      <c r="CE76">
        <v>9.0837473271274706E-3</v>
      </c>
      <c r="CF76">
        <v>1.2698362118411801E-2</v>
      </c>
      <c r="CG76">
        <v>1.3231384024795101E-2</v>
      </c>
      <c r="CH76">
        <v>5.2482842147758601E-3</v>
      </c>
      <c r="CI76">
        <v>5.4680259499535503E-3</v>
      </c>
      <c r="CJ76">
        <v>6.7901803545642502E-3</v>
      </c>
      <c r="CK76">
        <v>7.26318359375E-3</v>
      </c>
      <c r="CL76">
        <v>6.2564382233532001E-3</v>
      </c>
      <c r="CM76">
        <v>6.6541211893114101E-3</v>
      </c>
      <c r="CN76">
        <v>6.3858106390295398E-3</v>
      </c>
      <c r="CO76">
        <v>6.9694177787025203E-3</v>
      </c>
      <c r="CP76">
        <v>5.9619556395083002E-3</v>
      </c>
      <c r="CQ76">
        <v>6.7041236962166496E-3</v>
      </c>
      <c r="CR76">
        <v>4.3570762415483504E-3</v>
      </c>
      <c r="CS76">
        <v>5.7600510714854699E-3</v>
      </c>
      <c r="CT76">
        <v>3.5776110790537402E-3</v>
      </c>
      <c r="CU76">
        <v>5.5772769089237296E-3</v>
      </c>
      <c r="CV76">
        <v>7.1902338612841498E-3</v>
      </c>
      <c r="CW76">
        <v>4.6835748449451896E-3</v>
      </c>
      <c r="CX76">
        <v>4.9018915368206403E-3</v>
      </c>
      <c r="CY76">
        <v>5.8057804768332196E-3</v>
      </c>
      <c r="CZ76">
        <v>4.0950956687024797E-3</v>
      </c>
      <c r="DA76">
        <v>4.3985412432838702E-3</v>
      </c>
      <c r="DB76">
        <v>5.5572493694391297E-3</v>
      </c>
      <c r="DC76">
        <v>6.6842156038533504E-3</v>
      </c>
      <c r="DD76">
        <v>4.2713980614423903E-3</v>
      </c>
      <c r="DE76">
        <v>6.8160750313539503E-3</v>
      </c>
      <c r="DF76">
        <v>4.4139948006933797E-3</v>
      </c>
      <c r="DG76">
        <v>2.50734679571862E-3</v>
      </c>
      <c r="DH76">
        <v>2.6355421686745698E-3</v>
      </c>
      <c r="DI76">
        <v>3.1382436564562099E-3</v>
      </c>
      <c r="DJ76">
        <v>8.0216048557346694E-5</v>
      </c>
      <c r="DK76">
        <v>1.80471632533008E-3</v>
      </c>
      <c r="DL76">
        <v>3.0825071057794E-3</v>
      </c>
      <c r="DM76">
        <v>2.6473327125182702E-3</v>
      </c>
      <c r="DN76">
        <v>1.9636720667648398E-3</v>
      </c>
      <c r="DO76">
        <v>5.6940821272031296E-3</v>
      </c>
      <c r="DP76">
        <v>5.5038382029572999E-3</v>
      </c>
      <c r="DQ76">
        <v>6.06298697047092E-3</v>
      </c>
      <c r="DR76">
        <v>8.1220388400062796E-3</v>
      </c>
      <c r="DS76">
        <v>4.7642410783452797E-3</v>
      </c>
      <c r="DT76">
        <v>6.4507009676051403E-3</v>
      </c>
      <c r="DU76">
        <v>5.6560652681845198E-3</v>
      </c>
      <c r="DV76">
        <v>7.4016707716526601E-3</v>
      </c>
      <c r="DW76">
        <v>4.6881498191533302E-3</v>
      </c>
      <c r="DX76">
        <v>5.0174985261097803E-4</v>
      </c>
      <c r="DY76">
        <v>4.1373603640870699E-4</v>
      </c>
      <c r="DZ76">
        <v>2.0051632954858302E-3</v>
      </c>
      <c r="EA76">
        <v>7.41676463966789E-3</v>
      </c>
      <c r="EB76">
        <v>5.1771015680286397E-3</v>
      </c>
      <c r="EC76">
        <v>4.6687416629613799E-3</v>
      </c>
      <c r="ED76">
        <v>7.6467261685231299E-3</v>
      </c>
      <c r="EE76">
        <v>1.0004392172173701E-3</v>
      </c>
      <c r="EF76">
        <v>6.5938619798648901E-3</v>
      </c>
      <c r="EG76">
        <v>4.9160279462867598E-3</v>
      </c>
      <c r="EH76">
        <v>7.7114937404358904E-3</v>
      </c>
      <c r="EI76">
        <v>6.7317924742624803E-3</v>
      </c>
      <c r="EJ76">
        <v>4.9170981994395299E-3</v>
      </c>
      <c r="EK76">
        <v>8.5450892329512803E-3</v>
      </c>
      <c r="EL76">
        <v>5.8125227051668603E-3</v>
      </c>
      <c r="EM76">
        <v>6.3148819163685302E-3</v>
      </c>
      <c r="EN76">
        <v>1.08022368619098E-2</v>
      </c>
      <c r="EO76">
        <v>7.9606890864105696E-3</v>
      </c>
      <c r="EP76">
        <v>5.1932408322823403E-3</v>
      </c>
      <c r="EQ76">
        <v>8.772723161798E-3</v>
      </c>
      <c r="ER76">
        <v>7.1947283485744896E-3</v>
      </c>
      <c r="ES76">
        <v>-1.6467498942963599E-3</v>
      </c>
      <c r="ET76">
        <v>9.1389340882241897E-3</v>
      </c>
      <c r="EU76">
        <v>8.4929207253770008E-3</v>
      </c>
      <c r="EV76">
        <v>5.6507693150085201E-3</v>
      </c>
      <c r="EW76">
        <v>1.0170857335758E-2</v>
      </c>
      <c r="EX76">
        <v>8.1388454697353101E-3</v>
      </c>
      <c r="EY76">
        <v>9.7305389221558104E-3</v>
      </c>
      <c r="EZ76">
        <v>1.06745737583394E-2</v>
      </c>
      <c r="FA76">
        <v>-1.59684821559547E-2</v>
      </c>
      <c r="FB76">
        <v>-6.7508571671954804E-3</v>
      </c>
      <c r="FC76">
        <v>3.9772727272726601E-3</v>
      </c>
      <c r="FD76">
        <v>6.88727296024605E-3</v>
      </c>
      <c r="FE76">
        <v>7.7203698990413504E-3</v>
      </c>
      <c r="FF76">
        <v>3.8621821855531202E-3</v>
      </c>
      <c r="FG76">
        <v>1.5515090522166799E-3</v>
      </c>
      <c r="FH76">
        <v>1.925915071332E-3</v>
      </c>
      <c r="FI76">
        <v>6.4038945707927102E-3</v>
      </c>
      <c r="FJ76">
        <v>8.3976914133865304E-3</v>
      </c>
      <c r="FK76">
        <v>9.8306655000257592E-3</v>
      </c>
      <c r="FL76">
        <v>4.6279306829766203E-3</v>
      </c>
      <c r="FM76">
        <v>3.2976845181322801E-3</v>
      </c>
      <c r="FN76">
        <v>6.6242579314110799E-3</v>
      </c>
      <c r="FO76">
        <v>2.4212831796171E-3</v>
      </c>
      <c r="FP76">
        <v>2.90653971435728E-3</v>
      </c>
      <c r="FQ76">
        <v>5.6063558686854104E-3</v>
      </c>
      <c r="FR76">
        <v>3.60741756603655E-3</v>
      </c>
      <c r="FS76">
        <v>7.1294893503259804E-4</v>
      </c>
      <c r="FT76">
        <v>4.0569557000227404E-3</v>
      </c>
      <c r="FU76">
        <v>4.1883888007410199E-3</v>
      </c>
      <c r="FV76">
        <v>4.8088246839914604E-3</v>
      </c>
      <c r="FW76">
        <v>5.0104506475494599E-3</v>
      </c>
      <c r="FX76">
        <v>2.8280158213393998E-3</v>
      </c>
      <c r="FY76">
        <v>-1.15321252059308E-3</v>
      </c>
      <c r="FZ76">
        <v>-4.1524774184784601E-3</v>
      </c>
      <c r="GA76">
        <v>4.8517677776371802E-3</v>
      </c>
      <c r="GB76">
        <v>2.4141708922735799E-3</v>
      </c>
      <c r="GC76">
        <v>-9.8655575974471209E-4</v>
      </c>
      <c r="GD76">
        <v>5.3249167376656604E-4</v>
      </c>
      <c r="GE76">
        <v>6.2800576720243298E-3</v>
      </c>
      <c r="GF76">
        <v>3.7502884837294901E-3</v>
      </c>
      <c r="GG76">
        <v>4.7326167346859504E-3</v>
      </c>
      <c r="GH76">
        <v>5.50173538273779E-3</v>
      </c>
      <c r="GI76">
        <v>2.8259034830682198E-3</v>
      </c>
      <c r="GJ76">
        <v>3.7351892653496601E-3</v>
      </c>
      <c r="GK76">
        <v>6.6889001940722004E-3</v>
      </c>
      <c r="GL76">
        <v>6.56023059070154E-3</v>
      </c>
      <c r="GM76">
        <v>5.8294671662466602E-3</v>
      </c>
      <c r="GN76">
        <v>3.3461510019967599E-3</v>
      </c>
      <c r="GO76">
        <v>4.0535809702799703E-3</v>
      </c>
      <c r="GP76">
        <v>1.0460059090158201E-3</v>
      </c>
      <c r="GQ76">
        <v>6.7369385884510401E-3</v>
      </c>
      <c r="GR76">
        <v>2.78599717758476E-3</v>
      </c>
      <c r="GS76">
        <v>4.2763366956899401E-3</v>
      </c>
      <c r="GT76">
        <v>3.1280512060174498E-3</v>
      </c>
      <c r="GU76">
        <v>-4.0826258584330003E-3</v>
      </c>
      <c r="GV76">
        <v>9.0674630107234807E-3</v>
      </c>
      <c r="GW76">
        <v>3.7755477234613401E-3</v>
      </c>
      <c r="GX76">
        <v>9.4793081266528693E-3</v>
      </c>
      <c r="GY76">
        <v>1.5780297197072201E-2</v>
      </c>
      <c r="GZ76">
        <v>1.2895131216673E-2</v>
      </c>
    </row>
    <row r="77" spans="1:208" x14ac:dyDescent="0.35">
      <c r="A77" t="s">
        <v>963</v>
      </c>
      <c r="B77">
        <v>1.32057313943541E-2</v>
      </c>
      <c r="C77">
        <v>1.32057313943541E-2</v>
      </c>
      <c r="D77">
        <v>1.7043955464091501E-2</v>
      </c>
      <c r="E77">
        <v>1.2711424717235501E-2</v>
      </c>
      <c r="F77">
        <v>3.1661458066499303E-2</v>
      </c>
      <c r="G77">
        <v>1.86720961414313E-2</v>
      </c>
      <c r="H77">
        <v>1.4478623312046E-2</v>
      </c>
      <c r="I77">
        <v>2.03267659778954E-2</v>
      </c>
      <c r="J77">
        <v>4.11623416380162E-2</v>
      </c>
      <c r="K77">
        <v>1.00873026643145E-2</v>
      </c>
      <c r="L77">
        <v>8.1952530228392995E-3</v>
      </c>
      <c r="M77">
        <v>2.17652023275441E-2</v>
      </c>
      <c r="N77">
        <v>1.60848584967179E-2</v>
      </c>
      <c r="O77">
        <v>1.74132546100201E-2</v>
      </c>
      <c r="P77">
        <v>2.0689655172413599E-2</v>
      </c>
      <c r="Q77">
        <v>2.13826631509559E-2</v>
      </c>
      <c r="R77">
        <v>1.0245653664636501E-2</v>
      </c>
      <c r="S77">
        <v>1.8087442603314002E-2</v>
      </c>
      <c r="T77">
        <v>2.9178759118362301E-2</v>
      </c>
      <c r="U77">
        <v>3.32291746055942E-2</v>
      </c>
      <c r="V77">
        <v>1.8182488751198499E-2</v>
      </c>
      <c r="W77">
        <v>1.4452856159669699E-2</v>
      </c>
      <c r="X77">
        <v>1.34971077626223E-2</v>
      </c>
      <c r="Y77">
        <v>2.29706877113867E-2</v>
      </c>
      <c r="Z77">
        <v>1.4602562336409899E-2</v>
      </c>
      <c r="AA77">
        <v>8.3842498302784101E-3</v>
      </c>
      <c r="AB77">
        <v>1.1445113946208001E-2</v>
      </c>
      <c r="AC77">
        <v>2.67580790095516E-2</v>
      </c>
      <c r="AD77">
        <v>1.41324430326408E-2</v>
      </c>
      <c r="AE77">
        <v>1.1378527823057601E-2</v>
      </c>
      <c r="AF77">
        <v>4.9300003160255299E-3</v>
      </c>
      <c r="AG77">
        <v>2.89946224724047E-2</v>
      </c>
      <c r="AH77">
        <v>1.14299685217445E-2</v>
      </c>
      <c r="AI77">
        <v>1.9640429067834898E-2</v>
      </c>
      <c r="AJ77">
        <v>1.6713587198103501E-2</v>
      </c>
      <c r="AK77">
        <v>1.7254947681366602E-2</v>
      </c>
      <c r="AL77">
        <v>1.8423540872754201E-2</v>
      </c>
      <c r="AM77">
        <v>1.51080351114115E-2</v>
      </c>
      <c r="AN77">
        <v>2.3336382029322901E-2</v>
      </c>
      <c r="AO77">
        <v>2.2018795872491299E-2</v>
      </c>
      <c r="AP77">
        <v>1.97689209243164E-2</v>
      </c>
      <c r="AQ77">
        <v>3.8667428927810402E-2</v>
      </c>
      <c r="AR77">
        <v>1.0132599449587099E-2</v>
      </c>
      <c r="AS77">
        <v>3.0092879256966101E-2</v>
      </c>
      <c r="AT77">
        <v>1.9980764606876599E-2</v>
      </c>
      <c r="AU77">
        <v>2.32432050163833E-2</v>
      </c>
      <c r="AV77">
        <v>2.19549842191353E-2</v>
      </c>
      <c r="AW77">
        <v>1.9138863841298599E-2</v>
      </c>
      <c r="AX77">
        <v>1.5992390895618099E-2</v>
      </c>
      <c r="AY77">
        <v>1.9790124531916801E-2</v>
      </c>
      <c r="AZ77">
        <v>8.4114344271044601E-3</v>
      </c>
      <c r="BA77">
        <v>1.17921033132211E-2</v>
      </c>
      <c r="BB77">
        <v>1.8831603615667701E-3</v>
      </c>
      <c r="BC77">
        <v>7.7273296854769597E-3</v>
      </c>
      <c r="BD77">
        <v>1.1066898781397499E-2</v>
      </c>
      <c r="BE77">
        <v>6.5387611199934099E-3</v>
      </c>
      <c r="BF77">
        <v>1.2951837898381099E-2</v>
      </c>
      <c r="BG77">
        <v>9.9716531633864403E-3</v>
      </c>
      <c r="BH77">
        <v>1.48695184823935E-2</v>
      </c>
      <c r="BI77">
        <v>1.23175898321042E-2</v>
      </c>
      <c r="BJ77">
        <v>-3.9913198480974197E-3</v>
      </c>
      <c r="BK77">
        <v>2.3538108392016101E-3</v>
      </c>
      <c r="BL77">
        <v>5.3370077823275998E-3</v>
      </c>
      <c r="BM77">
        <v>6.5634531485272403E-3</v>
      </c>
      <c r="BN77">
        <v>-2.53154846381043E-3</v>
      </c>
      <c r="BO77">
        <v>-2.48029225149005E-3</v>
      </c>
      <c r="BP77">
        <v>1.4070661706597799E-3</v>
      </c>
      <c r="BQ77">
        <v>1.13561997151312E-3</v>
      </c>
      <c r="BR77">
        <v>-1.71111068386742E-3</v>
      </c>
      <c r="BS77">
        <v>4.7569524689932098E-3</v>
      </c>
      <c r="BT77">
        <v>7.2262367982212101E-3</v>
      </c>
      <c r="BU77">
        <v>2.0933241988276802E-3</v>
      </c>
      <c r="BV77">
        <v>1.36351551521137E-2</v>
      </c>
      <c r="BW77">
        <v>9.8358812949641498E-3</v>
      </c>
      <c r="BX77">
        <v>5.7141796998201296E-3</v>
      </c>
      <c r="BY77">
        <v>8.0429448984487006E-3</v>
      </c>
      <c r="BZ77">
        <v>7.42977399579092E-3</v>
      </c>
      <c r="CA77">
        <v>7.3386496158107696E-3</v>
      </c>
      <c r="CB77">
        <v>4.9770083851772302E-3</v>
      </c>
      <c r="CC77">
        <v>3.5886669896465499E-3</v>
      </c>
      <c r="CD77">
        <v>7.0086356403427103E-3</v>
      </c>
      <c r="CE77">
        <v>1.7168829785345199E-2</v>
      </c>
      <c r="CF77">
        <v>1.34403909931913E-3</v>
      </c>
      <c r="CG77">
        <v>1.19057995014555E-2</v>
      </c>
      <c r="CH77">
        <v>8.9750215331609907E-3</v>
      </c>
      <c r="CI77">
        <v>4.9341824452373596E-3</v>
      </c>
      <c r="CJ77">
        <v>1.2844036697247801E-2</v>
      </c>
      <c r="CK77">
        <v>1.0114734299516899E-2</v>
      </c>
      <c r="CL77">
        <v>1.4613328019394999E-3</v>
      </c>
      <c r="CM77">
        <v>3.6480010612367502E-3</v>
      </c>
      <c r="CN77">
        <v>8.7233796487518108E-3</v>
      </c>
      <c r="CO77">
        <v>6.2894111866349496E-3</v>
      </c>
      <c r="CP77">
        <v>2.49027490681808E-3</v>
      </c>
      <c r="CQ77">
        <v>4.3999220678010396E-3</v>
      </c>
      <c r="CR77">
        <v>7.2418085123580099E-3</v>
      </c>
      <c r="CS77">
        <v>8.9711286931681792E-3</v>
      </c>
      <c r="CT77">
        <v>4.58088118339428E-3</v>
      </c>
      <c r="CU77">
        <v>8.3916526805789503E-3</v>
      </c>
      <c r="CV77">
        <v>5.7467654817233704E-3</v>
      </c>
      <c r="CW77">
        <v>8.2118212757984494E-3</v>
      </c>
      <c r="CX77">
        <v>8.4236605760297199E-3</v>
      </c>
      <c r="CY77">
        <v>6.6642098151221702E-3</v>
      </c>
      <c r="CZ77">
        <v>5.1709936239665603E-3</v>
      </c>
      <c r="DA77">
        <v>1.3809429867824E-2</v>
      </c>
      <c r="DB77">
        <v>2.3500531381441801E-3</v>
      </c>
      <c r="DC77">
        <v>-5.3610895406486199E-3</v>
      </c>
      <c r="DD77">
        <v>5.8103745965016902E-3</v>
      </c>
      <c r="DE77">
        <v>3.4332457606875998E-3</v>
      </c>
      <c r="DF77">
        <v>3.40662283181103E-3</v>
      </c>
      <c r="DG77">
        <v>6.5825562260011204E-3</v>
      </c>
      <c r="DH77">
        <v>2.29766551292454E-3</v>
      </c>
      <c r="DI77">
        <v>7.0094487957561603E-3</v>
      </c>
      <c r="DJ77">
        <v>-4.1880691104366798E-3</v>
      </c>
      <c r="DK77">
        <v>6.4330827508389801E-3</v>
      </c>
      <c r="DL77">
        <v>6.5375655212580597E-3</v>
      </c>
      <c r="DM77">
        <v>3.2113874061536801E-3</v>
      </c>
      <c r="DN77">
        <v>2.9703969661576402E-3</v>
      </c>
      <c r="DO77">
        <v>8.4103684747760497E-3</v>
      </c>
      <c r="DP77">
        <v>9.0815773716175201E-3</v>
      </c>
      <c r="DQ77">
        <v>1.22917814606027E-2</v>
      </c>
      <c r="DR77">
        <v>9.7419363843178602E-3</v>
      </c>
      <c r="DS77">
        <v>3.84259195267256E-3</v>
      </c>
      <c r="DT77">
        <v>7.16006884681586E-3</v>
      </c>
      <c r="DU77">
        <v>4.5252580490806604E-3</v>
      </c>
      <c r="DV77">
        <v>1.7012357776688999E-3</v>
      </c>
      <c r="DW77">
        <v>5.2580807325988098E-3</v>
      </c>
      <c r="DX77">
        <v>6.4064442882629802E-3</v>
      </c>
      <c r="DY77">
        <v>6.4731003733446996E-3</v>
      </c>
      <c r="DZ77">
        <v>6.4848420153715801E-3</v>
      </c>
      <c r="EA77">
        <v>9.4524724910511893E-3</v>
      </c>
      <c r="EB77">
        <v>8.5891020842361297E-3</v>
      </c>
      <c r="EC77">
        <v>1.85293696368347E-2</v>
      </c>
      <c r="ED77">
        <v>1.11480439785221E-2</v>
      </c>
      <c r="EE77">
        <v>7.1056491174834599E-3</v>
      </c>
      <c r="EF77">
        <v>9.0516483792402198E-3</v>
      </c>
      <c r="EG77">
        <v>7.4898911353034102E-3</v>
      </c>
      <c r="EH77">
        <v>8.5085888585647602E-3</v>
      </c>
      <c r="EI77">
        <v>8.6817035241104606E-3</v>
      </c>
      <c r="EJ77">
        <v>9.1532625189680895E-3</v>
      </c>
      <c r="EK77">
        <v>9.7318625269160498E-3</v>
      </c>
      <c r="EL77">
        <v>1.3164478543687101E-2</v>
      </c>
      <c r="EM77">
        <v>9.0189668755804604E-3</v>
      </c>
      <c r="EN77">
        <v>1.0441673464631099E-2</v>
      </c>
      <c r="EO77">
        <v>7.1852005628214597E-3</v>
      </c>
      <c r="EP77">
        <v>8.4164481443735895E-3</v>
      </c>
      <c r="EQ77">
        <v>6.9608466569768303E-3</v>
      </c>
      <c r="ER77">
        <v>7.4089109915760299E-3</v>
      </c>
      <c r="ES77">
        <v>5.2051850359326997E-3</v>
      </c>
      <c r="ET77">
        <v>8.5524337687501503E-3</v>
      </c>
      <c r="EU77">
        <v>7.9940817295483003E-3</v>
      </c>
      <c r="EV77">
        <v>6.8900548794514904E-3</v>
      </c>
      <c r="EW77">
        <v>8.0178416013925204E-3</v>
      </c>
      <c r="EX77">
        <v>8.4289368315399998E-3</v>
      </c>
      <c r="EY77">
        <v>1.02420856610801E-2</v>
      </c>
      <c r="EZ77">
        <v>7.5003972668044004E-3</v>
      </c>
      <c r="FA77">
        <v>-4.7632566795998699E-3</v>
      </c>
      <c r="FB77">
        <v>-8.3888008452193095E-3</v>
      </c>
      <c r="FC77">
        <v>1.81128537333874E-4</v>
      </c>
      <c r="FD77">
        <v>3.0573221267029501E-3</v>
      </c>
      <c r="FE77">
        <v>7.6890399320306297E-3</v>
      </c>
      <c r="FF77">
        <v>6.3656675519581096E-3</v>
      </c>
      <c r="FG77">
        <v>7.6658847184987201E-3</v>
      </c>
      <c r="FH77">
        <v>3.97006859280813E-3</v>
      </c>
      <c r="FI77">
        <v>8.1364775056416098E-3</v>
      </c>
      <c r="FJ77">
        <v>8.9846798373516296E-3</v>
      </c>
      <c r="FK77">
        <v>9.0471489777432801E-3</v>
      </c>
      <c r="FL77">
        <v>3.4795062126835598E-3</v>
      </c>
      <c r="FM77">
        <v>-1.3367237203131301E-3</v>
      </c>
      <c r="FN77">
        <v>3.4620184372609101E-3</v>
      </c>
      <c r="FO77">
        <v>2.2064428130139598E-3</v>
      </c>
      <c r="FP77">
        <v>1.9213833960451999E-3</v>
      </c>
      <c r="FQ77">
        <v>1.2385137834598501E-3</v>
      </c>
      <c r="FR77">
        <v>-4.9878296955352397E-5</v>
      </c>
      <c r="FS77">
        <v>1.9752790829916699E-3</v>
      </c>
      <c r="FT77">
        <v>3.23585929488135E-3</v>
      </c>
      <c r="FU77">
        <v>1.5214068795776199E-2</v>
      </c>
      <c r="FV77">
        <v>-2.5807712986949398E-3</v>
      </c>
      <c r="FW77">
        <v>4.4202252256666501E-3</v>
      </c>
      <c r="FX77">
        <v>4.6739915302198599E-3</v>
      </c>
      <c r="FY77">
        <v>1.3403133225202699E-3</v>
      </c>
      <c r="FZ77">
        <v>-1.6101029107944401E-3</v>
      </c>
      <c r="GA77">
        <v>1.9624415882175698E-3</v>
      </c>
      <c r="GB77">
        <v>1.53197265719696E-3</v>
      </c>
      <c r="GC77">
        <v>-7.9385824789679504E-4</v>
      </c>
      <c r="GD77">
        <v>-2.4997335555317899E-3</v>
      </c>
      <c r="GE77">
        <v>5.3810962283760101E-3</v>
      </c>
      <c r="GF77">
        <v>3.8837952988686202E-3</v>
      </c>
      <c r="GG77">
        <v>4.8215265280195903E-3</v>
      </c>
      <c r="GH77">
        <v>5.2485394119337102E-3</v>
      </c>
      <c r="GI77">
        <v>3.7919929876712999E-3</v>
      </c>
      <c r="GJ77">
        <v>4.7837807054178496E-3</v>
      </c>
      <c r="GK77">
        <v>7.3020971093897798E-3</v>
      </c>
      <c r="GL77">
        <v>9.5842750368084796E-3</v>
      </c>
      <c r="GM77">
        <v>7.3568343318934897E-3</v>
      </c>
      <c r="GN77">
        <v>5.7724049535716696E-3</v>
      </c>
      <c r="GO77">
        <v>7.8387868675107199E-3</v>
      </c>
      <c r="GP77">
        <v>1.0461392911724101E-2</v>
      </c>
      <c r="GQ77">
        <v>-6.9770791695925602E-3</v>
      </c>
      <c r="GR77">
        <v>3.3543965259330601E-3</v>
      </c>
      <c r="GS77">
        <v>3.5690728542643298E-3</v>
      </c>
      <c r="GT77">
        <v>2.9891597940001598E-3</v>
      </c>
      <c r="GU77">
        <v>3.94973070017901E-4</v>
      </c>
      <c r="GV77">
        <v>7.4028211478411902E-3</v>
      </c>
      <c r="GW77">
        <v>6.1459530235417103E-3</v>
      </c>
      <c r="GX77">
        <v>9.7911631653961901E-3</v>
      </c>
      <c r="GY77">
        <v>1.0195940910884001E-2</v>
      </c>
      <c r="GZ77">
        <v>1.13774429826086E-2</v>
      </c>
    </row>
    <row r="78" spans="1:208" x14ac:dyDescent="0.35">
      <c r="A78" t="s">
        <v>964</v>
      </c>
      <c r="B78">
        <v>2.12315774113527E-2</v>
      </c>
      <c r="C78">
        <v>2.12315774113527E-2</v>
      </c>
      <c r="D78">
        <v>1.8075301850396502E-2</v>
      </c>
      <c r="E78">
        <v>1.8947368421052602E-2</v>
      </c>
      <c r="F78">
        <v>2.26584022038567E-2</v>
      </c>
      <c r="G78">
        <v>1.8115698026803101E-2</v>
      </c>
      <c r="H78">
        <v>1.4089165233496501E-2</v>
      </c>
      <c r="I78">
        <v>1.0892961972474E-2</v>
      </c>
      <c r="J78">
        <v>2.23899858046199E-2</v>
      </c>
      <c r="K78">
        <v>1.1801830230356599E-2</v>
      </c>
      <c r="L78">
        <v>1.5219560878243501E-2</v>
      </c>
      <c r="M78">
        <v>1.37625952322438E-2</v>
      </c>
      <c r="N78">
        <v>1.9696969696969501E-2</v>
      </c>
      <c r="O78">
        <v>1.7771173848439799E-2</v>
      </c>
      <c r="P78">
        <v>1.3431441252044001E-2</v>
      </c>
      <c r="Q78">
        <v>1.8958165264492299E-2</v>
      </c>
      <c r="R78">
        <v>2.9010914437595601E-2</v>
      </c>
      <c r="S78">
        <v>3.4787865464937402E-2</v>
      </c>
      <c r="T78">
        <v>3.6486271177439002E-2</v>
      </c>
      <c r="U78">
        <v>2.9411764705882502E-2</v>
      </c>
      <c r="V78">
        <v>2.0109507217521201E-2</v>
      </c>
      <c r="W78">
        <v>1.9810676295501001E-2</v>
      </c>
      <c r="X78">
        <v>1.2775119617225E-2</v>
      </c>
      <c r="Y78">
        <v>1.28029479850709E-2</v>
      </c>
      <c r="Z78">
        <v>1.1288366452094399E-2</v>
      </c>
      <c r="AA78">
        <v>1.2130996309963201E-2</v>
      </c>
      <c r="AB78">
        <v>7.4283370550973799E-3</v>
      </c>
      <c r="AC78">
        <v>1.19424590608883E-2</v>
      </c>
      <c r="AD78">
        <v>1.88645507375951E-2</v>
      </c>
      <c r="AE78">
        <v>1.79010179010177E-2</v>
      </c>
      <c r="AF78">
        <v>1.7025862068965399E-2</v>
      </c>
      <c r="AG78">
        <v>1.6867980504344099E-2</v>
      </c>
      <c r="AH78">
        <v>1.41291209936232E-2</v>
      </c>
      <c r="AI78">
        <v>1.66858457997698E-2</v>
      </c>
      <c r="AJ78">
        <v>1.52397121836849E-2</v>
      </c>
      <c r="AK78">
        <v>1.43340633087798E-2</v>
      </c>
      <c r="AL78">
        <v>2.3788027477919398E-2</v>
      </c>
      <c r="AM78">
        <v>2.2890226601740799E-2</v>
      </c>
      <c r="AN78">
        <v>3.3885598620586203E-2</v>
      </c>
      <c r="AO78">
        <v>1.95417301138423E-2</v>
      </c>
      <c r="AP78">
        <v>2.6030368763557701E-2</v>
      </c>
      <c r="AQ78">
        <v>2.7449485322150101E-2</v>
      </c>
      <c r="AR78">
        <v>2.8841288581548299E-2</v>
      </c>
      <c r="AS78">
        <v>2.7213114754098398E-2</v>
      </c>
      <c r="AT78">
        <v>3.25247366741142E-2</v>
      </c>
      <c r="AU78">
        <v>2.15153482333303E-2</v>
      </c>
      <c r="AV78">
        <v>1.35875321531245E-2</v>
      </c>
      <c r="AW78">
        <v>1.5793873529587499E-2</v>
      </c>
      <c r="AX78">
        <v>1.68415483643416E-2</v>
      </c>
      <c r="AY78">
        <v>1.6071222106601901E-2</v>
      </c>
      <c r="AZ78">
        <v>1.5703231679563098E-2</v>
      </c>
      <c r="BA78">
        <v>1.2715662110687901E-2</v>
      </c>
      <c r="BB78">
        <v>7.1906632003981797E-3</v>
      </c>
      <c r="BC78">
        <v>1.09561205997035E-2</v>
      </c>
      <c r="BD78">
        <v>9.6694461797539599E-3</v>
      </c>
      <c r="BE78">
        <v>7.6130524843300903E-3</v>
      </c>
      <c r="BF78">
        <v>1.44970098248611E-2</v>
      </c>
      <c r="BG78">
        <v>9.5265664885917402E-3</v>
      </c>
      <c r="BH78">
        <v>9.3323948802170893E-3</v>
      </c>
      <c r="BI78">
        <v>9.9176115085617394E-3</v>
      </c>
      <c r="BJ78">
        <v>1.1789376774160599E-2</v>
      </c>
      <c r="BK78">
        <v>9.8574461631786292E-3</v>
      </c>
      <c r="BL78">
        <v>8.2845272062870307E-3</v>
      </c>
      <c r="BM78">
        <v>9.2590294154153395E-3</v>
      </c>
      <c r="BN78">
        <v>4.1566235427221701E-3</v>
      </c>
      <c r="BO78">
        <v>4.4088470864869196E-3</v>
      </c>
      <c r="BP78">
        <v>8.6570585509790892E-3</v>
      </c>
      <c r="BQ78">
        <v>1.2716986606063499E-2</v>
      </c>
      <c r="BR78">
        <v>1.4300038197096999E-2</v>
      </c>
      <c r="BS78">
        <v>1.22155012121354E-2</v>
      </c>
      <c r="BT78">
        <v>1.1975073245593699E-2</v>
      </c>
      <c r="BU78">
        <v>5.9511500195308402E-3</v>
      </c>
      <c r="BV78">
        <v>5.1393330287803404E-3</v>
      </c>
      <c r="BW78">
        <v>9.7488921713440001E-3</v>
      </c>
      <c r="BX78">
        <v>8.4169779898277692E-3</v>
      </c>
      <c r="BY78">
        <v>1.14488484199249E-2</v>
      </c>
      <c r="BZ78">
        <v>1.31506365702434E-2</v>
      </c>
      <c r="CA78">
        <v>1.35679595792408E-2</v>
      </c>
      <c r="CB78">
        <v>9.3682853459389204E-3</v>
      </c>
      <c r="CC78">
        <v>1.2921491825613101E-2</v>
      </c>
      <c r="CD78">
        <v>1.4143706786037E-2</v>
      </c>
      <c r="CE78">
        <v>1.0319960212201501E-2</v>
      </c>
      <c r="CF78">
        <v>1.35988841941175E-2</v>
      </c>
      <c r="CG78">
        <v>1.5743570026509199E-2</v>
      </c>
      <c r="CH78">
        <v>4.20360593684621E-3</v>
      </c>
      <c r="CI78">
        <v>6.0508669602825603E-3</v>
      </c>
      <c r="CJ78">
        <v>8.2427875608841496E-3</v>
      </c>
      <c r="CK78">
        <v>8.7230338946586699E-3</v>
      </c>
      <c r="CL78">
        <v>7.1352399418322899E-3</v>
      </c>
      <c r="CM78">
        <v>1.1936160791637101E-2</v>
      </c>
      <c r="CN78">
        <v>7.3816182485779702E-3</v>
      </c>
      <c r="CO78">
        <v>6.8176238409094498E-3</v>
      </c>
      <c r="CP78">
        <v>5.8148259303723001E-3</v>
      </c>
      <c r="CQ78">
        <v>5.8931035768901002E-3</v>
      </c>
      <c r="CR78">
        <v>2.8551299640327001E-3</v>
      </c>
      <c r="CS78">
        <v>5.0469570361606503E-3</v>
      </c>
      <c r="CT78">
        <v>8.1670192219258607E-3</v>
      </c>
      <c r="CU78">
        <v>5.5647795070152802E-3</v>
      </c>
      <c r="CV78">
        <v>8.7455093079797895E-3</v>
      </c>
      <c r="CW78">
        <v>8.4898194114684192E-3</v>
      </c>
      <c r="CX78">
        <v>5.5825069558392802E-3</v>
      </c>
      <c r="CY78">
        <v>7.5912098047215002E-3</v>
      </c>
      <c r="CZ78">
        <v>4.1190656410077199E-3</v>
      </c>
      <c r="DA78">
        <v>3.82167838297431E-3</v>
      </c>
      <c r="DB78">
        <v>9.98934702502563E-3</v>
      </c>
      <c r="DC78">
        <v>1.3660021095223099E-3</v>
      </c>
      <c r="DD78">
        <v>6.3199336924990596E-3</v>
      </c>
      <c r="DE78">
        <v>7.1725179312949203E-3</v>
      </c>
      <c r="DF78">
        <v>6.62736813411491E-3</v>
      </c>
      <c r="DG78">
        <v>3.2326309554033799E-3</v>
      </c>
      <c r="DH78">
        <v>4.3525204129832903E-3</v>
      </c>
      <c r="DI78">
        <v>7.8274599388585796E-3</v>
      </c>
      <c r="DJ78">
        <v>1.34999999999996E-3</v>
      </c>
      <c r="DK78">
        <v>4.4273564021903898E-3</v>
      </c>
      <c r="DL78">
        <v>7.4900160737070296E-3</v>
      </c>
      <c r="DM78">
        <v>8.3554005822463803E-3</v>
      </c>
      <c r="DN78">
        <v>7.6826463535974998E-3</v>
      </c>
      <c r="DO78">
        <v>1.35323254232897E-2</v>
      </c>
      <c r="DP78">
        <v>1.20100935892931E-2</v>
      </c>
      <c r="DQ78">
        <v>1.14888110343085E-2</v>
      </c>
      <c r="DR78">
        <v>1.2778107155116099E-2</v>
      </c>
      <c r="DS78">
        <v>1.0614206707439299E-2</v>
      </c>
      <c r="DT78">
        <v>1.07313801408493E-2</v>
      </c>
      <c r="DU78">
        <v>1.2487557687087101E-2</v>
      </c>
      <c r="DV78">
        <v>1.19462567402508E-2</v>
      </c>
      <c r="DW78">
        <v>3.9154498351388102E-3</v>
      </c>
      <c r="DX78">
        <v>2.6245564646199E-3</v>
      </c>
      <c r="DY78">
        <v>1.9449847179771099E-3</v>
      </c>
      <c r="DZ78">
        <v>6.0863473158769797E-3</v>
      </c>
      <c r="EA78">
        <v>8.9945017481249893E-3</v>
      </c>
      <c r="EB78">
        <v>7.1889692455895399E-3</v>
      </c>
      <c r="EC78">
        <v>8.3510585145107896E-3</v>
      </c>
      <c r="ED78">
        <v>1.42420295599976E-2</v>
      </c>
      <c r="EE78">
        <v>7.2583121632563397E-4</v>
      </c>
      <c r="EF78">
        <v>6.7090690992272998E-3</v>
      </c>
      <c r="EG78">
        <v>7.8420505715275403E-3</v>
      </c>
      <c r="EH78">
        <v>1.2647612763090999E-2</v>
      </c>
      <c r="EI78">
        <v>1.4281641574238601E-2</v>
      </c>
      <c r="EJ78">
        <v>1.61953073762264E-2</v>
      </c>
      <c r="EK78">
        <v>1.7227980980730299E-2</v>
      </c>
      <c r="EL78">
        <v>8.9860289262084798E-3</v>
      </c>
      <c r="EM78">
        <v>1.2794353545075399E-2</v>
      </c>
      <c r="EN78">
        <v>1.5977800866678701E-2</v>
      </c>
      <c r="EO78">
        <v>1.6337627676689299E-2</v>
      </c>
      <c r="EP78">
        <v>7.11717570834303E-3</v>
      </c>
      <c r="EQ78">
        <v>1.53521864681443E-2</v>
      </c>
      <c r="ER78">
        <v>1.00320401281604E-2</v>
      </c>
      <c r="ES78">
        <v>1.0573964286138699E-2</v>
      </c>
      <c r="ET78">
        <v>1.9092629821653401E-2</v>
      </c>
      <c r="EU78">
        <v>1.0774892424120001E-2</v>
      </c>
      <c r="EV78">
        <v>1.08768846228471E-2</v>
      </c>
      <c r="EW78">
        <v>1.45082985209439E-2</v>
      </c>
      <c r="EX78">
        <v>1.6025819375660801E-2</v>
      </c>
      <c r="EY78">
        <v>1.39219015280136E-2</v>
      </c>
      <c r="EZ78">
        <v>1.34174534926432E-2</v>
      </c>
      <c r="FA78">
        <v>-1.18966399454206E-2</v>
      </c>
      <c r="FB78">
        <v>-1.2956889483450499E-2</v>
      </c>
      <c r="FC78">
        <v>2.1969374036789899E-3</v>
      </c>
      <c r="FD78">
        <v>5.1149500501681501E-3</v>
      </c>
      <c r="FE78">
        <v>7.3458404314188401E-3</v>
      </c>
      <c r="FF78">
        <v>9.9097352377259806E-3</v>
      </c>
      <c r="FG78">
        <v>6.6660978263188798E-3</v>
      </c>
      <c r="FH78">
        <v>5.2339934098302203E-3</v>
      </c>
      <c r="FI78">
        <v>8.4425097758149496E-3</v>
      </c>
      <c r="FJ78">
        <v>1.01590752315057E-2</v>
      </c>
      <c r="FK78">
        <v>1.2043455768235799E-2</v>
      </c>
      <c r="FL78">
        <v>5.1628601222730702E-3</v>
      </c>
      <c r="FM78">
        <v>-1.1696620185316399E-3</v>
      </c>
      <c r="FN78">
        <v>1.2188912875239301E-2</v>
      </c>
      <c r="FO78">
        <v>1.00602609631739E-5</v>
      </c>
      <c r="FP78">
        <v>5.91537393613795E-3</v>
      </c>
      <c r="FQ78">
        <v>1.21812181218122E-2</v>
      </c>
      <c r="FR78">
        <v>1.1491186467472899E-2</v>
      </c>
      <c r="FS78">
        <v>5.2846997684892196E-3</v>
      </c>
      <c r="FT78">
        <v>7.9193874378109506E-3</v>
      </c>
      <c r="FU78">
        <v>5.6976486353601504E-3</v>
      </c>
      <c r="FV78">
        <v>7.9276826626277792E-3</v>
      </c>
      <c r="FW78">
        <v>3.3953112368634302E-3</v>
      </c>
      <c r="FX78">
        <v>5.5733540596387696E-3</v>
      </c>
      <c r="FY78">
        <v>-3.3933452728818198E-4</v>
      </c>
      <c r="FZ78">
        <v>-8.2788013653421998E-3</v>
      </c>
      <c r="GA78">
        <v>6.5319084201718204E-3</v>
      </c>
      <c r="GB78">
        <v>1.0012941254262701E-3</v>
      </c>
      <c r="GC78">
        <v>-3.3405996093196499E-3</v>
      </c>
      <c r="GD78">
        <v>-7.43265634616297E-3</v>
      </c>
      <c r="GE78">
        <v>7.6981780024802902E-3</v>
      </c>
      <c r="GF78">
        <v>3.2943002925112101E-3</v>
      </c>
      <c r="GG78">
        <v>4.8969193753833897E-3</v>
      </c>
      <c r="GH78">
        <v>9.0794711935702193E-3</v>
      </c>
      <c r="GI78">
        <v>2.9217184170613501E-3</v>
      </c>
      <c r="GJ78">
        <v>9.0921742357470397E-3</v>
      </c>
      <c r="GK78">
        <v>1.20535098607089E-2</v>
      </c>
      <c r="GL78">
        <v>1.18736145935536E-2</v>
      </c>
      <c r="GM78">
        <v>1.10609338947596E-2</v>
      </c>
      <c r="GN78">
        <v>9.0307685477069004E-3</v>
      </c>
      <c r="GO78">
        <v>5.9402281047591403E-3</v>
      </c>
      <c r="GP78">
        <v>-2.5632725904800599E-3</v>
      </c>
      <c r="GQ78">
        <v>7.5780167347869699E-3</v>
      </c>
      <c r="GR78">
        <v>2.0543533139505401E-3</v>
      </c>
      <c r="GS78">
        <v>2.8927845440172E-3</v>
      </c>
      <c r="GT78">
        <v>9.4328999454293995E-3</v>
      </c>
      <c r="GU78">
        <v>-3.8014004256194901E-3</v>
      </c>
      <c r="GV78">
        <v>4.8754016176686399E-3</v>
      </c>
      <c r="GW78">
        <v>8.1605362638115207E-3</v>
      </c>
      <c r="GX78">
        <v>1.53472039180007E-2</v>
      </c>
      <c r="GY78">
        <v>1.78200576137202E-2</v>
      </c>
      <c r="GZ78">
        <v>1.4488580267228299E-2</v>
      </c>
    </row>
    <row r="79" spans="1:208" x14ac:dyDescent="0.35">
      <c r="A79" t="s">
        <v>965</v>
      </c>
      <c r="B79">
        <v>1.9913023575188999E-2</v>
      </c>
      <c r="C79">
        <v>1.9913023575188999E-2</v>
      </c>
      <c r="D79">
        <v>1.7654099341711402E-2</v>
      </c>
      <c r="E79">
        <v>1.6833284328138898E-2</v>
      </c>
      <c r="F79">
        <v>2.4651196414371399E-2</v>
      </c>
      <c r="G79">
        <v>1.8696204317764999E-2</v>
      </c>
      <c r="H79">
        <v>1.5097998476348899E-2</v>
      </c>
      <c r="I79">
        <v>9.0741625162038507E-3</v>
      </c>
      <c r="J79">
        <v>2.5152129817444399E-2</v>
      </c>
      <c r="K79">
        <v>1.3124917557050499E-2</v>
      </c>
      <c r="L79">
        <v>1.5558882885228701E-2</v>
      </c>
      <c r="M79">
        <v>1.2435897435897601E-2</v>
      </c>
      <c r="N79">
        <v>1.9754337090034199E-2</v>
      </c>
      <c r="O79">
        <v>1.68881162299763E-2</v>
      </c>
      <c r="P79">
        <v>1.1600928074246E-2</v>
      </c>
      <c r="Q79">
        <v>1.6779333655238898E-2</v>
      </c>
      <c r="R79">
        <v>2.42787605366259E-2</v>
      </c>
      <c r="S79">
        <v>2.68907563025211E-2</v>
      </c>
      <c r="T79">
        <v>2.8726226084993398E-2</v>
      </c>
      <c r="U79">
        <v>2.6113671274961399E-2</v>
      </c>
      <c r="V79">
        <v>1.99957228400343E-2</v>
      </c>
      <c r="W79">
        <v>2.4111542090365898E-2</v>
      </c>
      <c r="X79">
        <v>1.5354693417954699E-2</v>
      </c>
      <c r="Y79">
        <v>1.45680008065328E-2</v>
      </c>
      <c r="Z79">
        <v>1.30173398916877E-2</v>
      </c>
      <c r="AA79">
        <v>1.3046250429153101E-2</v>
      </c>
      <c r="AB79">
        <v>8.7630113773904394E-3</v>
      </c>
      <c r="AC79">
        <v>1.31983106162412E-2</v>
      </c>
      <c r="AD79">
        <v>2.0321159585050302E-2</v>
      </c>
      <c r="AE79">
        <v>1.9870009285051001E-2</v>
      </c>
      <c r="AF79">
        <v>1.7889657683903801E-2</v>
      </c>
      <c r="AG79">
        <v>1.83354948347569E-2</v>
      </c>
      <c r="AH79">
        <v>1.4536032673137E-2</v>
      </c>
      <c r="AI79">
        <v>1.6015929356765699E-2</v>
      </c>
      <c r="AJ79">
        <v>1.4314928425357899E-2</v>
      </c>
      <c r="AK79">
        <v>1.33988575268817E-2</v>
      </c>
      <c r="AL79">
        <v>2.4536825962614601E-2</v>
      </c>
      <c r="AM79">
        <v>2.18455439135887E-2</v>
      </c>
      <c r="AN79">
        <v>3.5116196207292602E-2</v>
      </c>
      <c r="AO79">
        <v>1.7211045666641198E-2</v>
      </c>
      <c r="AP79">
        <v>2.5718153105730199E-2</v>
      </c>
      <c r="AQ79">
        <v>2.7126099706744799E-2</v>
      </c>
      <c r="AR79">
        <v>2.7801570306923699E-2</v>
      </c>
      <c r="AS79">
        <v>2.65981457689504E-2</v>
      </c>
      <c r="AT79">
        <v>3.3519364112971399E-2</v>
      </c>
      <c r="AU79">
        <v>2.0912423092027701E-2</v>
      </c>
      <c r="AV79">
        <v>1.1957044398140699E-2</v>
      </c>
      <c r="AW79">
        <v>1.53319817536746E-2</v>
      </c>
      <c r="AX79">
        <v>1.7534007238237701E-2</v>
      </c>
      <c r="AY79">
        <v>1.5944073097442901E-2</v>
      </c>
      <c r="AZ79">
        <v>1.65992635963059E-2</v>
      </c>
      <c r="BA79">
        <v>1.5021968887305399E-2</v>
      </c>
      <c r="BB79">
        <v>8.5697572389587008E-3</v>
      </c>
      <c r="BC79">
        <v>1.36589043876694E-2</v>
      </c>
      <c r="BD79">
        <v>1.17010928649082E-2</v>
      </c>
      <c r="BE79">
        <v>9.3600656052936805E-3</v>
      </c>
      <c r="BF79">
        <v>1.7537961562167099E-2</v>
      </c>
      <c r="BG79">
        <v>1.09030837004405E-2</v>
      </c>
      <c r="BH79">
        <v>1.07310164505936E-2</v>
      </c>
      <c r="BI79">
        <v>1.1802748585286999E-2</v>
      </c>
      <c r="BJ79">
        <v>1.3209758176201E-2</v>
      </c>
      <c r="BK79">
        <v>1.1434128903375E-2</v>
      </c>
      <c r="BL79">
        <v>9.2777878843004497E-3</v>
      </c>
      <c r="BM79">
        <v>1.0067978164589601E-2</v>
      </c>
      <c r="BN79">
        <v>3.6709409335409201E-3</v>
      </c>
      <c r="BO79">
        <v>2.9971298671609401E-3</v>
      </c>
      <c r="BP79">
        <v>8.5593456405581598E-3</v>
      </c>
      <c r="BQ79">
        <v>1.3182012202777E-2</v>
      </c>
      <c r="BR79">
        <v>1.61825931800159E-2</v>
      </c>
      <c r="BS79">
        <v>1.3169125716376E-2</v>
      </c>
      <c r="BT79">
        <v>1.2685040317727899E-2</v>
      </c>
      <c r="BU79">
        <v>6.1085757748620103E-3</v>
      </c>
      <c r="BV79">
        <v>4.4413995133361101E-3</v>
      </c>
      <c r="BW79">
        <v>1.0772161723545901E-2</v>
      </c>
      <c r="BX79">
        <v>8.8888888888889496E-3</v>
      </c>
      <c r="BY79">
        <v>1.29621514403671E-2</v>
      </c>
      <c r="BZ79">
        <v>1.5164279696714401E-2</v>
      </c>
      <c r="CA79">
        <v>1.48704721318829E-2</v>
      </c>
      <c r="CB79">
        <v>9.8346888260254506E-3</v>
      </c>
      <c r="CC79">
        <v>1.46849626857506E-2</v>
      </c>
      <c r="CD79">
        <v>1.5852816840652199E-2</v>
      </c>
      <c r="CE79">
        <v>1.0679632263954599E-2</v>
      </c>
      <c r="CF79">
        <v>1.4537204319146299E-2</v>
      </c>
      <c r="CG79">
        <v>1.8925746469540702E-2</v>
      </c>
      <c r="CH79">
        <v>4.7553243375060301E-3</v>
      </c>
      <c r="CI79">
        <v>6.2699728975366097E-3</v>
      </c>
      <c r="CJ79">
        <v>9.5473548802056402E-3</v>
      </c>
      <c r="CK79">
        <v>1.13683875206563E-2</v>
      </c>
      <c r="CL79">
        <v>9.4491909130280903E-3</v>
      </c>
      <c r="CM79">
        <v>1.35925738133313E-2</v>
      </c>
      <c r="CN79">
        <v>8.5618085618086592E-3</v>
      </c>
      <c r="CO79">
        <v>7.3063716138877001E-3</v>
      </c>
      <c r="CP79">
        <v>5.4731738726967504E-3</v>
      </c>
      <c r="CQ79">
        <v>5.91426203571155E-3</v>
      </c>
      <c r="CR79">
        <v>3.2580608920345102E-3</v>
      </c>
      <c r="CS79">
        <v>5.1138484509145599E-3</v>
      </c>
      <c r="CT79">
        <v>8.3744940023024999E-3</v>
      </c>
      <c r="CU79">
        <v>5.8189853604639899E-3</v>
      </c>
      <c r="CV79">
        <v>8.7329049266764401E-3</v>
      </c>
      <c r="CW79">
        <v>8.5484046607862095E-3</v>
      </c>
      <c r="CX79">
        <v>4.6068851337977001E-3</v>
      </c>
      <c r="CY79">
        <v>7.6847290640393896E-3</v>
      </c>
      <c r="CZ79">
        <v>3.8041739254097702E-3</v>
      </c>
      <c r="DA79">
        <v>3.4001558404759299E-3</v>
      </c>
      <c r="DB79">
        <v>1.1013060360042499E-2</v>
      </c>
      <c r="DC79">
        <v>1.4314642832204999E-3</v>
      </c>
      <c r="DD79">
        <v>6.62413276156615E-3</v>
      </c>
      <c r="DE79">
        <v>8.1044574515982699E-3</v>
      </c>
      <c r="DF79">
        <v>6.8540213694301402E-3</v>
      </c>
      <c r="DG79">
        <v>2.3885486154948698E-3</v>
      </c>
      <c r="DH79">
        <v>4.7827344986639498E-3</v>
      </c>
      <c r="DI79">
        <v>8.1647863942813093E-3</v>
      </c>
      <c r="DJ79">
        <v>1.57940721822714E-3</v>
      </c>
      <c r="DK79">
        <v>5.3178996812615099E-3</v>
      </c>
      <c r="DL79">
        <v>7.8095015602317498E-3</v>
      </c>
      <c r="DM79">
        <v>9.0073681596158899E-3</v>
      </c>
      <c r="DN79">
        <v>8.5495331396971998E-3</v>
      </c>
      <c r="DO79">
        <v>1.5001627074519901E-2</v>
      </c>
      <c r="DP79">
        <v>1.3850149081466E-2</v>
      </c>
      <c r="DQ79">
        <v>1.2206305537109099E-2</v>
      </c>
      <c r="DR79">
        <v>1.3964822393701899E-2</v>
      </c>
      <c r="DS79">
        <v>1.0444910032043399E-2</v>
      </c>
      <c r="DT79">
        <v>1.1724348223814501E-2</v>
      </c>
      <c r="DU79">
        <v>1.40749559215783E-2</v>
      </c>
      <c r="DV79">
        <v>1.33446272272004E-2</v>
      </c>
      <c r="DW79">
        <v>4.2380959364138899E-3</v>
      </c>
      <c r="DX79">
        <v>2.5116822429906999E-3</v>
      </c>
      <c r="DY79">
        <v>1.1215987880905901E-3</v>
      </c>
      <c r="DZ79">
        <v>6.4892548996784401E-3</v>
      </c>
      <c r="EA79">
        <v>9.8445970365015293E-3</v>
      </c>
      <c r="EB79">
        <v>8.1882730187814393E-3</v>
      </c>
      <c r="EC79">
        <v>9.9534276140171903E-3</v>
      </c>
      <c r="ED79">
        <v>1.5675744070632099E-2</v>
      </c>
      <c r="EE79">
        <v>6.5057305797022703E-4</v>
      </c>
      <c r="EF79">
        <v>8.0369617241426994E-3</v>
      </c>
      <c r="EG79">
        <v>9.0569766165331505E-3</v>
      </c>
      <c r="EH79">
        <v>1.41163031061307E-2</v>
      </c>
      <c r="EI79">
        <v>1.3289526619284101E-2</v>
      </c>
      <c r="EJ79">
        <v>1.3644605021108799E-2</v>
      </c>
      <c r="EK79">
        <v>1.5641320242323099E-2</v>
      </c>
      <c r="EL79">
        <v>9.1014269186271406E-3</v>
      </c>
      <c r="EM79">
        <v>1.14015643710668E-2</v>
      </c>
      <c r="EN79">
        <v>1.45100953484565E-2</v>
      </c>
      <c r="EO79">
        <v>1.68973865541002E-2</v>
      </c>
      <c r="EP79">
        <v>7.3498888970282604E-3</v>
      </c>
      <c r="EQ79">
        <v>1.37441217821301E-2</v>
      </c>
      <c r="ER79">
        <v>9.0863441811530592E-3</v>
      </c>
      <c r="ES79">
        <v>7.4998222790929603E-3</v>
      </c>
      <c r="ET79">
        <v>1.7604515787616799E-2</v>
      </c>
      <c r="EU79">
        <v>1.0828364073406401E-2</v>
      </c>
      <c r="EV79">
        <v>1.11811041626177E-2</v>
      </c>
      <c r="EW79">
        <v>1.51616222144335E-2</v>
      </c>
      <c r="EX79">
        <v>1.7608143627210901E-2</v>
      </c>
      <c r="EY79">
        <v>1.5453819129026301E-2</v>
      </c>
      <c r="EZ79">
        <v>1.35264763259719E-2</v>
      </c>
      <c r="FA79">
        <v>-1.9077799991492599E-2</v>
      </c>
      <c r="FB79">
        <v>-1.7573339693415201E-2</v>
      </c>
      <c r="FC79">
        <v>4.9215965394333603E-3</v>
      </c>
      <c r="FD79">
        <v>8.5870842346844594E-3</v>
      </c>
      <c r="FE79">
        <v>9.2760944593843798E-3</v>
      </c>
      <c r="FF79">
        <v>1.15424860573241E-2</v>
      </c>
      <c r="FG79">
        <v>7.18772328331774E-3</v>
      </c>
      <c r="FH79">
        <v>5.7176134258034601E-3</v>
      </c>
      <c r="FI79">
        <v>9.3383165763014607E-3</v>
      </c>
      <c r="FJ79">
        <v>1.10981308411215E-2</v>
      </c>
      <c r="FK79">
        <v>1.24721465709332E-2</v>
      </c>
      <c r="FL79">
        <v>3.7903102552345699E-3</v>
      </c>
      <c r="FM79">
        <v>-3.54253580600294E-3</v>
      </c>
      <c r="FN79">
        <v>1.32629777524242E-2</v>
      </c>
      <c r="FO79">
        <v>-1.7492711370261599E-3</v>
      </c>
      <c r="FP79">
        <v>6.0526103770543998E-3</v>
      </c>
      <c r="FQ79">
        <v>1.4414847292711501E-2</v>
      </c>
      <c r="FR79">
        <v>1.3085052843482501E-2</v>
      </c>
      <c r="FS79">
        <v>5.3281123676494103E-3</v>
      </c>
      <c r="FT79">
        <v>8.4487937215385108E-3</v>
      </c>
      <c r="FU79">
        <v>5.3227263119464104E-3</v>
      </c>
      <c r="FV79">
        <v>8.4005504797584098E-3</v>
      </c>
      <c r="FW79">
        <v>3.1559493910817702E-3</v>
      </c>
      <c r="FX79">
        <v>5.7251908396946903E-3</v>
      </c>
      <c r="FY79">
        <v>-7.7967948597512703E-4</v>
      </c>
      <c r="FZ79">
        <v>-9.9745231313045392E-3</v>
      </c>
      <c r="GA79">
        <v>6.9983857183553199E-3</v>
      </c>
      <c r="GB79">
        <v>6.0350599262592997E-4</v>
      </c>
      <c r="GC79">
        <v>-3.9392711405981098E-3</v>
      </c>
      <c r="GD79">
        <v>-8.5246894307096106E-3</v>
      </c>
      <c r="GE79">
        <v>7.6055424078174099E-3</v>
      </c>
      <c r="GF79">
        <v>3.8450975006867299E-3</v>
      </c>
      <c r="GG79">
        <v>4.9153261946317502E-3</v>
      </c>
      <c r="GH79">
        <v>9.5572496150813108E-3</v>
      </c>
      <c r="GI79">
        <v>2.49223501404217E-3</v>
      </c>
      <c r="GJ79">
        <v>9.1185692287711895E-3</v>
      </c>
      <c r="GK79">
        <v>1.3485315071011699E-2</v>
      </c>
      <c r="GL79">
        <v>1.24714290897217E-2</v>
      </c>
      <c r="GM79">
        <v>1.06067528465337E-2</v>
      </c>
      <c r="GN79">
        <v>9.4317043550717905E-3</v>
      </c>
      <c r="GO79">
        <v>4.9527991218440998E-3</v>
      </c>
      <c r="GP79">
        <v>-4.0108704200489996E-3</v>
      </c>
      <c r="GQ79">
        <v>6.8257589050710896E-3</v>
      </c>
      <c r="GR79">
        <v>1.40295229962173E-3</v>
      </c>
      <c r="GS79">
        <v>3.1848519391919298E-3</v>
      </c>
      <c r="GT79">
        <v>1.09381099015484E-2</v>
      </c>
      <c r="GU79">
        <v>-4.0670636486881398E-3</v>
      </c>
      <c r="GV79">
        <v>3.8510579640223001E-3</v>
      </c>
      <c r="GW79">
        <v>9.2173808563409398E-3</v>
      </c>
      <c r="GX79">
        <v>1.5528135178114201E-2</v>
      </c>
      <c r="GY79">
        <v>1.6797996968656699E-2</v>
      </c>
      <c r="GZ79">
        <v>1.29380275890467E-2</v>
      </c>
    </row>
    <row r="80" spans="1:208" x14ac:dyDescent="0.35">
      <c r="A80" t="s">
        <v>966</v>
      </c>
      <c r="B80">
        <v>2.51411589895989E-2</v>
      </c>
      <c r="C80">
        <v>2.51411589895989E-2</v>
      </c>
      <c r="D80">
        <v>1.9364564007421099E-2</v>
      </c>
      <c r="E80">
        <v>2.5366852462745899E-2</v>
      </c>
      <c r="F80">
        <v>1.6862658087419598E-2</v>
      </c>
      <c r="G80">
        <v>1.59829805804057E-2</v>
      </c>
      <c r="H80">
        <v>1.0899328859060401E-2</v>
      </c>
      <c r="I80">
        <v>1.7261525387720401E-2</v>
      </c>
      <c r="J80">
        <v>1.27917297551299E-2</v>
      </c>
      <c r="K80">
        <v>7.0110320651612899E-3</v>
      </c>
      <c r="L80">
        <v>1.38732466468721E-2</v>
      </c>
      <c r="M80">
        <v>1.8682150971976799E-2</v>
      </c>
      <c r="N80">
        <v>1.9281288723668001E-2</v>
      </c>
      <c r="O80">
        <v>2.1056214744213299E-2</v>
      </c>
      <c r="P80">
        <v>2.03838643615755E-2</v>
      </c>
      <c r="Q80">
        <v>2.68378063010501E-2</v>
      </c>
      <c r="R80">
        <v>4.6363636363636399E-2</v>
      </c>
      <c r="S80">
        <v>6.2858384013900995E-2</v>
      </c>
      <c r="T80">
        <v>6.3922834838762405E-2</v>
      </c>
      <c r="U80">
        <v>4.15658253620683E-2</v>
      </c>
      <c r="V80">
        <v>2.1244421495223698E-2</v>
      </c>
      <c r="W80">
        <v>4.9478132110223304E-3</v>
      </c>
      <c r="X80">
        <v>3.16250988284339E-3</v>
      </c>
      <c r="Y80">
        <v>6.0901339829475499E-3</v>
      </c>
      <c r="Z80">
        <v>4.91382993875522E-3</v>
      </c>
      <c r="AA80">
        <v>8.5748706682728902E-3</v>
      </c>
      <c r="AB80">
        <v>2.17818999437891E-3</v>
      </c>
      <c r="AC80">
        <v>6.8008132931360902E-3</v>
      </c>
      <c r="AD80">
        <v>1.2952646239554401E-2</v>
      </c>
      <c r="AE80">
        <v>9.8652550529356696E-3</v>
      </c>
      <c r="AF80">
        <v>1.3444977705163501E-2</v>
      </c>
      <c r="AG80">
        <v>1.0680459461274799E-2</v>
      </c>
      <c r="AH80">
        <v>1.23953210155523E-2</v>
      </c>
      <c r="AI80">
        <v>1.9661907106515601E-2</v>
      </c>
      <c r="AJ80">
        <v>1.9121813031161401E-2</v>
      </c>
      <c r="AK80">
        <v>1.78785772948384E-2</v>
      </c>
      <c r="AL80">
        <v>2.0636792452830299E-2</v>
      </c>
      <c r="AM80">
        <v>2.7151935297515601E-2</v>
      </c>
      <c r="AN80">
        <v>2.9187141081049101E-2</v>
      </c>
      <c r="AO80">
        <v>2.83594109526E-2</v>
      </c>
      <c r="AP80">
        <v>2.7325613917324101E-2</v>
      </c>
      <c r="AQ80">
        <v>2.8695107674715899E-2</v>
      </c>
      <c r="AR80">
        <v>3.2870186581977198E-2</v>
      </c>
      <c r="AS80">
        <v>2.9594895841340601E-2</v>
      </c>
      <c r="AT80">
        <v>2.8321138818376401E-2</v>
      </c>
      <c r="AU80">
        <v>2.39109390125847E-2</v>
      </c>
      <c r="AV80">
        <v>2.0492578235794499E-2</v>
      </c>
      <c r="AW80">
        <v>1.7811233352634799E-2</v>
      </c>
      <c r="AX80">
        <v>1.40178408884035E-2</v>
      </c>
      <c r="AY80">
        <v>1.6719030520646199E-2</v>
      </c>
      <c r="AZ80">
        <v>1.1808851120185501E-2</v>
      </c>
      <c r="BA80">
        <v>2.5305410122164998E-3</v>
      </c>
      <c r="BB80">
        <v>9.3567760466539696E-4</v>
      </c>
      <c r="BC80">
        <v>-1.3478553881607299E-3</v>
      </c>
      <c r="BD80">
        <v>5.6599255502098899E-4</v>
      </c>
      <c r="BE80">
        <v>-2.82836194330227E-4</v>
      </c>
      <c r="BF80">
        <v>1.0881392818280499E-3</v>
      </c>
      <c r="BG80">
        <v>3.5434782608694299E-3</v>
      </c>
      <c r="BH80">
        <v>3.22769317418703E-3</v>
      </c>
      <c r="BI80">
        <v>2.0297115218517198E-3</v>
      </c>
      <c r="BJ80">
        <v>5.5596259104426799E-3</v>
      </c>
      <c r="BK80">
        <v>3.0858906223212301E-3</v>
      </c>
      <c r="BL80">
        <v>4.1018629294138397E-3</v>
      </c>
      <c r="BM80">
        <v>5.9574468085106204E-3</v>
      </c>
      <c r="BN80">
        <v>6.2182741116749698E-3</v>
      </c>
      <c r="BO80">
        <v>1.02787236725943E-2</v>
      </c>
      <c r="BP80">
        <v>9.1130391361338194E-3</v>
      </c>
      <c r="BQ80">
        <v>1.08245190820808E-2</v>
      </c>
      <c r="BR80">
        <v>6.4047648186675897E-3</v>
      </c>
      <c r="BS80">
        <v>8.4110255370895004E-3</v>
      </c>
      <c r="BT80">
        <v>8.9036277761027592E-3</v>
      </c>
      <c r="BU80">
        <v>5.29901589704762E-3</v>
      </c>
      <c r="BV80">
        <v>8.0453392517438899E-3</v>
      </c>
      <c r="BW80">
        <v>5.5238844112444098E-3</v>
      </c>
      <c r="BX80">
        <v>6.45148677445206E-3</v>
      </c>
      <c r="BY80">
        <v>5.2835026514637101E-3</v>
      </c>
      <c r="BZ80">
        <v>4.8306378374200999E-3</v>
      </c>
      <c r="CA80">
        <v>8.1149164471279196E-3</v>
      </c>
      <c r="CB80">
        <v>7.4201239866476002E-3</v>
      </c>
      <c r="CC80">
        <v>5.5099026773204303E-3</v>
      </c>
      <c r="CD80">
        <v>7.1932962997835999E-3</v>
      </c>
      <c r="CE80">
        <v>8.8245741955990092E-3</v>
      </c>
      <c r="CF80">
        <v>9.7110769287791499E-3</v>
      </c>
      <c r="CG80">
        <v>2.66138061413668E-3</v>
      </c>
      <c r="CH80">
        <v>1.9770081276999601E-3</v>
      </c>
      <c r="CI80">
        <v>5.1520023384976597E-3</v>
      </c>
      <c r="CJ80">
        <v>2.6536769784435399E-3</v>
      </c>
      <c r="CK80">
        <v>-2.5016314988035599E-3</v>
      </c>
      <c r="CL80">
        <v>-2.61694471704299E-3</v>
      </c>
      <c r="CM80">
        <v>4.7374366823367299E-3</v>
      </c>
      <c r="CN80">
        <v>2.03111965470959E-3</v>
      </c>
      <c r="CO80">
        <v>4.5607557823867896E-3</v>
      </c>
      <c r="CP80">
        <v>7.4406370482469298E-3</v>
      </c>
      <c r="CQ80">
        <v>5.8298610490172802E-3</v>
      </c>
      <c r="CR80">
        <v>1.01342341541466E-3</v>
      </c>
      <c r="CS80">
        <v>4.6712372562254202E-3</v>
      </c>
      <c r="CT80">
        <v>7.3013347476356101E-3</v>
      </c>
      <c r="CU80">
        <v>4.3350064937344203E-3</v>
      </c>
      <c r="CV80">
        <v>8.7549148099605994E-3</v>
      </c>
      <c r="CW80">
        <v>8.3324671725046907E-3</v>
      </c>
      <c r="CX80">
        <v>9.9816173312487991E-3</v>
      </c>
      <c r="CY80">
        <v>7.1443151663605998E-3</v>
      </c>
      <c r="CZ80">
        <v>5.5229023104985701E-3</v>
      </c>
      <c r="DA80">
        <v>5.7613168724279804E-3</v>
      </c>
      <c r="DB80">
        <v>5.3609004976786804E-3</v>
      </c>
      <c r="DC80">
        <v>1.1129752985929999E-3</v>
      </c>
      <c r="DD80">
        <v>4.9613380678989998E-3</v>
      </c>
      <c r="DE80">
        <v>3.2361925204327201E-3</v>
      </c>
      <c r="DF80">
        <v>5.6450683826796402E-3</v>
      </c>
      <c r="DG80">
        <v>6.8244304791831301E-3</v>
      </c>
      <c r="DH80">
        <v>2.5357195104109801E-3</v>
      </c>
      <c r="DI80">
        <v>6.4367592457479396E-3</v>
      </c>
      <c r="DJ80">
        <v>3.3830589296646201E-4</v>
      </c>
      <c r="DK80">
        <v>6.2806989290598004E-4</v>
      </c>
      <c r="DL80">
        <v>6.1640969517495802E-3</v>
      </c>
      <c r="DM80">
        <v>5.6464641617479704E-3</v>
      </c>
      <c r="DN80">
        <v>4.0082710354700799E-3</v>
      </c>
      <c r="DO80">
        <v>7.4142137448116596E-3</v>
      </c>
      <c r="DP80">
        <v>4.2144991350840898E-3</v>
      </c>
      <c r="DQ80">
        <v>8.5189013122866104E-3</v>
      </c>
      <c r="DR80">
        <v>7.9190087264371396E-3</v>
      </c>
      <c r="DS80">
        <v>1.13846438254868E-2</v>
      </c>
      <c r="DT80">
        <v>6.5497859895509202E-3</v>
      </c>
      <c r="DU80">
        <v>5.8867147894250396E-3</v>
      </c>
      <c r="DV80">
        <v>6.16819617872721E-3</v>
      </c>
      <c r="DW80">
        <v>2.5717703349283898E-3</v>
      </c>
      <c r="DX80">
        <v>3.1318976316887502E-3</v>
      </c>
      <c r="DY80">
        <v>5.3670720466236803E-3</v>
      </c>
      <c r="DZ80">
        <v>4.4067846738535801E-3</v>
      </c>
      <c r="EA80">
        <v>5.4327822028532599E-3</v>
      </c>
      <c r="EB80">
        <v>3.07512080831729E-3</v>
      </c>
      <c r="EC80">
        <v>1.7226277372262E-3</v>
      </c>
      <c r="ED80">
        <v>8.2922848232243104E-3</v>
      </c>
      <c r="EE80">
        <v>1.0406579270672001E-3</v>
      </c>
      <c r="EF80">
        <v>1.2705929915244299E-3</v>
      </c>
      <c r="EG80">
        <v>2.7686850188184402E-3</v>
      </c>
      <c r="EH80">
        <v>6.5143300881520504E-3</v>
      </c>
      <c r="EI80">
        <v>1.8373528403245999E-2</v>
      </c>
      <c r="EJ80">
        <v>2.6922753163668899E-2</v>
      </c>
      <c r="EK80">
        <v>2.4017377761383699E-2</v>
      </c>
      <c r="EL80">
        <v>8.4450670402240694E-3</v>
      </c>
      <c r="EM80">
        <v>1.8812509922210102E-2</v>
      </c>
      <c r="EN80">
        <v>2.2269835086352399E-2</v>
      </c>
      <c r="EO80">
        <v>1.39472848523341E-2</v>
      </c>
      <c r="EP80">
        <v>6.2137479172670301E-3</v>
      </c>
      <c r="EQ80">
        <v>2.20371269562618E-2</v>
      </c>
      <c r="ER80">
        <v>1.39239118517707E-2</v>
      </c>
      <c r="ES80">
        <v>2.34645328719723E-2</v>
      </c>
      <c r="ET80">
        <v>2.5227446146622E-2</v>
      </c>
      <c r="EU80">
        <v>1.0454118670849799E-2</v>
      </c>
      <c r="EV80">
        <v>9.6320554806394992E-3</v>
      </c>
      <c r="EW80">
        <v>1.1762461137861099E-2</v>
      </c>
      <c r="EX80">
        <v>9.4736258250596207E-3</v>
      </c>
      <c r="EY80">
        <v>7.6923922240903497E-3</v>
      </c>
      <c r="EZ80">
        <v>1.29227145334192E-2</v>
      </c>
      <c r="FA80">
        <v>1.8323930924594199E-2</v>
      </c>
      <c r="FB80">
        <v>6.2377095976149403E-3</v>
      </c>
      <c r="FC80">
        <v>-8.7837269899974108E-3</v>
      </c>
      <c r="FD80">
        <v>-9.0099639601441996E-3</v>
      </c>
      <c r="FE80">
        <v>-7.7013584340557305E-4</v>
      </c>
      <c r="FF80">
        <v>2.8367124108843499E-3</v>
      </c>
      <c r="FG80">
        <v>4.3444381584705196E-3</v>
      </c>
      <c r="FH80">
        <v>3.1459241152087501E-3</v>
      </c>
      <c r="FI80">
        <v>4.4921916385904899E-3</v>
      </c>
      <c r="FJ80">
        <v>6.0436662799281402E-3</v>
      </c>
      <c r="FK80">
        <v>1.01066227734501E-2</v>
      </c>
      <c r="FL80">
        <v>1.13028947450362E-2</v>
      </c>
      <c r="FM80">
        <v>9.4010427357444897E-3</v>
      </c>
      <c r="FN80">
        <v>7.4934927606962196E-3</v>
      </c>
      <c r="FO80">
        <v>7.9726306653615797E-3</v>
      </c>
      <c r="FP80">
        <v>5.3865176864005297E-3</v>
      </c>
      <c r="FQ80">
        <v>1.9717776870449301E-3</v>
      </c>
      <c r="FR80">
        <v>4.05506137255873E-3</v>
      </c>
      <c r="FS80">
        <v>5.0978490046820202E-3</v>
      </c>
      <c r="FT80">
        <v>5.3871456991470001E-3</v>
      </c>
      <c r="FU80">
        <v>7.55252975461618E-3</v>
      </c>
      <c r="FV80">
        <v>5.6292292136579398E-3</v>
      </c>
      <c r="FW80">
        <v>4.5632522840430801E-3</v>
      </c>
      <c r="FX80">
        <v>4.8312433233566E-3</v>
      </c>
      <c r="FY80">
        <v>1.76230018484991E-3</v>
      </c>
      <c r="FZ80">
        <v>-2.9638694750133698E-4</v>
      </c>
      <c r="GA80">
        <v>4.3897400585299904E-3</v>
      </c>
      <c r="GB80">
        <v>2.8375277325487498E-3</v>
      </c>
      <c r="GC80">
        <v>-5.5070784948596497E-4</v>
      </c>
      <c r="GD80">
        <v>-2.4225496622680702E-3</v>
      </c>
      <c r="GE80">
        <v>8.1519151286593202E-3</v>
      </c>
      <c r="GF80">
        <v>7.5570081804610101E-4</v>
      </c>
      <c r="GG80">
        <v>4.8328330595985803E-3</v>
      </c>
      <c r="GH80">
        <v>6.8949969000695601E-3</v>
      </c>
      <c r="GI80">
        <v>4.8886069336120403E-3</v>
      </c>
      <c r="GJ80">
        <v>8.94979203802726E-3</v>
      </c>
      <c r="GK80">
        <v>5.6038131694209304E-3</v>
      </c>
      <c r="GL80">
        <v>9.2052889234570702E-3</v>
      </c>
      <c r="GM80">
        <v>1.3101703674824E-2</v>
      </c>
      <c r="GN80">
        <v>7.2134316603422698E-3</v>
      </c>
      <c r="GO80">
        <v>1.0422775497147801E-2</v>
      </c>
      <c r="GP80">
        <v>4.0452007211009304E-3</v>
      </c>
      <c r="GQ80">
        <v>1.0886796584191E-2</v>
      </c>
      <c r="GR80">
        <v>4.8865861477411796E-3</v>
      </c>
      <c r="GS80">
        <v>1.59507509785994E-3</v>
      </c>
      <c r="GT80">
        <v>2.86656279322006E-3</v>
      </c>
      <c r="GU80">
        <v>-2.61802575107306E-3</v>
      </c>
      <c r="GV80">
        <v>9.3807823056069103E-3</v>
      </c>
      <c r="GW80">
        <v>3.5895468303705999E-3</v>
      </c>
      <c r="GX80">
        <v>1.45277216114725E-2</v>
      </c>
      <c r="GY80">
        <v>2.24844241977624E-2</v>
      </c>
      <c r="GZ80">
        <v>2.1777053422986001E-2</v>
      </c>
    </row>
    <row r="81" spans="1:208" x14ac:dyDescent="0.35">
      <c r="A81" t="s">
        <v>1231</v>
      </c>
      <c r="B81">
        <v>545.1</v>
      </c>
      <c r="C81">
        <v>549</v>
      </c>
      <c r="D81">
        <v>555.70000000000005</v>
      </c>
      <c r="E81">
        <v>556.29999999999995</v>
      </c>
      <c r="F81">
        <v>570.5</v>
      </c>
      <c r="G81">
        <v>580.4</v>
      </c>
      <c r="H81">
        <v>588.79999999999995</v>
      </c>
      <c r="I81">
        <v>598.4</v>
      </c>
      <c r="J81">
        <v>618.5</v>
      </c>
      <c r="K81">
        <v>630.4</v>
      </c>
      <c r="L81">
        <v>642.29999999999995</v>
      </c>
      <c r="M81">
        <v>664</v>
      </c>
      <c r="N81">
        <v>683.4</v>
      </c>
      <c r="O81">
        <v>700.2</v>
      </c>
      <c r="P81">
        <v>716.2</v>
      </c>
      <c r="Q81">
        <v>735.4</v>
      </c>
      <c r="R81">
        <v>748.2</v>
      </c>
      <c r="S81">
        <v>765.3</v>
      </c>
      <c r="T81">
        <v>783.2</v>
      </c>
      <c r="U81">
        <v>792.5</v>
      </c>
      <c r="V81">
        <v>792</v>
      </c>
      <c r="W81">
        <v>800.4</v>
      </c>
      <c r="X81">
        <v>821.3</v>
      </c>
      <c r="Y81">
        <v>845.8</v>
      </c>
      <c r="Z81">
        <v>871.3</v>
      </c>
      <c r="AA81">
        <v>889.4</v>
      </c>
      <c r="AB81">
        <v>908.5</v>
      </c>
      <c r="AC81">
        <v>930</v>
      </c>
      <c r="AD81">
        <v>950.1</v>
      </c>
      <c r="AE81">
        <v>981</v>
      </c>
      <c r="AF81">
        <v>1007.6</v>
      </c>
      <c r="AG81">
        <v>1038.2</v>
      </c>
      <c r="AH81">
        <v>1063.9000000000001</v>
      </c>
      <c r="AI81">
        <v>1106.0999999999999</v>
      </c>
      <c r="AJ81">
        <v>1138.0999999999999</v>
      </c>
      <c r="AK81">
        <v>1174.5</v>
      </c>
      <c r="AL81">
        <v>1208.5999999999999</v>
      </c>
      <c r="AM81">
        <v>1234.5</v>
      </c>
      <c r="AN81">
        <v>1269.5</v>
      </c>
      <c r="AO81">
        <v>1301</v>
      </c>
      <c r="AP81">
        <v>1333.9</v>
      </c>
      <c r="AQ81">
        <v>1354</v>
      </c>
      <c r="AR81">
        <v>1377.4</v>
      </c>
      <c r="AS81">
        <v>1428.8</v>
      </c>
      <c r="AT81">
        <v>1467.8</v>
      </c>
      <c r="AU81">
        <v>1496.8</v>
      </c>
      <c r="AV81">
        <v>1530.7</v>
      </c>
      <c r="AW81">
        <v>1550.7</v>
      </c>
      <c r="AX81">
        <v>1567.7</v>
      </c>
      <c r="AY81">
        <v>1581.9</v>
      </c>
      <c r="AZ81">
        <v>1596.6</v>
      </c>
      <c r="BA81">
        <v>1604.5</v>
      </c>
      <c r="BB81">
        <v>1622.6</v>
      </c>
      <c r="BC81">
        <v>1654.8</v>
      </c>
      <c r="BD81">
        <v>1691.6</v>
      </c>
      <c r="BE81">
        <v>1741.7</v>
      </c>
      <c r="BF81">
        <v>1784.2</v>
      </c>
      <c r="BG81">
        <v>1828.4</v>
      </c>
      <c r="BH81">
        <v>1867.3</v>
      </c>
      <c r="BI81">
        <v>1900.7</v>
      </c>
      <c r="BJ81">
        <v>1932.4</v>
      </c>
      <c r="BK81">
        <v>1963.8</v>
      </c>
      <c r="BL81">
        <v>1997.6</v>
      </c>
      <c r="BM81">
        <v>2037.2</v>
      </c>
      <c r="BN81">
        <v>2065.5</v>
      </c>
      <c r="BO81">
        <v>2083.6</v>
      </c>
      <c r="BP81">
        <v>2113.1</v>
      </c>
      <c r="BQ81">
        <v>2154.1999999999998</v>
      </c>
      <c r="BR81">
        <v>2194.3000000000002</v>
      </c>
      <c r="BS81">
        <v>2231.4</v>
      </c>
      <c r="BT81">
        <v>2272</v>
      </c>
      <c r="BU81">
        <v>2332.8000000000002</v>
      </c>
      <c r="BV81">
        <v>2367.1</v>
      </c>
      <c r="BW81">
        <v>2422.5</v>
      </c>
      <c r="BX81">
        <v>2463.6</v>
      </c>
      <c r="BY81">
        <v>2509.5</v>
      </c>
      <c r="BZ81">
        <v>2541.9</v>
      </c>
      <c r="CA81">
        <v>2564.6999999999998</v>
      </c>
      <c r="CB81">
        <v>2593.5</v>
      </c>
      <c r="CC81">
        <v>2637.3</v>
      </c>
      <c r="CD81">
        <v>2686.6</v>
      </c>
      <c r="CE81">
        <v>2741</v>
      </c>
      <c r="CF81">
        <v>2771.6</v>
      </c>
      <c r="CG81">
        <v>2774.8</v>
      </c>
      <c r="CH81">
        <v>2774.1</v>
      </c>
      <c r="CI81">
        <v>2802.8</v>
      </c>
      <c r="CJ81">
        <v>2830.9</v>
      </c>
      <c r="CK81">
        <v>2861.2</v>
      </c>
      <c r="CL81">
        <v>2915.9</v>
      </c>
      <c r="CM81">
        <v>2955</v>
      </c>
      <c r="CN81">
        <v>2979.4</v>
      </c>
      <c r="CO81">
        <v>3023.8</v>
      </c>
      <c r="CP81">
        <v>3019</v>
      </c>
      <c r="CQ81">
        <v>3069.8</v>
      </c>
      <c r="CR81">
        <v>3096.9</v>
      </c>
      <c r="CS81">
        <v>3144.9</v>
      </c>
      <c r="CT81">
        <v>3156.6</v>
      </c>
      <c r="CU81">
        <v>3227.4</v>
      </c>
      <c r="CV81">
        <v>3262.7</v>
      </c>
      <c r="CW81">
        <v>3315.7</v>
      </c>
      <c r="CX81">
        <v>3362.1</v>
      </c>
      <c r="CY81">
        <v>3399.3</v>
      </c>
      <c r="CZ81">
        <v>3443</v>
      </c>
      <c r="DA81">
        <v>3484.1</v>
      </c>
      <c r="DB81">
        <v>3528.3</v>
      </c>
      <c r="DC81">
        <v>3594</v>
      </c>
      <c r="DD81">
        <v>3651.3</v>
      </c>
      <c r="DE81">
        <v>3708.7</v>
      </c>
      <c r="DF81">
        <v>3780.5</v>
      </c>
      <c r="DG81">
        <v>3840</v>
      </c>
      <c r="DH81">
        <v>3907.4</v>
      </c>
      <c r="DI81">
        <v>3997.1</v>
      </c>
      <c r="DJ81">
        <v>4079.3</v>
      </c>
      <c r="DK81">
        <v>4149.8999999999996</v>
      </c>
      <c r="DL81">
        <v>4222</v>
      </c>
      <c r="DM81">
        <v>4293.5</v>
      </c>
      <c r="DN81">
        <v>4372.7</v>
      </c>
      <c r="DO81">
        <v>4416.8999999999996</v>
      </c>
      <c r="DP81">
        <v>4480.2</v>
      </c>
      <c r="DQ81">
        <v>4591</v>
      </c>
      <c r="DR81">
        <v>4758.7</v>
      </c>
      <c r="DS81">
        <v>4786.6000000000004</v>
      </c>
      <c r="DT81">
        <v>4878.8</v>
      </c>
      <c r="DU81">
        <v>4905.7</v>
      </c>
      <c r="DV81">
        <v>4987.2</v>
      </c>
      <c r="DW81">
        <v>4969.3</v>
      </c>
      <c r="DX81">
        <v>4944.1000000000004</v>
      </c>
      <c r="DY81">
        <v>4946</v>
      </c>
      <c r="DZ81">
        <v>4953.8999999999996</v>
      </c>
      <c r="EA81">
        <v>5006.3999999999996</v>
      </c>
      <c r="EB81">
        <v>5020.5</v>
      </c>
      <c r="EC81">
        <v>5035.5</v>
      </c>
      <c r="ED81">
        <v>5035.7</v>
      </c>
      <c r="EE81">
        <v>5109.8</v>
      </c>
      <c r="EF81">
        <v>5177.3999999999996</v>
      </c>
      <c r="EG81">
        <v>5264.9</v>
      </c>
      <c r="EH81">
        <v>5284</v>
      </c>
      <c r="EI81">
        <v>5390.8</v>
      </c>
      <c r="EJ81">
        <v>5502.5</v>
      </c>
      <c r="EK81">
        <v>5546.1</v>
      </c>
      <c r="EL81">
        <v>5586.1</v>
      </c>
      <c r="EM81">
        <v>5649.4</v>
      </c>
      <c r="EN81">
        <v>5749.8</v>
      </c>
      <c r="EO81">
        <v>5826.7</v>
      </c>
      <c r="EP81">
        <v>5983.1</v>
      </c>
      <c r="EQ81">
        <v>6024.2</v>
      </c>
      <c r="ER81">
        <v>6073</v>
      </c>
      <c r="ES81">
        <v>6193</v>
      </c>
      <c r="ET81">
        <v>6354.7</v>
      </c>
      <c r="EU81">
        <v>6381.4</v>
      </c>
      <c r="EV81">
        <v>6407.7</v>
      </c>
      <c r="EW81">
        <v>6485.3</v>
      </c>
      <c r="EX81">
        <v>6552.3</v>
      </c>
      <c r="EY81">
        <v>6544.1</v>
      </c>
      <c r="EZ81">
        <v>6558</v>
      </c>
      <c r="FA81">
        <v>6529.4</v>
      </c>
      <c r="FB81">
        <v>6234.6</v>
      </c>
      <c r="FC81">
        <v>6262.8</v>
      </c>
      <c r="FD81">
        <v>6245.2</v>
      </c>
      <c r="FE81">
        <v>6286.6</v>
      </c>
      <c r="FF81">
        <v>6240.2</v>
      </c>
      <c r="FG81">
        <v>6368.2</v>
      </c>
      <c r="FH81">
        <v>6430.5</v>
      </c>
      <c r="FI81">
        <v>6481.4</v>
      </c>
      <c r="FJ81">
        <v>6584.9</v>
      </c>
      <c r="FK81">
        <v>6615.9</v>
      </c>
      <c r="FL81">
        <v>6689.7</v>
      </c>
      <c r="FM81">
        <v>6645.7</v>
      </c>
      <c r="FN81">
        <v>6844.2</v>
      </c>
      <c r="FO81">
        <v>6884.3</v>
      </c>
      <c r="FP81">
        <v>6914.2</v>
      </c>
      <c r="FQ81">
        <v>7101.8</v>
      </c>
      <c r="FR81">
        <v>7052.2</v>
      </c>
      <c r="FS81">
        <v>7111.5</v>
      </c>
      <c r="FT81">
        <v>7121.5</v>
      </c>
      <c r="FU81">
        <v>7205.1</v>
      </c>
      <c r="FV81">
        <v>7367.7</v>
      </c>
      <c r="FW81">
        <v>7418.9</v>
      </c>
      <c r="FX81">
        <v>7512.6</v>
      </c>
      <c r="FY81">
        <v>7643.9</v>
      </c>
      <c r="FZ81">
        <v>7755.9</v>
      </c>
      <c r="GA81">
        <v>7840.7</v>
      </c>
      <c r="GB81">
        <v>7913.3</v>
      </c>
      <c r="GC81">
        <v>7968.5</v>
      </c>
      <c r="GD81">
        <v>8003.5</v>
      </c>
      <c r="GE81">
        <v>8050.2</v>
      </c>
      <c r="GF81">
        <v>8130.4</v>
      </c>
      <c r="GG81">
        <v>8224.9</v>
      </c>
      <c r="GH81">
        <v>8321.6</v>
      </c>
      <c r="GI81">
        <v>8413.2000000000007</v>
      </c>
      <c r="GJ81">
        <v>8529.4</v>
      </c>
      <c r="GK81">
        <v>8677</v>
      </c>
      <c r="GL81">
        <v>8772.5</v>
      </c>
      <c r="GM81">
        <v>8853.1</v>
      </c>
      <c r="GN81">
        <v>8980.4</v>
      </c>
      <c r="GO81">
        <v>9037.2000000000007</v>
      </c>
      <c r="GP81">
        <v>9237.7000000000007</v>
      </c>
      <c r="GQ81">
        <v>9287.2000000000007</v>
      </c>
      <c r="GR81">
        <v>9338.7000000000007</v>
      </c>
      <c r="GS81">
        <v>9477.6</v>
      </c>
      <c r="GT81">
        <v>9613.2999999999993</v>
      </c>
      <c r="GU81">
        <v>8985.9</v>
      </c>
      <c r="GV81">
        <v>9417.7999999999993</v>
      </c>
      <c r="GW81">
        <v>9791.1</v>
      </c>
      <c r="GX81">
        <v>9888.1</v>
      </c>
      <c r="GY81">
        <v>10087.799999999999</v>
      </c>
      <c r="GZ81">
        <v>10327.700000000001</v>
      </c>
    </row>
    <row r="82" spans="1:208" x14ac:dyDescent="0.35">
      <c r="A82" t="s">
        <v>1232</v>
      </c>
      <c r="B82">
        <v>77.099999999999994</v>
      </c>
      <c r="C82">
        <v>76.7</v>
      </c>
      <c r="D82">
        <v>78.5</v>
      </c>
      <c r="E82">
        <v>78.900000000000006</v>
      </c>
      <c r="F82">
        <v>80.3</v>
      </c>
      <c r="G82">
        <v>82.8</v>
      </c>
      <c r="H82">
        <v>84.6</v>
      </c>
      <c r="I82">
        <v>87.9</v>
      </c>
      <c r="J82">
        <v>87.9</v>
      </c>
      <c r="K82">
        <v>91.3</v>
      </c>
      <c r="L82">
        <v>95.5</v>
      </c>
      <c r="M82">
        <v>105.6</v>
      </c>
      <c r="N82">
        <v>104.1</v>
      </c>
      <c r="O82">
        <v>109.9</v>
      </c>
      <c r="P82">
        <v>113.8</v>
      </c>
      <c r="Q82">
        <v>122.2</v>
      </c>
      <c r="R82">
        <v>115.7</v>
      </c>
      <c r="S82">
        <v>108.6</v>
      </c>
      <c r="T82">
        <v>111</v>
      </c>
      <c r="U82">
        <v>113.5</v>
      </c>
      <c r="V82">
        <v>112.7</v>
      </c>
      <c r="W82">
        <v>114.3</v>
      </c>
      <c r="X82">
        <v>120.7</v>
      </c>
      <c r="Y82">
        <v>125.2</v>
      </c>
      <c r="Z82">
        <v>126.4</v>
      </c>
      <c r="AA82">
        <v>128.6</v>
      </c>
      <c r="AB82">
        <v>132.69999999999999</v>
      </c>
      <c r="AC82">
        <v>136.19999999999999</v>
      </c>
      <c r="AD82">
        <v>138.6</v>
      </c>
      <c r="AE82">
        <v>140.5</v>
      </c>
      <c r="AF82">
        <v>142.4</v>
      </c>
      <c r="AG82">
        <v>156.5</v>
      </c>
      <c r="AH82">
        <v>158.5</v>
      </c>
      <c r="AI82">
        <v>166.1</v>
      </c>
      <c r="AJ82">
        <v>168.3</v>
      </c>
      <c r="AK82">
        <v>170.9</v>
      </c>
      <c r="AL82">
        <v>180.1</v>
      </c>
      <c r="AM82">
        <v>179.2</v>
      </c>
      <c r="AN82">
        <v>180.7</v>
      </c>
      <c r="AO82">
        <v>177.8</v>
      </c>
      <c r="AP82">
        <v>167.6</v>
      </c>
      <c r="AQ82">
        <v>160.30000000000001</v>
      </c>
      <c r="AR82">
        <v>173.4</v>
      </c>
      <c r="AS82">
        <v>185</v>
      </c>
      <c r="AT82">
        <v>188.2</v>
      </c>
      <c r="AU82">
        <v>176.4</v>
      </c>
      <c r="AV82">
        <v>182.3</v>
      </c>
      <c r="AW82">
        <v>171.8</v>
      </c>
      <c r="AX82">
        <v>165.2</v>
      </c>
      <c r="AY82">
        <v>169.4</v>
      </c>
      <c r="AZ82">
        <v>170.7</v>
      </c>
      <c r="BA82">
        <v>179.5</v>
      </c>
      <c r="BB82">
        <v>183.3</v>
      </c>
      <c r="BC82">
        <v>182.6</v>
      </c>
      <c r="BD82">
        <v>183.8</v>
      </c>
      <c r="BE82">
        <v>195.3</v>
      </c>
      <c r="BF82">
        <v>221.9</v>
      </c>
      <c r="BG82">
        <v>231.8</v>
      </c>
      <c r="BH82">
        <v>232.4</v>
      </c>
      <c r="BI82">
        <v>226.9</v>
      </c>
      <c r="BJ82">
        <v>240.7</v>
      </c>
      <c r="BK82">
        <v>238.5</v>
      </c>
      <c r="BL82">
        <v>240.7</v>
      </c>
      <c r="BM82">
        <v>244.3</v>
      </c>
      <c r="BN82">
        <v>245.6</v>
      </c>
      <c r="BO82">
        <v>251.6</v>
      </c>
      <c r="BP82">
        <v>264.39999999999998</v>
      </c>
      <c r="BQ82">
        <v>264.2</v>
      </c>
      <c r="BR82">
        <v>275.39999999999998</v>
      </c>
      <c r="BS82">
        <v>282.3</v>
      </c>
      <c r="BT82">
        <v>289.5</v>
      </c>
      <c r="BU82">
        <v>298.60000000000002</v>
      </c>
      <c r="BV82">
        <v>319.2</v>
      </c>
      <c r="BW82">
        <v>322.5</v>
      </c>
      <c r="BX82">
        <v>333.6</v>
      </c>
      <c r="BY82">
        <v>326.8</v>
      </c>
      <c r="BZ82">
        <v>348.1</v>
      </c>
      <c r="CA82">
        <v>339.5</v>
      </c>
      <c r="CB82">
        <v>337.2</v>
      </c>
      <c r="CC82">
        <v>339.7</v>
      </c>
      <c r="CD82">
        <v>345.6</v>
      </c>
      <c r="CE82">
        <v>351.1</v>
      </c>
      <c r="CF82">
        <v>358.9</v>
      </c>
      <c r="CG82">
        <v>357</v>
      </c>
      <c r="CH82">
        <v>347.5</v>
      </c>
      <c r="CI82">
        <v>353</v>
      </c>
      <c r="CJ82">
        <v>353.6</v>
      </c>
      <c r="CK82">
        <v>362.6</v>
      </c>
      <c r="CL82">
        <v>378.7</v>
      </c>
      <c r="CM82">
        <v>395.2</v>
      </c>
      <c r="CN82">
        <v>407.9</v>
      </c>
      <c r="CO82">
        <v>418.8</v>
      </c>
      <c r="CP82">
        <v>418.9</v>
      </c>
      <c r="CQ82">
        <v>429.6</v>
      </c>
      <c r="CR82">
        <v>423.4</v>
      </c>
      <c r="CS82">
        <v>440</v>
      </c>
      <c r="CT82">
        <v>450.2</v>
      </c>
      <c r="CU82">
        <v>454.1</v>
      </c>
      <c r="CV82">
        <v>456.8</v>
      </c>
      <c r="CW82">
        <v>465.5</v>
      </c>
      <c r="CX82">
        <v>467.4</v>
      </c>
      <c r="CY82">
        <v>472</v>
      </c>
      <c r="CZ82">
        <v>484.5</v>
      </c>
      <c r="DA82">
        <v>501</v>
      </c>
      <c r="DB82">
        <v>523.29999999999995</v>
      </c>
      <c r="DC82">
        <v>547.5</v>
      </c>
      <c r="DD82">
        <v>547.5</v>
      </c>
      <c r="DE82">
        <v>556.79999999999995</v>
      </c>
      <c r="DF82">
        <v>575.6</v>
      </c>
      <c r="DG82">
        <v>575.1</v>
      </c>
      <c r="DH82">
        <v>588.5</v>
      </c>
      <c r="DI82">
        <v>596.6</v>
      </c>
      <c r="DJ82">
        <v>617.4</v>
      </c>
      <c r="DK82">
        <v>629.6</v>
      </c>
      <c r="DL82">
        <v>645</v>
      </c>
      <c r="DM82">
        <v>668.7</v>
      </c>
      <c r="DN82">
        <v>681.9</v>
      </c>
      <c r="DO82">
        <v>690.1</v>
      </c>
      <c r="DP82">
        <v>699.8</v>
      </c>
      <c r="DQ82">
        <v>713.9</v>
      </c>
      <c r="DR82">
        <v>720.9</v>
      </c>
      <c r="DS82">
        <v>751.3</v>
      </c>
      <c r="DT82">
        <v>760.8</v>
      </c>
      <c r="DU82">
        <v>782.4</v>
      </c>
      <c r="DV82">
        <v>809.8</v>
      </c>
      <c r="DW82">
        <v>827.7</v>
      </c>
      <c r="DX82">
        <v>845.6</v>
      </c>
      <c r="DY82">
        <v>840.9</v>
      </c>
      <c r="DZ82">
        <v>859.5</v>
      </c>
      <c r="EA82">
        <v>864.5</v>
      </c>
      <c r="EB82">
        <v>872.9</v>
      </c>
      <c r="EC82">
        <v>883.3</v>
      </c>
      <c r="ED82">
        <v>876.3</v>
      </c>
      <c r="EE82">
        <v>892.4</v>
      </c>
      <c r="EF82">
        <v>905.3</v>
      </c>
      <c r="EG82">
        <v>916.1</v>
      </c>
      <c r="EH82">
        <v>946.5</v>
      </c>
      <c r="EI82">
        <v>963</v>
      </c>
      <c r="EJ82">
        <v>964.2</v>
      </c>
      <c r="EK82">
        <v>977.8</v>
      </c>
      <c r="EL82">
        <v>957.1</v>
      </c>
      <c r="EM82">
        <v>964.1</v>
      </c>
      <c r="EN82">
        <v>988.1</v>
      </c>
      <c r="EO82">
        <v>1007.2</v>
      </c>
      <c r="EP82">
        <v>1049.0999999999999</v>
      </c>
      <c r="EQ82">
        <v>1052.0999999999999</v>
      </c>
      <c r="ER82">
        <v>1049</v>
      </c>
      <c r="ES82">
        <v>1053.3</v>
      </c>
      <c r="ET82">
        <v>1017.5</v>
      </c>
      <c r="EU82">
        <v>997.9</v>
      </c>
      <c r="EV82">
        <v>986.8</v>
      </c>
      <c r="EW82">
        <v>979.8</v>
      </c>
      <c r="EX82">
        <v>964.1</v>
      </c>
      <c r="EY82">
        <v>967.2</v>
      </c>
      <c r="EZ82">
        <v>956.6</v>
      </c>
      <c r="FA82">
        <v>950.7</v>
      </c>
      <c r="FB82">
        <v>913.2</v>
      </c>
      <c r="FC82">
        <v>901.5</v>
      </c>
      <c r="FD82">
        <v>934.5</v>
      </c>
      <c r="FE82">
        <v>1001.3</v>
      </c>
      <c r="FF82">
        <v>1055.8</v>
      </c>
      <c r="FG82">
        <v>1102.7</v>
      </c>
      <c r="FH82">
        <v>1128</v>
      </c>
      <c r="FI82">
        <v>1142.7</v>
      </c>
      <c r="FJ82">
        <v>1179</v>
      </c>
      <c r="FK82">
        <v>1210.2</v>
      </c>
      <c r="FL82">
        <v>1251.5999999999999</v>
      </c>
      <c r="FM82">
        <v>1268.9000000000001</v>
      </c>
      <c r="FN82">
        <v>1321.8</v>
      </c>
      <c r="FO82">
        <v>1355.6</v>
      </c>
      <c r="FP82">
        <v>1344.9</v>
      </c>
      <c r="FQ82">
        <v>1363.2</v>
      </c>
      <c r="FR82">
        <v>1387.2</v>
      </c>
      <c r="FS82">
        <v>1410.6</v>
      </c>
      <c r="FT82">
        <v>1411</v>
      </c>
      <c r="FU82">
        <v>1400</v>
      </c>
      <c r="FV82">
        <v>1411.4</v>
      </c>
      <c r="FW82">
        <v>1450.6</v>
      </c>
      <c r="FX82">
        <v>1466.2</v>
      </c>
      <c r="FY82">
        <v>1454.4</v>
      </c>
      <c r="FZ82">
        <v>1434.9</v>
      </c>
      <c r="GA82">
        <v>1411.3</v>
      </c>
      <c r="GB82">
        <v>1423.2</v>
      </c>
      <c r="GC82">
        <v>1413.8</v>
      </c>
      <c r="GD82">
        <v>1410.1</v>
      </c>
      <c r="GE82">
        <v>1409.6</v>
      </c>
      <c r="GF82">
        <v>1431</v>
      </c>
      <c r="GG82">
        <v>1442.5</v>
      </c>
      <c r="GH82">
        <v>1484.4</v>
      </c>
      <c r="GI82">
        <v>1498.5</v>
      </c>
      <c r="GJ82">
        <v>1502.9</v>
      </c>
      <c r="GK82">
        <v>1537.5</v>
      </c>
      <c r="GL82">
        <v>1567</v>
      </c>
      <c r="GM82">
        <v>1572.1</v>
      </c>
      <c r="GN82">
        <v>1581.3</v>
      </c>
      <c r="GO82">
        <v>1601.4</v>
      </c>
      <c r="GP82">
        <v>1585.5</v>
      </c>
      <c r="GQ82">
        <v>1572.8</v>
      </c>
      <c r="GR82">
        <v>1610.6</v>
      </c>
      <c r="GS82">
        <v>1626.8</v>
      </c>
      <c r="GT82">
        <v>1638.3</v>
      </c>
      <c r="GU82">
        <v>1471.1</v>
      </c>
      <c r="GV82">
        <v>1760.7</v>
      </c>
      <c r="GW82">
        <v>1730</v>
      </c>
      <c r="GX82">
        <v>1714</v>
      </c>
      <c r="GY82">
        <v>1848.2</v>
      </c>
      <c r="GZ82">
        <v>1850.6</v>
      </c>
    </row>
    <row r="83" spans="1:208" x14ac:dyDescent="0.35">
      <c r="A83" t="s">
        <v>1242</v>
      </c>
      <c r="B83">
        <v>20.399999999999999</v>
      </c>
      <c r="C83">
        <v>20.2</v>
      </c>
      <c r="D83">
        <v>20.9</v>
      </c>
      <c r="E83">
        <v>21.2</v>
      </c>
      <c r="F83">
        <v>21.1</v>
      </c>
      <c r="G83">
        <v>21.7</v>
      </c>
      <c r="H83">
        <v>22</v>
      </c>
      <c r="I83">
        <v>22.5</v>
      </c>
      <c r="J83">
        <v>23.1</v>
      </c>
      <c r="K83">
        <v>20.2</v>
      </c>
      <c r="L83">
        <v>23.9</v>
      </c>
      <c r="M83">
        <v>23.8</v>
      </c>
      <c r="N83">
        <v>23.5</v>
      </c>
      <c r="O83">
        <v>23.3</v>
      </c>
      <c r="P83">
        <v>22.3</v>
      </c>
      <c r="Q83">
        <v>23.3</v>
      </c>
      <c r="R83">
        <v>23.5</v>
      </c>
      <c r="S83">
        <v>22.9</v>
      </c>
      <c r="T83">
        <v>23.3</v>
      </c>
      <c r="U83">
        <v>23</v>
      </c>
      <c r="V83">
        <v>22.7</v>
      </c>
      <c r="W83">
        <v>22.4</v>
      </c>
      <c r="X83">
        <v>22.2</v>
      </c>
      <c r="Y83">
        <v>21.9</v>
      </c>
      <c r="Z83">
        <v>21.6</v>
      </c>
      <c r="AA83">
        <v>20.5</v>
      </c>
      <c r="AB83">
        <v>20</v>
      </c>
      <c r="AC83">
        <v>19.100000000000001</v>
      </c>
      <c r="AD83">
        <v>16.399999999999999</v>
      </c>
      <c r="AE83">
        <v>16.3</v>
      </c>
      <c r="AF83">
        <v>15.6</v>
      </c>
      <c r="AG83">
        <v>15.1</v>
      </c>
      <c r="AH83">
        <v>15.9</v>
      </c>
      <c r="AI83">
        <v>15.6</v>
      </c>
      <c r="AJ83">
        <v>17.100000000000001</v>
      </c>
      <c r="AK83">
        <v>17.5</v>
      </c>
      <c r="AL83">
        <v>17.3</v>
      </c>
      <c r="AM83">
        <v>15.6</v>
      </c>
      <c r="AN83">
        <v>15.4</v>
      </c>
      <c r="AO83">
        <v>16.100000000000001</v>
      </c>
      <c r="AP83">
        <v>15.8</v>
      </c>
      <c r="AQ83">
        <v>17.100000000000001</v>
      </c>
      <c r="AR83">
        <v>19.899999999999999</v>
      </c>
      <c r="AS83">
        <v>23.2</v>
      </c>
      <c r="AT83">
        <v>24</v>
      </c>
      <c r="AU83">
        <v>23.3</v>
      </c>
      <c r="AV83">
        <v>23.1</v>
      </c>
      <c r="AW83">
        <v>24.7</v>
      </c>
      <c r="AX83">
        <v>23.5</v>
      </c>
      <c r="AY83">
        <v>21.1</v>
      </c>
      <c r="AZ83">
        <v>24.4</v>
      </c>
      <c r="BA83">
        <v>26.3</v>
      </c>
      <c r="BB83">
        <v>25.8</v>
      </c>
      <c r="BC83">
        <v>24.7</v>
      </c>
      <c r="BD83">
        <v>23.7</v>
      </c>
      <c r="BE83">
        <v>23.5</v>
      </c>
      <c r="BF83">
        <v>23.2</v>
      </c>
      <c r="BG83">
        <v>21.7</v>
      </c>
      <c r="BH83">
        <v>24.4</v>
      </c>
      <c r="BI83">
        <v>29.3</v>
      </c>
      <c r="BJ83">
        <v>26.9</v>
      </c>
      <c r="BK83">
        <v>25.3</v>
      </c>
      <c r="BL83">
        <v>27.1</v>
      </c>
      <c r="BM83">
        <v>25.6</v>
      </c>
      <c r="BN83">
        <v>22</v>
      </c>
      <c r="BO83">
        <v>21.1</v>
      </c>
      <c r="BP83">
        <v>16.600000000000001</v>
      </c>
      <c r="BQ83">
        <v>13.4</v>
      </c>
      <c r="BR83">
        <v>14.5</v>
      </c>
      <c r="BS83">
        <v>14.1</v>
      </c>
      <c r="BT83">
        <v>17.5</v>
      </c>
      <c r="BU83">
        <v>20.3</v>
      </c>
      <c r="BV83">
        <v>21.1</v>
      </c>
      <c r="BW83">
        <v>20.3</v>
      </c>
      <c r="BX83">
        <v>21.2</v>
      </c>
      <c r="BY83">
        <v>27.4</v>
      </c>
      <c r="BZ83">
        <v>23.1</v>
      </c>
      <c r="CA83">
        <v>21.2</v>
      </c>
      <c r="CB83">
        <v>20</v>
      </c>
      <c r="CC83">
        <v>21.8</v>
      </c>
      <c r="CD83">
        <v>23.1</v>
      </c>
      <c r="CE83">
        <v>26.7</v>
      </c>
      <c r="CF83">
        <v>31.6</v>
      </c>
      <c r="CG83">
        <v>31.3</v>
      </c>
      <c r="CH83">
        <v>33</v>
      </c>
      <c r="CI83">
        <v>35.5</v>
      </c>
      <c r="CJ83">
        <v>39.4</v>
      </c>
      <c r="CK83">
        <v>46.4</v>
      </c>
      <c r="CL83">
        <v>50</v>
      </c>
      <c r="CM83">
        <v>57.3</v>
      </c>
      <c r="CN83">
        <v>64.3</v>
      </c>
      <c r="CO83">
        <v>70.7</v>
      </c>
      <c r="CP83">
        <v>80.7</v>
      </c>
      <c r="CQ83">
        <v>86.9</v>
      </c>
      <c r="CR83">
        <v>92.5</v>
      </c>
      <c r="CS83">
        <v>100.2</v>
      </c>
      <c r="CT83">
        <v>109</v>
      </c>
      <c r="CU83">
        <v>113.5</v>
      </c>
      <c r="CV83">
        <v>116.3</v>
      </c>
      <c r="CW83">
        <v>115.9</v>
      </c>
      <c r="CX83">
        <v>118.3</v>
      </c>
      <c r="CY83">
        <v>121.6</v>
      </c>
      <c r="CZ83">
        <v>125.7</v>
      </c>
      <c r="DA83">
        <v>134</v>
      </c>
      <c r="DB83">
        <v>139.5</v>
      </c>
      <c r="DC83">
        <v>141.6</v>
      </c>
      <c r="DD83">
        <v>143.69999999999999</v>
      </c>
      <c r="DE83">
        <v>145.30000000000001</v>
      </c>
      <c r="DF83">
        <v>144.19999999999999</v>
      </c>
      <c r="DG83">
        <v>144.6</v>
      </c>
      <c r="DH83">
        <v>147.4</v>
      </c>
      <c r="DI83">
        <v>152.1</v>
      </c>
      <c r="DJ83">
        <v>156.80000000000001</v>
      </c>
      <c r="DK83">
        <v>162.6</v>
      </c>
      <c r="DL83">
        <v>168</v>
      </c>
      <c r="DM83">
        <v>173.4</v>
      </c>
      <c r="DN83">
        <v>176.1</v>
      </c>
      <c r="DO83">
        <v>179.6</v>
      </c>
      <c r="DP83">
        <v>179.4</v>
      </c>
      <c r="DQ83">
        <v>178.9</v>
      </c>
      <c r="DR83">
        <v>179.8</v>
      </c>
      <c r="DS83">
        <v>180.2</v>
      </c>
      <c r="DT83">
        <v>182.9</v>
      </c>
      <c r="DU83">
        <v>191</v>
      </c>
      <c r="DV83">
        <v>197.1</v>
      </c>
      <c r="DW83">
        <v>202.6</v>
      </c>
      <c r="DX83">
        <v>204.8</v>
      </c>
      <c r="DY83">
        <v>205.1</v>
      </c>
      <c r="DZ83">
        <v>207.3</v>
      </c>
      <c r="EA83">
        <v>208.9</v>
      </c>
      <c r="EB83">
        <v>207.7</v>
      </c>
      <c r="EC83">
        <v>209.9</v>
      </c>
      <c r="ED83">
        <v>218.7</v>
      </c>
      <c r="EE83">
        <v>223.2</v>
      </c>
      <c r="EF83">
        <v>227.5</v>
      </c>
      <c r="EG83">
        <v>239</v>
      </c>
      <c r="EH83">
        <v>243</v>
      </c>
      <c r="EI83">
        <v>243.4</v>
      </c>
      <c r="EJ83">
        <v>241.8</v>
      </c>
      <c r="EK83">
        <v>242.9</v>
      </c>
      <c r="EL83">
        <v>233.7</v>
      </c>
      <c r="EM83">
        <v>231.2</v>
      </c>
      <c r="EN83">
        <v>213.6</v>
      </c>
      <c r="EO83">
        <v>206</v>
      </c>
      <c r="EP83">
        <v>194.5</v>
      </c>
      <c r="EQ83">
        <v>183.4</v>
      </c>
      <c r="ER83">
        <v>177.8</v>
      </c>
      <c r="ES83">
        <v>168.7</v>
      </c>
      <c r="ET83">
        <v>162.5</v>
      </c>
      <c r="EU83">
        <v>180.3</v>
      </c>
      <c r="EV83">
        <v>193.6</v>
      </c>
      <c r="EW83">
        <v>208.7</v>
      </c>
      <c r="EX83">
        <v>249.2</v>
      </c>
      <c r="EY83">
        <v>280.89999999999998</v>
      </c>
      <c r="EZ83">
        <v>305.3</v>
      </c>
      <c r="FA83">
        <v>325.7</v>
      </c>
      <c r="FB83">
        <v>326.60000000000002</v>
      </c>
      <c r="FC83">
        <v>335.9</v>
      </c>
      <c r="FD83">
        <v>355.8</v>
      </c>
      <c r="FE83">
        <v>372</v>
      </c>
      <c r="FF83">
        <v>404.9</v>
      </c>
      <c r="FG83">
        <v>428.9</v>
      </c>
      <c r="FH83">
        <v>442.6</v>
      </c>
      <c r="FI83">
        <v>458.3</v>
      </c>
      <c r="FJ83">
        <v>489.1</v>
      </c>
      <c r="FK83">
        <v>501.4</v>
      </c>
      <c r="FL83">
        <v>510.1</v>
      </c>
      <c r="FM83">
        <v>525.6</v>
      </c>
      <c r="FN83">
        <v>526.70000000000005</v>
      </c>
      <c r="FO83">
        <v>532.4</v>
      </c>
      <c r="FP83">
        <v>536.1</v>
      </c>
      <c r="FQ83">
        <v>542.79999999999995</v>
      </c>
      <c r="FR83">
        <v>560.79999999999995</v>
      </c>
      <c r="FS83">
        <v>573.1</v>
      </c>
      <c r="FT83">
        <v>585.1</v>
      </c>
      <c r="FU83">
        <v>590.70000000000005</v>
      </c>
      <c r="FV83">
        <v>598.1</v>
      </c>
      <c r="FW83">
        <v>602.6</v>
      </c>
      <c r="FX83">
        <v>604.6</v>
      </c>
      <c r="FY83">
        <v>605.5</v>
      </c>
      <c r="FZ83">
        <v>596.20000000000005</v>
      </c>
      <c r="GA83">
        <v>611.29999999999995</v>
      </c>
      <c r="GB83">
        <v>614.9</v>
      </c>
      <c r="GC83">
        <v>615.6</v>
      </c>
      <c r="GD83">
        <v>619.79999999999995</v>
      </c>
      <c r="GE83">
        <v>626.70000000000005</v>
      </c>
      <c r="GF83">
        <v>627.6</v>
      </c>
      <c r="GG83">
        <v>632.5</v>
      </c>
      <c r="GH83">
        <v>643.9</v>
      </c>
      <c r="GI83">
        <v>645.1</v>
      </c>
      <c r="GJ83">
        <v>654.9</v>
      </c>
      <c r="GK83">
        <v>667</v>
      </c>
      <c r="GL83">
        <v>671.8</v>
      </c>
      <c r="GM83">
        <v>677.3</v>
      </c>
      <c r="GN83">
        <v>689.8</v>
      </c>
      <c r="GO83">
        <v>688.6</v>
      </c>
      <c r="GP83">
        <v>687</v>
      </c>
      <c r="GQ83">
        <v>691</v>
      </c>
      <c r="GR83">
        <v>691.5</v>
      </c>
      <c r="GS83">
        <v>699</v>
      </c>
      <c r="GT83">
        <v>712.2</v>
      </c>
      <c r="GU83">
        <v>709.5</v>
      </c>
      <c r="GV83">
        <v>714.5</v>
      </c>
      <c r="GW83">
        <v>710</v>
      </c>
      <c r="GX83">
        <v>716.9</v>
      </c>
      <c r="GY83">
        <v>716.3</v>
      </c>
      <c r="GZ83">
        <v>729.3</v>
      </c>
    </row>
    <row r="84" spans="1:208" x14ac:dyDescent="0.35">
      <c r="A84" t="s">
        <v>1234</v>
      </c>
      <c r="B84">
        <v>109.2</v>
      </c>
      <c r="C84">
        <v>113.1</v>
      </c>
      <c r="D84">
        <v>117.5</v>
      </c>
      <c r="E84">
        <v>120</v>
      </c>
      <c r="F84">
        <v>122.8</v>
      </c>
      <c r="G84">
        <v>124.2</v>
      </c>
      <c r="H84">
        <v>126.1</v>
      </c>
      <c r="I84">
        <v>127.4</v>
      </c>
      <c r="J84">
        <v>131</v>
      </c>
      <c r="K84">
        <v>134.1</v>
      </c>
      <c r="L84">
        <v>138.4</v>
      </c>
      <c r="M84">
        <v>142.80000000000001</v>
      </c>
      <c r="N84">
        <v>146.6</v>
      </c>
      <c r="O84">
        <v>151.6</v>
      </c>
      <c r="P84">
        <v>158.80000000000001</v>
      </c>
      <c r="Q84">
        <v>164.6</v>
      </c>
      <c r="R84">
        <v>170.5</v>
      </c>
      <c r="S84">
        <v>177.6</v>
      </c>
      <c r="T84">
        <v>183.9</v>
      </c>
      <c r="U84">
        <v>190.4</v>
      </c>
      <c r="V84">
        <v>196.4</v>
      </c>
      <c r="W84">
        <v>198.5</v>
      </c>
      <c r="X84">
        <v>202.5</v>
      </c>
      <c r="Y84">
        <v>206.5</v>
      </c>
      <c r="Z84">
        <v>210.5</v>
      </c>
      <c r="AA84">
        <v>217.1</v>
      </c>
      <c r="AB84">
        <v>222.8</v>
      </c>
      <c r="AC84">
        <v>229.7</v>
      </c>
      <c r="AD84">
        <v>238.8</v>
      </c>
      <c r="AE84">
        <v>246.6</v>
      </c>
      <c r="AF84">
        <v>255.4</v>
      </c>
      <c r="AG84">
        <v>265.5</v>
      </c>
      <c r="AH84">
        <v>273.3</v>
      </c>
      <c r="AI84">
        <v>281.3</v>
      </c>
      <c r="AJ84">
        <v>289.8</v>
      </c>
      <c r="AK84">
        <v>298.89999999999998</v>
      </c>
      <c r="AL84">
        <v>308.8</v>
      </c>
      <c r="AM84">
        <v>318.8</v>
      </c>
      <c r="AN84">
        <v>330.4</v>
      </c>
      <c r="AO84">
        <v>350.4</v>
      </c>
      <c r="AP84">
        <v>377.5</v>
      </c>
      <c r="AQ84">
        <v>391.2</v>
      </c>
      <c r="AR84">
        <v>397</v>
      </c>
      <c r="AS84">
        <v>421.9</v>
      </c>
      <c r="AT84">
        <v>440.5</v>
      </c>
      <c r="AU84">
        <v>469</v>
      </c>
      <c r="AV84">
        <v>508.5</v>
      </c>
      <c r="AW84">
        <v>525.4</v>
      </c>
      <c r="AX84">
        <v>544.1</v>
      </c>
      <c r="AY84">
        <v>559.9</v>
      </c>
      <c r="AZ84">
        <v>560.79999999999995</v>
      </c>
      <c r="BA84">
        <v>563.20000000000005</v>
      </c>
      <c r="BB84">
        <v>574.29999999999995</v>
      </c>
      <c r="BC84">
        <v>584.4</v>
      </c>
      <c r="BD84">
        <v>609.20000000000005</v>
      </c>
      <c r="BE84">
        <v>630.20000000000005</v>
      </c>
      <c r="BF84">
        <v>645.6</v>
      </c>
      <c r="BG84">
        <v>671.4</v>
      </c>
      <c r="BH84">
        <v>698.4</v>
      </c>
      <c r="BI84">
        <v>707.7</v>
      </c>
      <c r="BJ84">
        <v>718.6</v>
      </c>
      <c r="BK84">
        <v>723.8</v>
      </c>
      <c r="BL84">
        <v>724.1</v>
      </c>
      <c r="BM84">
        <v>738.7</v>
      </c>
      <c r="BN84">
        <v>762.3</v>
      </c>
      <c r="BO84">
        <v>770.2</v>
      </c>
      <c r="BP84">
        <v>770.3</v>
      </c>
      <c r="BQ84">
        <v>769.8</v>
      </c>
      <c r="BR84">
        <v>771.1</v>
      </c>
      <c r="BS84">
        <v>781</v>
      </c>
      <c r="BT84">
        <v>796.9</v>
      </c>
      <c r="BU84">
        <v>815.4</v>
      </c>
      <c r="BV84">
        <v>824</v>
      </c>
      <c r="BW84">
        <v>833.7</v>
      </c>
      <c r="BX84">
        <v>860.5</v>
      </c>
      <c r="BY84">
        <v>887.5</v>
      </c>
      <c r="BZ84">
        <v>933.6</v>
      </c>
      <c r="CA84">
        <v>961.5</v>
      </c>
      <c r="CB84">
        <v>975.6</v>
      </c>
      <c r="CC84">
        <v>986.6</v>
      </c>
      <c r="CD84">
        <v>999.5</v>
      </c>
      <c r="CE84">
        <v>1003.1</v>
      </c>
      <c r="CF84">
        <v>1010</v>
      </c>
      <c r="CG84">
        <v>1008.7</v>
      </c>
      <c r="CH84">
        <v>1003.9</v>
      </c>
      <c r="CI84">
        <v>1004.2</v>
      </c>
      <c r="CJ84">
        <v>1006.8</v>
      </c>
      <c r="CK84">
        <v>999.9</v>
      </c>
      <c r="CL84">
        <v>996.8</v>
      </c>
      <c r="CM84">
        <v>1000.4</v>
      </c>
      <c r="CN84">
        <v>997.1</v>
      </c>
      <c r="CO84">
        <v>1000.9</v>
      </c>
      <c r="CP84">
        <v>1007.7</v>
      </c>
      <c r="CQ84">
        <v>1007.4</v>
      </c>
      <c r="CR84">
        <v>1006.4</v>
      </c>
      <c r="CS84">
        <v>1006.7</v>
      </c>
      <c r="CT84">
        <v>1015.2</v>
      </c>
      <c r="CU84">
        <v>1035.9000000000001</v>
      </c>
      <c r="CV84">
        <v>1057.7</v>
      </c>
      <c r="CW84">
        <v>1090.4000000000001</v>
      </c>
      <c r="CX84">
        <v>1112.7</v>
      </c>
      <c r="CY84">
        <v>1130.9000000000001</v>
      </c>
      <c r="CZ84">
        <v>1144.3</v>
      </c>
      <c r="DA84">
        <v>1158.4000000000001</v>
      </c>
      <c r="DB84">
        <v>1170.8</v>
      </c>
      <c r="DC84">
        <v>1188.5</v>
      </c>
      <c r="DD84">
        <v>1210.7</v>
      </c>
      <c r="DE84">
        <v>1234.7</v>
      </c>
      <c r="DF84">
        <v>1251.4000000000001</v>
      </c>
      <c r="DG84">
        <v>1274.5</v>
      </c>
      <c r="DH84">
        <v>1294.9000000000001</v>
      </c>
      <c r="DI84">
        <v>1319.4</v>
      </c>
      <c r="DJ84">
        <v>1353.9</v>
      </c>
      <c r="DK84">
        <v>1379.1</v>
      </c>
      <c r="DL84">
        <v>1385.2</v>
      </c>
      <c r="DM84">
        <v>1365.3</v>
      </c>
      <c r="DN84">
        <v>1349.7</v>
      </c>
      <c r="DO84">
        <v>1347.3</v>
      </c>
      <c r="DP84">
        <v>1367.2</v>
      </c>
      <c r="DQ84">
        <v>1393</v>
      </c>
      <c r="DR84">
        <v>1432.6</v>
      </c>
      <c r="DS84">
        <v>1477.5</v>
      </c>
      <c r="DT84">
        <v>1512.9</v>
      </c>
      <c r="DU84">
        <v>1536.8</v>
      </c>
      <c r="DV84">
        <v>1528.9</v>
      </c>
      <c r="DW84">
        <v>1507</v>
      </c>
      <c r="DX84">
        <v>1474.9</v>
      </c>
      <c r="DY84">
        <v>1416</v>
      </c>
      <c r="DZ84">
        <v>1397</v>
      </c>
      <c r="EA84">
        <v>1408.1</v>
      </c>
      <c r="EB84">
        <v>1413.1</v>
      </c>
      <c r="EC84">
        <v>1436.3</v>
      </c>
      <c r="ED84">
        <v>1444.5</v>
      </c>
      <c r="EE84">
        <v>1436.1</v>
      </c>
      <c r="EF84">
        <v>1455.3</v>
      </c>
      <c r="EG84">
        <v>1473.4</v>
      </c>
      <c r="EH84">
        <v>1473.6</v>
      </c>
      <c r="EI84">
        <v>1490.5</v>
      </c>
      <c r="EJ84">
        <v>1507.5</v>
      </c>
      <c r="EK84">
        <v>1636.7</v>
      </c>
      <c r="EL84">
        <v>1598.1</v>
      </c>
      <c r="EM84">
        <v>1669.6</v>
      </c>
      <c r="EN84">
        <v>1713</v>
      </c>
      <c r="EO84">
        <v>1800.1</v>
      </c>
      <c r="EP84">
        <v>1882.7</v>
      </c>
      <c r="EQ84">
        <v>1988</v>
      </c>
      <c r="ER84">
        <v>2015.8</v>
      </c>
      <c r="ES84">
        <v>2040.4</v>
      </c>
      <c r="ET84">
        <v>2087.1</v>
      </c>
      <c r="EU84">
        <v>2212.3000000000002</v>
      </c>
      <c r="EV84">
        <v>2231.6</v>
      </c>
      <c r="EW84">
        <v>2246.9</v>
      </c>
      <c r="EX84">
        <v>2248.1999999999998</v>
      </c>
      <c r="EY84">
        <v>2204.1999999999998</v>
      </c>
      <c r="EZ84">
        <v>2222.5</v>
      </c>
      <c r="FA84">
        <v>2141.3000000000002</v>
      </c>
      <c r="FB84">
        <v>2006.9</v>
      </c>
      <c r="FC84">
        <v>1875.6</v>
      </c>
      <c r="FD84">
        <v>1783.9</v>
      </c>
      <c r="FE84">
        <v>1748.4</v>
      </c>
      <c r="FF84">
        <v>1763.3</v>
      </c>
      <c r="FG84">
        <v>1775.8</v>
      </c>
      <c r="FH84">
        <v>1780.5</v>
      </c>
      <c r="FI84">
        <v>1827.5</v>
      </c>
      <c r="FJ84">
        <v>1887.8</v>
      </c>
      <c r="FK84">
        <v>1915.4</v>
      </c>
      <c r="FL84">
        <v>1935.6</v>
      </c>
      <c r="FM84">
        <v>2009.8</v>
      </c>
      <c r="FN84">
        <v>2081.4</v>
      </c>
      <c r="FO84">
        <v>2136</v>
      </c>
      <c r="FP84">
        <v>2078.6</v>
      </c>
      <c r="FQ84">
        <v>2318.6999999999998</v>
      </c>
      <c r="FR84">
        <v>2026.1</v>
      </c>
      <c r="FS84">
        <v>2036.5</v>
      </c>
      <c r="FT84">
        <v>2074.1999999999998</v>
      </c>
      <c r="FU84">
        <v>2099</v>
      </c>
      <c r="FV84">
        <v>2167</v>
      </c>
      <c r="FW84">
        <v>2266.6999999999998</v>
      </c>
      <c r="FX84">
        <v>2336</v>
      </c>
      <c r="FY84">
        <v>2390.4</v>
      </c>
      <c r="FZ84">
        <v>2447.6</v>
      </c>
      <c r="GA84">
        <v>2469.6999999999998</v>
      </c>
      <c r="GB84">
        <v>2478.9</v>
      </c>
      <c r="GC84">
        <v>2503.1999999999998</v>
      </c>
      <c r="GD84">
        <v>2517</v>
      </c>
      <c r="GE84">
        <v>2524.3000000000002</v>
      </c>
      <c r="GF84">
        <v>2549.9</v>
      </c>
      <c r="GG84">
        <v>2579.4</v>
      </c>
      <c r="GH84">
        <v>2643.2</v>
      </c>
      <c r="GI84">
        <v>2708.8</v>
      </c>
      <c r="GJ84">
        <v>2728.2</v>
      </c>
      <c r="GK84">
        <v>2751.6</v>
      </c>
      <c r="GL84">
        <v>2786</v>
      </c>
      <c r="GM84">
        <v>2842.4</v>
      </c>
      <c r="GN84">
        <v>2884.4</v>
      </c>
      <c r="GO84">
        <v>2960.5</v>
      </c>
      <c r="GP84">
        <v>2944.3</v>
      </c>
      <c r="GQ84">
        <v>2972.5</v>
      </c>
      <c r="GR84">
        <v>2973.2</v>
      </c>
      <c r="GS84">
        <v>2982.1</v>
      </c>
      <c r="GT84">
        <v>2976.4</v>
      </c>
      <c r="GU84">
        <v>2910.9</v>
      </c>
      <c r="GV84">
        <v>2851.7</v>
      </c>
      <c r="GW84">
        <v>2909.6</v>
      </c>
      <c r="GX84">
        <v>2898.8</v>
      </c>
      <c r="GY84">
        <v>2932.1</v>
      </c>
      <c r="GZ84">
        <v>2949.6</v>
      </c>
    </row>
    <row r="85" spans="1:208" x14ac:dyDescent="0.35">
      <c r="A85" t="s">
        <v>1233</v>
      </c>
      <c r="B85">
        <v>77.5</v>
      </c>
      <c r="C85">
        <v>81.099999999999994</v>
      </c>
      <c r="D85">
        <v>81.099999999999994</v>
      </c>
      <c r="E85">
        <v>76.900000000000006</v>
      </c>
      <c r="F85">
        <v>89.1</v>
      </c>
      <c r="G85">
        <v>90.8</v>
      </c>
      <c r="H85">
        <v>93.7</v>
      </c>
      <c r="I85">
        <v>97.6</v>
      </c>
      <c r="J85">
        <v>102.7</v>
      </c>
      <c r="K85">
        <v>104.3</v>
      </c>
      <c r="L85">
        <v>108.2</v>
      </c>
      <c r="M85">
        <v>115.5</v>
      </c>
      <c r="N85">
        <v>121</v>
      </c>
      <c r="O85">
        <v>117.2</v>
      </c>
      <c r="P85">
        <v>116.6</v>
      </c>
      <c r="Q85">
        <v>119.1</v>
      </c>
      <c r="R85">
        <v>111.1</v>
      </c>
      <c r="S85">
        <v>110.8</v>
      </c>
      <c r="T85">
        <v>107.3</v>
      </c>
      <c r="U85">
        <v>103.8</v>
      </c>
      <c r="V85">
        <v>103.9</v>
      </c>
      <c r="W85">
        <v>115.6</v>
      </c>
      <c r="X85">
        <v>135.4</v>
      </c>
      <c r="Y85">
        <v>142</v>
      </c>
      <c r="Z85">
        <v>159.1</v>
      </c>
      <c r="AA85">
        <v>156.6</v>
      </c>
      <c r="AB85">
        <v>158.4</v>
      </c>
      <c r="AC85">
        <v>157.1</v>
      </c>
      <c r="AD85">
        <v>165</v>
      </c>
      <c r="AE85">
        <v>185.7</v>
      </c>
      <c r="AF85">
        <v>199.9</v>
      </c>
      <c r="AG85">
        <v>196.1</v>
      </c>
      <c r="AH85">
        <v>187.5</v>
      </c>
      <c r="AI85">
        <v>220</v>
      </c>
      <c r="AJ85">
        <v>223.8</v>
      </c>
      <c r="AK85">
        <v>231.5</v>
      </c>
      <c r="AL85">
        <v>221.9</v>
      </c>
      <c r="AM85">
        <v>219.4</v>
      </c>
      <c r="AN85">
        <v>211.1</v>
      </c>
      <c r="AO85">
        <v>205.1</v>
      </c>
      <c r="AP85">
        <v>197.2</v>
      </c>
      <c r="AQ85">
        <v>170.2</v>
      </c>
      <c r="AR85">
        <v>179.7</v>
      </c>
      <c r="AS85">
        <v>205.2</v>
      </c>
      <c r="AT85">
        <v>214.2</v>
      </c>
      <c r="AU85">
        <v>213.3</v>
      </c>
      <c r="AV85">
        <v>230.4</v>
      </c>
      <c r="AW85">
        <v>213.3</v>
      </c>
      <c r="AX85">
        <v>190.2</v>
      </c>
      <c r="AY85">
        <v>202.6</v>
      </c>
      <c r="AZ85">
        <v>202.5</v>
      </c>
      <c r="BA85">
        <v>193.7</v>
      </c>
      <c r="BB85">
        <v>211.7</v>
      </c>
      <c r="BC85">
        <v>240.3</v>
      </c>
      <c r="BD85">
        <v>256.2</v>
      </c>
      <c r="BE85">
        <v>270.60000000000002</v>
      </c>
      <c r="BF85">
        <v>302</v>
      </c>
      <c r="BG85">
        <v>301.8</v>
      </c>
      <c r="BH85">
        <v>295.7</v>
      </c>
      <c r="BI85">
        <v>305.7</v>
      </c>
      <c r="BJ85">
        <v>312.3</v>
      </c>
      <c r="BK85">
        <v>311.60000000000002</v>
      </c>
      <c r="BL85">
        <v>333.1</v>
      </c>
      <c r="BM85">
        <v>308.5</v>
      </c>
      <c r="BN85">
        <v>298.8</v>
      </c>
      <c r="BO85">
        <v>288.10000000000002</v>
      </c>
      <c r="BP85">
        <v>276.2</v>
      </c>
      <c r="BQ85">
        <v>276.39999999999998</v>
      </c>
      <c r="BR85">
        <v>284.60000000000002</v>
      </c>
      <c r="BS85">
        <v>314.39999999999998</v>
      </c>
      <c r="BT85">
        <v>338.6</v>
      </c>
      <c r="BU85">
        <v>334.3</v>
      </c>
      <c r="BV85">
        <v>341.5</v>
      </c>
      <c r="BW85">
        <v>350.9</v>
      </c>
      <c r="BX85">
        <v>358.1</v>
      </c>
      <c r="BY85">
        <v>379.5</v>
      </c>
      <c r="BZ85">
        <v>359.7</v>
      </c>
      <c r="CA85">
        <v>351.9</v>
      </c>
      <c r="CB85">
        <v>350.1</v>
      </c>
      <c r="CC85">
        <v>327</v>
      </c>
      <c r="CD85">
        <v>340.5</v>
      </c>
      <c r="CE85">
        <v>358.8</v>
      </c>
      <c r="CF85">
        <v>336.8</v>
      </c>
      <c r="CG85">
        <v>330.6</v>
      </c>
      <c r="CH85">
        <v>370.8</v>
      </c>
      <c r="CI85">
        <v>378</v>
      </c>
      <c r="CJ85">
        <v>380.7</v>
      </c>
      <c r="CK85">
        <v>375</v>
      </c>
      <c r="CL85">
        <v>399.7</v>
      </c>
      <c r="CM85">
        <v>404</v>
      </c>
      <c r="CN85">
        <v>393.9</v>
      </c>
      <c r="CO85">
        <v>418.7</v>
      </c>
      <c r="CP85">
        <v>400.8</v>
      </c>
      <c r="CQ85">
        <v>439</v>
      </c>
      <c r="CR85">
        <v>446.2</v>
      </c>
      <c r="CS85">
        <v>504.6</v>
      </c>
      <c r="CT85">
        <v>509.3</v>
      </c>
      <c r="CU85">
        <v>530</v>
      </c>
      <c r="CV85">
        <v>562.20000000000005</v>
      </c>
      <c r="CW85">
        <v>585.79999999999995</v>
      </c>
      <c r="CX85">
        <v>579</v>
      </c>
      <c r="CY85">
        <v>595.70000000000005</v>
      </c>
      <c r="CZ85">
        <v>639.4</v>
      </c>
      <c r="DA85">
        <v>639</v>
      </c>
      <c r="DB85">
        <v>671.6</v>
      </c>
      <c r="DC85">
        <v>686.9</v>
      </c>
      <c r="DD85">
        <v>691.4</v>
      </c>
      <c r="DE85">
        <v>700.2</v>
      </c>
      <c r="DF85">
        <v>735.7</v>
      </c>
      <c r="DG85">
        <v>748.6</v>
      </c>
      <c r="DH85">
        <v>787.1</v>
      </c>
      <c r="DI85">
        <v>777.2</v>
      </c>
      <c r="DJ85">
        <v>704</v>
      </c>
      <c r="DK85">
        <v>703.4</v>
      </c>
      <c r="DL85">
        <v>721.5</v>
      </c>
      <c r="DM85">
        <v>693.8</v>
      </c>
      <c r="DN85">
        <v>732.4</v>
      </c>
      <c r="DO85">
        <v>723.4</v>
      </c>
      <c r="DP85">
        <v>705.2</v>
      </c>
      <c r="DQ85">
        <v>691.7</v>
      </c>
      <c r="DR85">
        <v>677.3</v>
      </c>
      <c r="DS85">
        <v>659.6</v>
      </c>
      <c r="DT85">
        <v>636.70000000000005</v>
      </c>
      <c r="DU85">
        <v>589.9</v>
      </c>
      <c r="DV85">
        <v>588.6</v>
      </c>
      <c r="DW85">
        <v>607.9</v>
      </c>
      <c r="DX85">
        <v>601.20000000000005</v>
      </c>
      <c r="DY85">
        <v>561.9</v>
      </c>
      <c r="DZ85">
        <v>694.1</v>
      </c>
      <c r="EA85">
        <v>737.7</v>
      </c>
      <c r="EB85">
        <v>759.1</v>
      </c>
      <c r="EC85">
        <v>828.9</v>
      </c>
      <c r="ED85">
        <v>844.2</v>
      </c>
      <c r="EE85">
        <v>872.2</v>
      </c>
      <c r="EF85">
        <v>919.9</v>
      </c>
      <c r="EG85">
        <v>953.1</v>
      </c>
      <c r="EH85">
        <v>1038.4000000000001</v>
      </c>
      <c r="EI85">
        <v>1083.9000000000001</v>
      </c>
      <c r="EJ85">
        <v>1125.2</v>
      </c>
      <c r="EK85">
        <v>1129.3</v>
      </c>
      <c r="EL85">
        <v>1219.8</v>
      </c>
      <c r="EM85">
        <v>1236.8</v>
      </c>
      <c r="EN85">
        <v>1244.4000000000001</v>
      </c>
      <c r="EO85">
        <v>1350.6</v>
      </c>
      <c r="EP85">
        <v>1399.2</v>
      </c>
      <c r="EQ85">
        <v>1404.9</v>
      </c>
      <c r="ER85">
        <v>1455.1</v>
      </c>
      <c r="ES85">
        <v>1366.9</v>
      </c>
      <c r="ET85">
        <v>1257.7</v>
      </c>
      <c r="EU85">
        <v>1285.5</v>
      </c>
      <c r="EV85">
        <v>1165.3</v>
      </c>
      <c r="EW85">
        <v>1073.0999999999999</v>
      </c>
      <c r="EX85">
        <v>988</v>
      </c>
      <c r="EY85">
        <v>963.5</v>
      </c>
      <c r="EZ85">
        <v>949.5</v>
      </c>
      <c r="FA85">
        <v>681.6</v>
      </c>
      <c r="FB85">
        <v>911.1</v>
      </c>
      <c r="FC85">
        <v>965.2</v>
      </c>
      <c r="FD85">
        <v>1087.0999999999999</v>
      </c>
      <c r="FE85">
        <v>1188.7</v>
      </c>
      <c r="FF85">
        <v>1253.4000000000001</v>
      </c>
      <c r="FG85">
        <v>1255.5</v>
      </c>
      <c r="FH85">
        <v>1428</v>
      </c>
      <c r="FI85">
        <v>1434.9</v>
      </c>
      <c r="FJ85">
        <v>1273.5999999999999</v>
      </c>
      <c r="FK85">
        <v>1392.8</v>
      </c>
      <c r="FL85">
        <v>1393.4</v>
      </c>
      <c r="FM85">
        <v>1529</v>
      </c>
      <c r="FN85">
        <v>1606.9</v>
      </c>
      <c r="FO85">
        <v>1605.9</v>
      </c>
      <c r="FP85">
        <v>1583</v>
      </c>
      <c r="FQ85">
        <v>1572.4</v>
      </c>
      <c r="FR85">
        <v>1596.1</v>
      </c>
      <c r="FS85">
        <v>1605.3</v>
      </c>
      <c r="FT85">
        <v>1602.5</v>
      </c>
      <c r="FU85">
        <v>1643.5</v>
      </c>
      <c r="FV85">
        <v>1561.5</v>
      </c>
      <c r="FW85">
        <v>1743.6</v>
      </c>
      <c r="FX85">
        <v>1769.4</v>
      </c>
      <c r="FY85">
        <v>1786.9</v>
      </c>
      <c r="FZ85">
        <v>1728.9</v>
      </c>
      <c r="GA85">
        <v>1721.5</v>
      </c>
      <c r="GB85">
        <v>1673.6</v>
      </c>
      <c r="GC85">
        <v>1537.1</v>
      </c>
      <c r="GD85">
        <v>1645.7</v>
      </c>
      <c r="GE85">
        <v>1600.3</v>
      </c>
      <c r="GF85">
        <v>1625.4</v>
      </c>
      <c r="GG85">
        <v>1599.7</v>
      </c>
      <c r="GH85">
        <v>1604.1</v>
      </c>
      <c r="GI85">
        <v>1634.8</v>
      </c>
      <c r="GJ85">
        <v>1639</v>
      </c>
      <c r="GK85">
        <v>1641.9</v>
      </c>
      <c r="GL85">
        <v>1701.8</v>
      </c>
      <c r="GM85">
        <v>1742.3</v>
      </c>
      <c r="GN85">
        <v>1816.9</v>
      </c>
      <c r="GO85">
        <v>1872</v>
      </c>
      <c r="GP85">
        <v>1799.2</v>
      </c>
      <c r="GQ85">
        <v>1858.1</v>
      </c>
      <c r="GR85">
        <v>1859.3</v>
      </c>
      <c r="GS85">
        <v>1901</v>
      </c>
      <c r="GT85">
        <v>1690.4</v>
      </c>
      <c r="GU85">
        <v>1534.3</v>
      </c>
      <c r="GV85">
        <v>1981</v>
      </c>
      <c r="GW85">
        <v>1950.5</v>
      </c>
      <c r="GX85">
        <v>2085</v>
      </c>
      <c r="GY85">
        <v>2359</v>
      </c>
      <c r="GZ85">
        <v>2131.5</v>
      </c>
    </row>
    <row r="86" spans="1:208" x14ac:dyDescent="0.35">
      <c r="A86" t="s">
        <v>1238</v>
      </c>
      <c r="GY86">
        <v>21.4</v>
      </c>
      <c r="GZ86">
        <v>57</v>
      </c>
    </row>
    <row r="87" spans="1:208" x14ac:dyDescent="0.35">
      <c r="A87" t="s">
        <v>1239</v>
      </c>
      <c r="GU87">
        <v>60.3</v>
      </c>
      <c r="GV87">
        <v>18.5</v>
      </c>
      <c r="GW87">
        <v>0</v>
      </c>
      <c r="GX87">
        <v>0.3</v>
      </c>
      <c r="GY87">
        <v>11.3</v>
      </c>
      <c r="GZ87">
        <v>10.4</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09" t="s">
        <v>967</v>
      </c>
      <c r="B3" s="196"/>
    </row>
    <row r="4" spans="1:17" x14ac:dyDescent="0.35">
      <c r="A4" s="210" t="s">
        <v>968</v>
      </c>
      <c r="B4" s="211"/>
      <c r="C4" s="211"/>
    </row>
    <row r="7" spans="1:17" x14ac:dyDescent="0.35">
      <c r="A7" s="1172" t="s">
        <v>969</v>
      </c>
      <c r="B7" s="1173"/>
      <c r="C7" s="1173"/>
      <c r="D7" s="1173"/>
      <c r="E7" s="1173"/>
      <c r="F7" s="1173"/>
      <c r="G7" s="1173"/>
      <c r="H7" s="1173"/>
      <c r="I7" s="1173"/>
      <c r="J7" s="1173"/>
      <c r="K7" s="1173"/>
      <c r="L7" s="1173"/>
      <c r="M7" s="1173"/>
      <c r="N7" s="1173"/>
      <c r="O7" s="1173"/>
      <c r="P7" s="1173"/>
    </row>
    <row r="8" spans="1:17" x14ac:dyDescent="0.35">
      <c r="A8" s="201" t="s">
        <v>970</v>
      </c>
      <c r="B8" s="201"/>
      <c r="C8" s="202"/>
      <c r="D8" s="203"/>
      <c r="E8" s="202"/>
      <c r="F8" s="202"/>
      <c r="G8" s="202"/>
      <c r="H8" s="202"/>
      <c r="I8" s="202"/>
      <c r="J8" s="202"/>
      <c r="K8" s="202"/>
      <c r="L8" s="202"/>
      <c r="M8" s="202"/>
      <c r="N8" s="202"/>
      <c r="O8" s="202"/>
      <c r="P8" s="202"/>
    </row>
    <row r="9" spans="1:17" x14ac:dyDescent="0.35">
      <c r="A9" s="197"/>
      <c r="B9" s="197"/>
      <c r="C9" s="197"/>
      <c r="D9" s="204"/>
      <c r="E9" s="197"/>
      <c r="F9" s="197"/>
      <c r="G9" s="197"/>
      <c r="H9" s="197"/>
      <c r="I9" s="197"/>
      <c r="J9" s="197"/>
      <c r="K9" s="197"/>
      <c r="L9" s="197"/>
      <c r="M9" s="197"/>
      <c r="N9" s="197"/>
      <c r="O9" s="197"/>
      <c r="P9" s="197"/>
    </row>
    <row r="10" spans="1:17" x14ac:dyDescent="0.35">
      <c r="A10" s="197"/>
      <c r="B10" s="197"/>
      <c r="C10" s="197"/>
      <c r="D10" s="204"/>
      <c r="E10" s="197"/>
      <c r="F10" s="197"/>
      <c r="G10" s="197"/>
      <c r="H10" s="197"/>
      <c r="I10" s="197"/>
      <c r="J10" s="197"/>
      <c r="K10" s="197"/>
      <c r="L10" s="197"/>
      <c r="M10" s="197"/>
      <c r="N10" s="197"/>
      <c r="O10" s="1174" t="s">
        <v>437</v>
      </c>
      <c r="P10" s="1174"/>
    </row>
    <row r="11" spans="1:17" x14ac:dyDescent="0.35">
      <c r="A11" s="197"/>
      <c r="B11" s="197"/>
      <c r="C11" s="195"/>
      <c r="D11" s="198"/>
      <c r="E11" s="195"/>
      <c r="F11" s="195"/>
      <c r="G11" s="195"/>
      <c r="H11" s="195"/>
      <c r="I11" s="195"/>
      <c r="J11" s="195"/>
      <c r="K11" s="195"/>
      <c r="L11" s="195"/>
      <c r="M11" s="195"/>
      <c r="N11" s="195"/>
      <c r="O11" s="193" t="s">
        <v>971</v>
      </c>
      <c r="P11" s="193" t="s">
        <v>971</v>
      </c>
    </row>
    <row r="12" spans="1:17" x14ac:dyDescent="0.35">
      <c r="A12" s="202"/>
      <c r="B12" s="202"/>
      <c r="C12" s="202"/>
      <c r="D12" s="203">
        <v>2020</v>
      </c>
      <c r="E12" s="203">
        <v>2021</v>
      </c>
      <c r="F12" s="203">
        <v>2022</v>
      </c>
      <c r="G12" s="203">
        <v>2023</v>
      </c>
      <c r="H12" s="203">
        <v>2024</v>
      </c>
      <c r="I12" s="203">
        <v>2025</v>
      </c>
      <c r="J12" s="203">
        <v>2026</v>
      </c>
      <c r="K12" s="203">
        <v>2027</v>
      </c>
      <c r="L12" s="203">
        <v>2028</v>
      </c>
      <c r="M12" s="203">
        <v>2029</v>
      </c>
      <c r="N12" s="203">
        <v>2030</v>
      </c>
      <c r="O12" s="194">
        <v>2025</v>
      </c>
      <c r="P12" s="194">
        <v>2030</v>
      </c>
    </row>
    <row r="13" spans="1:17" x14ac:dyDescent="0.35">
      <c r="A13" s="195" t="s">
        <v>972</v>
      </c>
      <c r="B13" s="195"/>
      <c r="C13" s="195"/>
      <c r="D13" s="986">
        <v>540.56299999999999</v>
      </c>
      <c r="E13" s="986">
        <v>0</v>
      </c>
      <c r="F13" s="986">
        <v>0</v>
      </c>
      <c r="G13" s="986">
        <v>0</v>
      </c>
      <c r="H13" s="986">
        <v>0</v>
      </c>
      <c r="I13" s="986">
        <v>0</v>
      </c>
      <c r="J13" s="986">
        <v>0</v>
      </c>
      <c r="K13" s="986">
        <v>0</v>
      </c>
      <c r="L13" s="986">
        <v>0</v>
      </c>
      <c r="M13" s="986">
        <v>0</v>
      </c>
      <c r="N13" s="986">
        <v>0</v>
      </c>
      <c r="O13" s="986">
        <v>0</v>
      </c>
      <c r="P13" s="986">
        <v>0</v>
      </c>
      <c r="Q13" t="s">
        <v>70</v>
      </c>
    </row>
    <row r="14" spans="1:17" x14ac:dyDescent="0.35">
      <c r="A14" s="197" t="s">
        <v>973</v>
      </c>
      <c r="B14" s="197"/>
      <c r="C14" s="197"/>
      <c r="D14" s="198"/>
      <c r="E14" s="195"/>
      <c r="F14" s="195"/>
      <c r="G14" s="195"/>
      <c r="H14" s="195"/>
      <c r="I14" s="195"/>
      <c r="J14" s="195"/>
      <c r="K14" s="195"/>
      <c r="L14" s="195"/>
      <c r="M14" s="195"/>
      <c r="N14" s="195"/>
      <c r="O14" s="195"/>
      <c r="P14" s="195"/>
      <c r="Q14" t="s">
        <v>974</v>
      </c>
    </row>
    <row r="15" spans="1:17" x14ac:dyDescent="0.35">
      <c r="A15" s="197"/>
      <c r="B15" s="197" t="s">
        <v>975</v>
      </c>
      <c r="C15" s="197"/>
      <c r="D15" s="198">
        <v>285.56</v>
      </c>
      <c r="E15" s="198">
        <v>5</v>
      </c>
      <c r="F15" s="198">
        <v>0</v>
      </c>
      <c r="G15" s="198">
        <v>0</v>
      </c>
      <c r="H15" s="198">
        <v>0</v>
      </c>
      <c r="I15" s="198">
        <v>0</v>
      </c>
      <c r="J15" s="198">
        <v>0</v>
      </c>
      <c r="K15" s="198">
        <v>0</v>
      </c>
      <c r="L15" s="198">
        <v>0</v>
      </c>
      <c r="M15" s="198">
        <v>0</v>
      </c>
      <c r="N15" s="198">
        <v>0</v>
      </c>
      <c r="O15" s="198">
        <v>5</v>
      </c>
      <c r="P15" s="198">
        <v>5</v>
      </c>
    </row>
    <row r="16" spans="1:17" x14ac:dyDescent="0.35">
      <c r="A16" s="195"/>
      <c r="B16" s="197" t="s">
        <v>976</v>
      </c>
      <c r="C16" s="195"/>
      <c r="D16" s="198">
        <v>67.209999999999994</v>
      </c>
      <c r="E16" s="198">
        <v>13.68</v>
      </c>
      <c r="F16" s="198">
        <v>0</v>
      </c>
      <c r="G16" s="198">
        <v>0</v>
      </c>
      <c r="H16" s="198">
        <v>0</v>
      </c>
      <c r="I16" s="198">
        <v>0</v>
      </c>
      <c r="J16" s="198">
        <v>0</v>
      </c>
      <c r="K16" s="198">
        <v>0</v>
      </c>
      <c r="L16" s="198">
        <v>0</v>
      </c>
      <c r="M16" s="198">
        <v>0</v>
      </c>
      <c r="N16" s="198">
        <v>0</v>
      </c>
      <c r="O16" s="198">
        <v>13.68</v>
      </c>
      <c r="P16" s="198">
        <v>13.68</v>
      </c>
    </row>
    <row r="17" spans="1:17" x14ac:dyDescent="0.35">
      <c r="A17" s="195"/>
      <c r="B17" s="197" t="s">
        <v>977</v>
      </c>
      <c r="C17" s="195"/>
      <c r="D17" s="198">
        <v>11.12</v>
      </c>
      <c r="E17" s="198">
        <v>47.8</v>
      </c>
      <c r="F17" s="198">
        <v>0</v>
      </c>
      <c r="G17" s="198">
        <v>0</v>
      </c>
      <c r="H17" s="198">
        <v>0</v>
      </c>
      <c r="I17" s="198">
        <v>0</v>
      </c>
      <c r="J17" s="198">
        <v>0</v>
      </c>
      <c r="K17" s="198">
        <v>0</v>
      </c>
      <c r="L17" s="198">
        <v>0</v>
      </c>
      <c r="M17" s="198">
        <v>0</v>
      </c>
      <c r="N17" s="198">
        <v>0</v>
      </c>
      <c r="O17" s="198">
        <v>47.8</v>
      </c>
      <c r="P17" s="198">
        <v>47.8</v>
      </c>
    </row>
    <row r="18" spans="1:17" x14ac:dyDescent="0.35">
      <c r="A18" s="195"/>
      <c r="B18" s="197" t="s">
        <v>978</v>
      </c>
      <c r="C18" s="195"/>
      <c r="D18" s="198">
        <v>6.2149999999999999</v>
      </c>
      <c r="E18" s="198">
        <v>5.0049999999999999</v>
      </c>
      <c r="F18" s="198">
        <v>0</v>
      </c>
      <c r="G18" s="198">
        <v>0</v>
      </c>
      <c r="H18" s="198">
        <v>0</v>
      </c>
      <c r="I18" s="198">
        <v>0</v>
      </c>
      <c r="J18" s="198">
        <v>0</v>
      </c>
      <c r="K18" s="198">
        <v>0</v>
      </c>
      <c r="L18" s="198">
        <v>0</v>
      </c>
      <c r="M18" s="198">
        <v>0</v>
      </c>
      <c r="N18" s="198">
        <v>0</v>
      </c>
      <c r="O18" s="198">
        <v>5.0049999999999999</v>
      </c>
      <c r="P18" s="198">
        <v>5.0049999999999999</v>
      </c>
    </row>
    <row r="19" spans="1:17" x14ac:dyDescent="0.35">
      <c r="A19" s="195"/>
      <c r="B19" s="197"/>
      <c r="C19" s="195"/>
      <c r="D19" s="198" t="s">
        <v>979</v>
      </c>
      <c r="E19" s="198" t="s">
        <v>979</v>
      </c>
      <c r="F19" s="198" t="s">
        <v>979</v>
      </c>
      <c r="G19" s="198" t="s">
        <v>979</v>
      </c>
      <c r="H19" s="198" t="s">
        <v>979</v>
      </c>
      <c r="I19" s="198" t="s">
        <v>979</v>
      </c>
      <c r="J19" s="198" t="s">
        <v>979</v>
      </c>
      <c r="K19" s="198" t="s">
        <v>979</v>
      </c>
      <c r="L19" s="198" t="s">
        <v>979</v>
      </c>
      <c r="M19" s="198" t="s">
        <v>979</v>
      </c>
      <c r="N19" s="198" t="s">
        <v>979</v>
      </c>
      <c r="O19" s="198" t="s">
        <v>979</v>
      </c>
      <c r="P19" s="198" t="s">
        <v>979</v>
      </c>
    </row>
    <row r="20" spans="1:17" x14ac:dyDescent="0.35">
      <c r="A20" s="195"/>
      <c r="B20" s="197"/>
      <c r="C20" s="195" t="s">
        <v>980</v>
      </c>
      <c r="D20" s="198">
        <v>370.10500000000002</v>
      </c>
      <c r="E20" s="198">
        <v>71.484999999999999</v>
      </c>
      <c r="F20" s="198">
        <v>0</v>
      </c>
      <c r="G20" s="198">
        <v>0</v>
      </c>
      <c r="H20" s="198">
        <v>0</v>
      </c>
      <c r="I20" s="198">
        <v>0</v>
      </c>
      <c r="J20" s="198">
        <v>0</v>
      </c>
      <c r="K20" s="198">
        <v>0</v>
      </c>
      <c r="L20" s="198">
        <v>0</v>
      </c>
      <c r="M20" s="198">
        <v>0</v>
      </c>
      <c r="N20" s="198">
        <v>0</v>
      </c>
      <c r="O20" s="198">
        <v>71.484999999999999</v>
      </c>
      <c r="P20" s="198">
        <v>71.484999999999999</v>
      </c>
    </row>
    <row r="21" spans="1:17" x14ac:dyDescent="0.35">
      <c r="A21" s="195"/>
      <c r="B21" s="197"/>
      <c r="C21" s="195"/>
      <c r="D21" s="198"/>
      <c r="E21" s="198"/>
      <c r="F21" s="198"/>
      <c r="G21" s="198"/>
      <c r="H21" s="198"/>
      <c r="I21" s="198"/>
      <c r="J21" s="198"/>
      <c r="K21" s="198"/>
      <c r="L21" s="198"/>
      <c r="M21" s="198"/>
      <c r="N21" s="198"/>
      <c r="O21" s="198"/>
      <c r="P21" s="198"/>
    </row>
    <row r="22" spans="1:17" ht="17" x14ac:dyDescent="0.35">
      <c r="A22" s="195" t="s">
        <v>981</v>
      </c>
      <c r="B22" s="197"/>
      <c r="C22" s="195"/>
      <c r="D22" s="198">
        <v>271.98399999999998</v>
      </c>
      <c r="E22" s="198">
        <v>9.327</v>
      </c>
      <c r="F22" s="198">
        <v>0</v>
      </c>
      <c r="G22" s="198">
        <v>0</v>
      </c>
      <c r="H22" s="198">
        <v>0</v>
      </c>
      <c r="I22" s="198">
        <v>0</v>
      </c>
      <c r="J22" s="198">
        <v>0</v>
      </c>
      <c r="K22" s="198">
        <v>0</v>
      </c>
      <c r="L22" s="198">
        <v>0</v>
      </c>
      <c r="M22" s="198">
        <v>0</v>
      </c>
      <c r="N22" s="198">
        <v>0</v>
      </c>
      <c r="O22" s="198">
        <v>9.327</v>
      </c>
      <c r="P22" s="198">
        <v>9.327</v>
      </c>
      <c r="Q22" t="s">
        <v>982</v>
      </c>
    </row>
    <row r="23" spans="1:17" x14ac:dyDescent="0.35">
      <c r="A23" s="195" t="s">
        <v>192</v>
      </c>
      <c r="B23" s="197"/>
      <c r="C23" s="197"/>
      <c r="D23" s="198">
        <v>149.97300000000001</v>
      </c>
      <c r="E23" s="198">
        <v>2.5999999999999999E-2</v>
      </c>
      <c r="F23" s="198">
        <v>0</v>
      </c>
      <c r="G23" s="198">
        <v>0</v>
      </c>
      <c r="H23" s="198">
        <v>0</v>
      </c>
      <c r="I23" s="198">
        <v>0</v>
      </c>
      <c r="J23" s="198">
        <v>0</v>
      </c>
      <c r="K23" s="198">
        <v>0</v>
      </c>
      <c r="L23" s="198">
        <v>0</v>
      </c>
      <c r="M23" s="198">
        <v>0</v>
      </c>
      <c r="N23" s="198">
        <v>0</v>
      </c>
      <c r="O23" s="198">
        <v>2.5999999999999999E-2</v>
      </c>
      <c r="P23" s="198">
        <v>2.5999999999999999E-2</v>
      </c>
      <c r="Q23" t="s">
        <v>71</v>
      </c>
    </row>
    <row r="24" spans="1:17" x14ac:dyDescent="0.35">
      <c r="A24" s="195" t="s">
        <v>983</v>
      </c>
      <c r="B24" s="197"/>
      <c r="C24" s="197"/>
      <c r="D24" s="198">
        <v>135.41999999999999</v>
      </c>
      <c r="E24" s="198">
        <v>72.537999999999997</v>
      </c>
      <c r="F24" s="198">
        <v>10.331</v>
      </c>
      <c r="G24" s="198">
        <v>4.2670000000000003</v>
      </c>
      <c r="H24" s="198">
        <v>1.347</v>
      </c>
      <c r="I24" s="198">
        <v>0.67400000000000004</v>
      </c>
      <c r="J24" s="198">
        <v>0</v>
      </c>
      <c r="K24" s="198">
        <v>0</v>
      </c>
      <c r="L24" s="198">
        <v>0</v>
      </c>
      <c r="M24" s="198">
        <v>0</v>
      </c>
      <c r="N24" s="198">
        <v>0</v>
      </c>
      <c r="O24" s="198">
        <v>89.156999999999996</v>
      </c>
      <c r="P24" s="198">
        <v>89.156999999999996</v>
      </c>
      <c r="Q24" t="s">
        <v>984</v>
      </c>
    </row>
    <row r="25" spans="1:17" x14ac:dyDescent="0.35">
      <c r="A25" s="195" t="s">
        <v>985</v>
      </c>
      <c r="B25" s="197"/>
      <c r="C25" s="197"/>
      <c r="D25" s="198"/>
      <c r="E25" s="198"/>
      <c r="F25" s="198"/>
      <c r="G25" s="198"/>
      <c r="H25" s="198"/>
      <c r="I25" s="198"/>
      <c r="J25" s="198"/>
      <c r="K25" s="198"/>
      <c r="L25" s="198"/>
      <c r="M25" s="198"/>
      <c r="N25" s="198"/>
      <c r="O25" s="198"/>
      <c r="P25" s="198"/>
    </row>
    <row r="26" spans="1:17" x14ac:dyDescent="0.35">
      <c r="A26" s="195" t="s">
        <v>986</v>
      </c>
      <c r="B26" s="197"/>
      <c r="C26" s="197"/>
      <c r="D26" s="198">
        <v>40.831000000000003</v>
      </c>
      <c r="E26" s="198">
        <v>79.391999999999996</v>
      </c>
      <c r="F26" s="198">
        <v>47.442999999999998</v>
      </c>
      <c r="G26" s="198">
        <v>4.7220000000000004</v>
      </c>
      <c r="H26" s="198">
        <v>0</v>
      </c>
      <c r="I26" s="198">
        <v>0</v>
      </c>
      <c r="J26" s="198">
        <v>0</v>
      </c>
      <c r="K26" s="198">
        <v>0</v>
      </c>
      <c r="L26" s="198">
        <v>0</v>
      </c>
      <c r="M26" s="198">
        <v>0</v>
      </c>
      <c r="N26" s="198">
        <v>0</v>
      </c>
      <c r="O26" s="198">
        <v>131.55699999999999</v>
      </c>
      <c r="P26" s="198">
        <v>131.55699999999999</v>
      </c>
      <c r="Q26" t="s">
        <v>176</v>
      </c>
    </row>
    <row r="27" spans="1:17" x14ac:dyDescent="0.35">
      <c r="A27" s="195" t="s">
        <v>987</v>
      </c>
      <c r="B27" s="197"/>
      <c r="C27" s="197"/>
      <c r="D27" s="198">
        <v>58.054000000000002</v>
      </c>
      <c r="E27" s="198">
        <v>14.755000000000001</v>
      </c>
      <c r="F27" s="198">
        <v>3.4750000000000001</v>
      </c>
      <c r="G27" s="198">
        <v>3.9249999999999998</v>
      </c>
      <c r="H27" s="198">
        <v>4.375</v>
      </c>
      <c r="I27" s="198">
        <v>4.375</v>
      </c>
      <c r="J27" s="198">
        <v>4.5</v>
      </c>
      <c r="K27" s="198">
        <v>4.5</v>
      </c>
      <c r="L27" s="198">
        <v>4.5</v>
      </c>
      <c r="M27" s="198">
        <v>4.5</v>
      </c>
      <c r="N27" s="198">
        <v>4.5</v>
      </c>
      <c r="O27" s="198">
        <v>30.905000000000001</v>
      </c>
      <c r="P27" s="198">
        <v>53.405000000000001</v>
      </c>
    </row>
    <row r="28" spans="1:17" x14ac:dyDescent="0.35">
      <c r="A28" s="195" t="s">
        <v>988</v>
      </c>
      <c r="B28" s="197"/>
      <c r="C28" s="197"/>
      <c r="D28" s="198">
        <v>47.372999999999998</v>
      </c>
      <c r="E28" s="198">
        <v>-46.081000000000003</v>
      </c>
      <c r="F28" s="198">
        <v>0</v>
      </c>
      <c r="G28" s="198">
        <v>0</v>
      </c>
      <c r="H28" s="198">
        <v>0</v>
      </c>
      <c r="I28" s="198">
        <v>0</v>
      </c>
      <c r="J28" s="198">
        <v>0</v>
      </c>
      <c r="K28" s="198">
        <v>0</v>
      </c>
      <c r="L28" s="198">
        <v>0</v>
      </c>
      <c r="M28" s="198">
        <v>0</v>
      </c>
      <c r="N28" s="198">
        <v>0</v>
      </c>
      <c r="O28" s="198">
        <v>-46.081000000000003</v>
      </c>
      <c r="P28" s="198">
        <v>-46.081000000000003</v>
      </c>
      <c r="Q28" t="s">
        <v>76</v>
      </c>
    </row>
    <row r="29" spans="1:17" x14ac:dyDescent="0.35">
      <c r="A29" s="195" t="s">
        <v>989</v>
      </c>
      <c r="B29" s="197"/>
      <c r="C29" s="197"/>
      <c r="D29" s="198">
        <v>24.475000000000001</v>
      </c>
      <c r="E29" s="198">
        <v>32.784999999999997</v>
      </c>
      <c r="F29" s="198">
        <v>8.4600000000000009</v>
      </c>
      <c r="G29" s="198">
        <v>0</v>
      </c>
      <c r="H29" s="198">
        <v>0</v>
      </c>
      <c r="I29" s="198">
        <v>0</v>
      </c>
      <c r="J29" s="198">
        <v>0</v>
      </c>
      <c r="K29" s="198">
        <v>0</v>
      </c>
      <c r="L29" s="198">
        <v>0</v>
      </c>
      <c r="M29" s="198">
        <v>0</v>
      </c>
      <c r="N29" s="198">
        <v>0</v>
      </c>
      <c r="O29" s="198">
        <v>41.244999999999997</v>
      </c>
      <c r="P29" s="198">
        <v>41.244999999999997</v>
      </c>
      <c r="Q29" t="s">
        <v>990</v>
      </c>
    </row>
    <row r="30" spans="1:17" x14ac:dyDescent="0.35">
      <c r="A30" s="195" t="s">
        <v>991</v>
      </c>
      <c r="B30" s="197"/>
      <c r="C30" s="197"/>
      <c r="D30" s="198">
        <v>27.5</v>
      </c>
      <c r="E30" s="198">
        <v>0.86</v>
      </c>
      <c r="F30" s="198">
        <v>-0.22</v>
      </c>
      <c r="G30" s="198">
        <v>-0.49</v>
      </c>
      <c r="H30" s="198">
        <v>-0.56000000000000005</v>
      </c>
      <c r="I30" s="198">
        <v>-0.98</v>
      </c>
      <c r="J30" s="198">
        <v>-0.76</v>
      </c>
      <c r="K30" s="198">
        <v>-0.74</v>
      </c>
      <c r="L30" s="198">
        <v>-0.72</v>
      </c>
      <c r="M30" s="198">
        <v>-0.7</v>
      </c>
      <c r="N30" s="198">
        <v>-0.69</v>
      </c>
      <c r="O30" s="198">
        <v>-1.39</v>
      </c>
      <c r="P30" s="198">
        <v>-5</v>
      </c>
      <c r="Q30" t="s">
        <v>73</v>
      </c>
    </row>
    <row r="31" spans="1:17" x14ac:dyDescent="0.35">
      <c r="A31" s="195" t="s">
        <v>193</v>
      </c>
      <c r="B31" s="197"/>
      <c r="C31" s="197"/>
      <c r="D31" s="198">
        <v>11.407999999999999</v>
      </c>
      <c r="E31" s="198">
        <v>10.763</v>
      </c>
      <c r="F31" s="198">
        <v>5.7809999999999997</v>
      </c>
      <c r="G31" s="198">
        <v>0.92300000000000004</v>
      </c>
      <c r="H31" s="198">
        <v>0.52300000000000002</v>
      </c>
      <c r="I31" s="198">
        <v>0.43099999999999999</v>
      </c>
      <c r="J31" s="198">
        <v>0.246</v>
      </c>
      <c r="K31" s="198">
        <v>0</v>
      </c>
      <c r="L31" s="198">
        <v>0</v>
      </c>
      <c r="M31" s="198">
        <v>0</v>
      </c>
      <c r="N31" s="198">
        <v>0</v>
      </c>
      <c r="O31" s="198">
        <v>18.420999999999999</v>
      </c>
      <c r="P31" s="198">
        <v>18.667000000000002</v>
      </c>
      <c r="Q31" t="s">
        <v>992</v>
      </c>
    </row>
    <row r="32" spans="1:17" x14ac:dyDescent="0.35">
      <c r="A32" s="195" t="s">
        <v>993</v>
      </c>
      <c r="B32" s="197"/>
      <c r="C32" s="197"/>
      <c r="D32" s="198">
        <v>99.444000000000003</v>
      </c>
      <c r="E32" s="198">
        <v>61.634</v>
      </c>
      <c r="F32" s="198">
        <v>23.815000000000001</v>
      </c>
      <c r="G32" s="198">
        <v>7.35</v>
      </c>
      <c r="H32" s="198">
        <v>4.4029999999999996</v>
      </c>
      <c r="I32" s="198">
        <v>1.663</v>
      </c>
      <c r="J32" s="198">
        <v>0.74399999999999999</v>
      </c>
      <c r="K32" s="198">
        <v>0.65500000000000003</v>
      </c>
      <c r="L32" s="198">
        <v>0.68799999999999994</v>
      </c>
      <c r="M32" s="198">
        <v>10.603</v>
      </c>
      <c r="N32" s="198">
        <v>-35.328000000000003</v>
      </c>
      <c r="O32" s="198">
        <v>98.864999999999995</v>
      </c>
      <c r="P32" s="198">
        <v>76.227000000000004</v>
      </c>
      <c r="Q32" t="s">
        <v>994</v>
      </c>
    </row>
    <row r="33" spans="1:16" x14ac:dyDescent="0.35">
      <c r="A33" s="195"/>
      <c r="B33" s="197"/>
      <c r="C33" s="197"/>
      <c r="D33" s="198"/>
      <c r="E33" s="198"/>
      <c r="F33" s="198"/>
      <c r="G33" s="198"/>
      <c r="H33" s="198"/>
      <c r="I33" s="198"/>
      <c r="J33" s="198"/>
      <c r="K33" s="198"/>
      <c r="L33" s="198"/>
      <c r="M33" s="198"/>
      <c r="N33" s="198"/>
      <c r="O33" s="198"/>
      <c r="P33" s="198"/>
    </row>
    <row r="34" spans="1:16" x14ac:dyDescent="0.35">
      <c r="A34" s="199"/>
      <c r="B34" s="199"/>
      <c r="C34" s="199" t="s">
        <v>437</v>
      </c>
      <c r="D34" s="200">
        <v>1777.13</v>
      </c>
      <c r="E34" s="200">
        <v>307.48399999999998</v>
      </c>
      <c r="F34" s="200">
        <v>99.084999999999994</v>
      </c>
      <c r="G34" s="200">
        <v>20.696999999999999</v>
      </c>
      <c r="H34" s="200">
        <v>10.087999999999999</v>
      </c>
      <c r="I34" s="200">
        <v>6.1630000000000003</v>
      </c>
      <c r="J34" s="200">
        <v>4.7300000000000004</v>
      </c>
      <c r="K34" s="200">
        <v>4.415</v>
      </c>
      <c r="L34" s="200">
        <v>4.468</v>
      </c>
      <c r="M34" s="200">
        <v>14.403</v>
      </c>
      <c r="N34" s="200">
        <v>-31.518000000000001</v>
      </c>
      <c r="O34" s="200">
        <v>443.517</v>
      </c>
      <c r="P34" s="200">
        <v>440.01499999999999</v>
      </c>
    </row>
    <row r="35" spans="1:16" x14ac:dyDescent="0.35">
      <c r="A35" s="197"/>
      <c r="B35" s="197"/>
      <c r="C35" s="197"/>
      <c r="D35" s="219"/>
      <c r="E35" s="215"/>
      <c r="F35" s="195"/>
      <c r="G35" s="195"/>
      <c r="H35" s="195"/>
      <c r="I35" s="195"/>
      <c r="J35" s="195"/>
      <c r="K35" s="195"/>
      <c r="L35" s="195"/>
      <c r="M35" s="195"/>
      <c r="N35" s="195"/>
      <c r="O35" s="195"/>
      <c r="P35" s="195"/>
    </row>
    <row r="36" spans="1:16" x14ac:dyDescent="0.35">
      <c r="A36" s="205" t="s">
        <v>995</v>
      </c>
      <c r="B36" s="205"/>
      <c r="C36" s="205"/>
      <c r="D36" s="206"/>
      <c r="E36" s="205"/>
      <c r="F36" s="205"/>
      <c r="G36" s="205"/>
      <c r="H36" s="205"/>
      <c r="I36" s="205"/>
      <c r="J36" s="205"/>
      <c r="K36" s="205"/>
      <c r="L36" s="205"/>
      <c r="M36" s="205"/>
      <c r="N36" s="205"/>
      <c r="O36" s="205"/>
      <c r="P36" s="205"/>
    </row>
    <row r="37" spans="1:16" x14ac:dyDescent="0.35">
      <c r="A37" s="205"/>
      <c r="B37" s="205"/>
      <c r="C37" s="205"/>
      <c r="D37" s="206"/>
      <c r="E37" s="205"/>
      <c r="F37" s="205"/>
      <c r="G37" s="205"/>
      <c r="H37" s="205"/>
      <c r="I37" s="205"/>
      <c r="J37" s="205"/>
      <c r="K37" s="205"/>
      <c r="L37" s="205"/>
      <c r="M37" s="205"/>
      <c r="N37" s="205"/>
      <c r="O37" s="205"/>
      <c r="P37" s="205"/>
    </row>
    <row r="38" spans="1:16" x14ac:dyDescent="0.35">
      <c r="A38" s="1177" t="s">
        <v>996</v>
      </c>
      <c r="B38" s="1177"/>
      <c r="C38" s="1177"/>
      <c r="D38" s="1177"/>
      <c r="E38" s="1177"/>
      <c r="F38" s="1177"/>
      <c r="G38" s="1177"/>
      <c r="H38" s="1177"/>
      <c r="I38" s="1177"/>
      <c r="J38" s="1177"/>
      <c r="K38" s="1177"/>
      <c r="L38" s="1177"/>
      <c r="M38" s="1177"/>
      <c r="N38" s="1177"/>
      <c r="O38" s="1177"/>
      <c r="P38" s="1177"/>
    </row>
    <row r="39" spans="1:16" x14ac:dyDescent="0.35">
      <c r="A39" s="1177"/>
      <c r="B39" s="1177"/>
      <c r="C39" s="1177"/>
      <c r="D39" s="1177"/>
      <c r="E39" s="1177"/>
      <c r="F39" s="1177"/>
      <c r="G39" s="1177"/>
      <c r="H39" s="1177"/>
      <c r="I39" s="1177"/>
      <c r="J39" s="1177"/>
      <c r="K39" s="1177"/>
      <c r="L39" s="1177"/>
      <c r="M39" s="1177"/>
      <c r="N39" s="1177"/>
      <c r="O39" s="1177"/>
      <c r="P39" s="1177"/>
    </row>
    <row r="40" spans="1:16" x14ac:dyDescent="0.35">
      <c r="A40" s="1177"/>
      <c r="B40" s="1177"/>
      <c r="C40" s="1177"/>
      <c r="D40" s="1177"/>
      <c r="E40" s="1177"/>
      <c r="F40" s="1177"/>
      <c r="G40" s="1177"/>
      <c r="H40" s="1177"/>
      <c r="I40" s="1177"/>
      <c r="J40" s="1177"/>
      <c r="K40" s="1177"/>
      <c r="L40" s="1177"/>
      <c r="M40" s="1177"/>
      <c r="N40" s="1177"/>
      <c r="O40" s="1177"/>
      <c r="P40" s="1177"/>
    </row>
    <row r="41" spans="1:16" x14ac:dyDescent="0.35">
      <c r="A41" s="1177"/>
      <c r="B41" s="1177"/>
      <c r="C41" s="1177"/>
      <c r="D41" s="1177"/>
      <c r="E41" s="1177"/>
      <c r="F41" s="1177"/>
      <c r="G41" s="1177"/>
      <c r="H41" s="1177"/>
      <c r="I41" s="1177"/>
      <c r="J41" s="1177"/>
      <c r="K41" s="1177"/>
      <c r="L41" s="1177"/>
      <c r="M41" s="1177"/>
      <c r="N41" s="1177"/>
      <c r="O41" s="1177"/>
      <c r="P41" s="1177"/>
    </row>
    <row r="42" spans="1:16" x14ac:dyDescent="0.35">
      <c r="A42" s="1177"/>
      <c r="B42" s="1177"/>
      <c r="C42" s="1177"/>
      <c r="D42" s="1177"/>
      <c r="E42" s="1177"/>
      <c r="F42" s="1177"/>
      <c r="G42" s="1177"/>
      <c r="H42" s="1177"/>
      <c r="I42" s="1177"/>
      <c r="J42" s="1177"/>
      <c r="K42" s="1177"/>
      <c r="L42" s="1177"/>
      <c r="M42" s="1177"/>
      <c r="N42" s="1177"/>
      <c r="O42" s="1177"/>
      <c r="P42" s="1177"/>
    </row>
    <row r="43" spans="1:16" x14ac:dyDescent="0.35">
      <c r="A43" s="212"/>
      <c r="B43" s="212"/>
      <c r="C43" s="212"/>
      <c r="D43" s="212"/>
      <c r="E43" s="212"/>
      <c r="F43" s="212"/>
      <c r="G43" s="212"/>
      <c r="H43" s="212"/>
      <c r="I43" s="212"/>
      <c r="J43" s="212"/>
      <c r="K43" s="212"/>
      <c r="L43" s="212"/>
      <c r="M43" s="212"/>
      <c r="N43" s="212"/>
      <c r="O43" s="212"/>
      <c r="P43" s="212"/>
    </row>
    <row r="44" spans="1:16" x14ac:dyDescent="0.35">
      <c r="A44" s="1178" t="s">
        <v>997</v>
      </c>
      <c r="B44" s="1178"/>
      <c r="C44" s="1178"/>
      <c r="D44" s="1178"/>
      <c r="E44" s="1178"/>
      <c r="F44" s="1178"/>
      <c r="G44" s="1178"/>
      <c r="H44" s="1178"/>
      <c r="I44" s="1178"/>
      <c r="J44" s="1178"/>
      <c r="K44" s="1178"/>
      <c r="L44" s="1178"/>
      <c r="M44" s="1178"/>
      <c r="N44" s="1178"/>
      <c r="O44" s="1178"/>
      <c r="P44" s="1178"/>
    </row>
    <row r="45" spans="1:16" x14ac:dyDescent="0.35">
      <c r="A45" s="1178"/>
      <c r="B45" s="1178"/>
      <c r="C45" s="1178"/>
      <c r="D45" s="1178"/>
      <c r="E45" s="1178"/>
      <c r="F45" s="1178"/>
      <c r="G45" s="1178"/>
      <c r="H45" s="1178"/>
      <c r="I45" s="1178"/>
      <c r="J45" s="1178"/>
      <c r="K45" s="1178"/>
      <c r="L45" s="1178"/>
      <c r="M45" s="1178"/>
      <c r="N45" s="1178"/>
      <c r="O45" s="1178"/>
      <c r="P45" s="1178"/>
    </row>
    <row r="46" spans="1:16" x14ac:dyDescent="0.35">
      <c r="A46" s="1178"/>
      <c r="B46" s="1178"/>
      <c r="C46" s="1178"/>
      <c r="D46" s="1178"/>
      <c r="E46" s="1178"/>
      <c r="F46" s="1178"/>
      <c r="G46" s="1178"/>
      <c r="H46" s="1178"/>
      <c r="I46" s="1178"/>
      <c r="J46" s="1178"/>
      <c r="K46" s="1178"/>
      <c r="L46" s="1178"/>
      <c r="M46" s="1178"/>
      <c r="N46" s="1178"/>
      <c r="O46" s="1178"/>
      <c r="P46" s="1178"/>
    </row>
    <row r="47" spans="1:16" x14ac:dyDescent="0.35">
      <c r="A47" s="205"/>
      <c r="B47" s="205"/>
      <c r="C47" s="205"/>
      <c r="D47" s="206"/>
      <c r="E47" s="205"/>
      <c r="F47" s="205"/>
      <c r="G47" s="205"/>
      <c r="H47" s="205"/>
      <c r="I47" s="205"/>
      <c r="J47" s="205"/>
      <c r="K47" s="205"/>
      <c r="L47" s="205"/>
      <c r="M47" s="205"/>
      <c r="N47" s="205"/>
      <c r="O47" s="205"/>
      <c r="P47" s="205"/>
    </row>
    <row r="48" spans="1:16" x14ac:dyDescent="0.35">
      <c r="A48" s="1175" t="s">
        <v>998</v>
      </c>
      <c r="B48" s="1176"/>
      <c r="C48" s="1176"/>
      <c r="D48" s="1176"/>
      <c r="E48" s="1176"/>
      <c r="F48" s="1176"/>
      <c r="G48" s="1176"/>
      <c r="H48" s="1176"/>
      <c r="I48" s="1176"/>
      <c r="J48" s="1176"/>
      <c r="K48" s="1176"/>
      <c r="L48" s="1176"/>
      <c r="M48" s="1176"/>
      <c r="N48" s="1176"/>
      <c r="O48" s="1176"/>
      <c r="P48" s="1176"/>
    </row>
    <row r="49" spans="1:16" x14ac:dyDescent="0.35">
      <c r="A49" s="1176"/>
      <c r="B49" s="1176"/>
      <c r="C49" s="1176"/>
      <c r="D49" s="1176"/>
      <c r="E49" s="1176"/>
      <c r="F49" s="1176"/>
      <c r="G49" s="1176"/>
      <c r="H49" s="1176"/>
      <c r="I49" s="1176"/>
      <c r="J49" s="1176"/>
      <c r="K49" s="1176"/>
      <c r="L49" s="1176"/>
      <c r="M49" s="1176"/>
      <c r="N49" s="1176"/>
      <c r="O49" s="1176"/>
      <c r="P49" s="1176"/>
    </row>
    <row r="50" spans="1:16" x14ac:dyDescent="0.35">
      <c r="A50" s="205"/>
      <c r="B50" s="205"/>
      <c r="C50" s="205"/>
      <c r="D50" s="206"/>
      <c r="E50" s="205"/>
      <c r="F50" s="205"/>
      <c r="G50" s="205"/>
      <c r="H50" s="205"/>
      <c r="I50" s="205"/>
      <c r="J50" s="205"/>
      <c r="K50" s="205"/>
      <c r="L50" s="205"/>
      <c r="M50" s="205"/>
      <c r="N50" s="205"/>
      <c r="O50" s="205"/>
      <c r="P50" s="205"/>
    </row>
    <row r="51" spans="1:16" x14ac:dyDescent="0.35">
      <c r="A51" s="1171" t="s">
        <v>999</v>
      </c>
      <c r="B51" s="1171"/>
      <c r="C51" s="1171"/>
      <c r="D51" s="1171"/>
      <c r="E51" s="1171"/>
      <c r="F51" s="1171"/>
      <c r="G51" s="1171"/>
      <c r="H51" s="1171"/>
      <c r="I51" s="1171"/>
      <c r="J51" s="1171"/>
      <c r="K51" s="1171"/>
      <c r="L51" s="1171"/>
      <c r="M51" s="1171"/>
      <c r="N51" s="1171"/>
      <c r="O51" s="1171"/>
      <c r="P51" s="1171"/>
    </row>
    <row r="52" spans="1:16" x14ac:dyDescent="0.35">
      <c r="A52" s="1171"/>
      <c r="B52" s="1171"/>
      <c r="C52" s="1171"/>
      <c r="D52" s="1171"/>
      <c r="E52" s="1171"/>
      <c r="F52" s="1171"/>
      <c r="G52" s="1171"/>
      <c r="H52" s="1171"/>
      <c r="I52" s="1171"/>
      <c r="J52" s="1171"/>
      <c r="K52" s="1171"/>
      <c r="L52" s="1171"/>
      <c r="M52" s="1171"/>
      <c r="N52" s="1171"/>
      <c r="O52" s="1171"/>
      <c r="P52" s="1171"/>
    </row>
    <row r="53" spans="1:16" x14ac:dyDescent="0.35">
      <c r="A53" s="1171"/>
      <c r="B53" s="1171"/>
      <c r="C53" s="1171"/>
      <c r="D53" s="1171"/>
      <c r="E53" s="1171"/>
      <c r="F53" s="1171"/>
      <c r="G53" s="1171"/>
      <c r="H53" s="1171"/>
      <c r="I53" s="1171"/>
      <c r="J53" s="1171"/>
      <c r="K53" s="1171"/>
      <c r="L53" s="1171"/>
      <c r="M53" s="1171"/>
      <c r="N53" s="1171"/>
      <c r="O53" s="1171"/>
      <c r="P53" s="1171"/>
    </row>
    <row r="54" spans="1:16" x14ac:dyDescent="0.35">
      <c r="A54" s="207"/>
      <c r="B54" s="207"/>
      <c r="C54" s="207"/>
      <c r="D54" s="208"/>
      <c r="E54" s="207"/>
      <c r="F54" s="207"/>
      <c r="G54" s="207"/>
      <c r="H54" s="207"/>
      <c r="I54" s="207"/>
      <c r="J54" s="207"/>
      <c r="K54" s="207"/>
      <c r="L54" s="207"/>
      <c r="M54" s="207"/>
      <c r="N54" s="207"/>
      <c r="O54" s="207"/>
      <c r="P54" s="207"/>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zoomScale="83" workbookViewId="0">
      <selection activeCell="B5" sqref="B5"/>
    </sheetView>
  </sheetViews>
  <sheetFormatPr defaultColWidth="8.81640625" defaultRowHeight="14" x14ac:dyDescent="0.3"/>
  <cols>
    <col min="1" max="1" width="77.81640625" style="34" bestFit="1" customWidth="1"/>
    <col min="2" max="2" width="21" style="34" customWidth="1"/>
    <col min="3" max="4" width="8.81640625" style="34"/>
    <col min="5" max="5" width="37.54296875" style="34" customWidth="1"/>
    <col min="6" max="6" width="16" style="34" customWidth="1"/>
    <col min="7" max="16384" width="8.81640625" style="34"/>
  </cols>
  <sheetData>
    <row r="1" spans="1:6" x14ac:dyDescent="0.3">
      <c r="A1" s="34" t="s">
        <v>1000</v>
      </c>
    </row>
    <row r="2" spans="1:6" ht="20" x14ac:dyDescent="0.4">
      <c r="A2" s="99" t="s">
        <v>1001</v>
      </c>
      <c r="B2" s="99" t="s">
        <v>1002</v>
      </c>
      <c r="C2" s="99" t="s">
        <v>1003</v>
      </c>
      <c r="D2" s="99" t="s">
        <v>1004</v>
      </c>
    </row>
    <row r="3" spans="1:6" x14ac:dyDescent="0.3">
      <c r="A3" s="101" t="s">
        <v>1005</v>
      </c>
      <c r="B3" s="100">
        <f>SUM(B4:B7)</f>
        <v>325</v>
      </c>
      <c r="E3" s="1179" t="s">
        <v>1006</v>
      </c>
      <c r="F3" s="1179"/>
    </row>
    <row r="4" spans="1:6" x14ac:dyDescent="0.3">
      <c r="A4" s="93" t="s">
        <v>1007</v>
      </c>
      <c r="B4" s="100">
        <v>284</v>
      </c>
      <c r="E4" s="52" t="s">
        <v>71</v>
      </c>
      <c r="F4" s="52" t="s">
        <v>1008</v>
      </c>
    </row>
    <row r="5" spans="1:6" x14ac:dyDescent="0.3">
      <c r="A5" s="93" t="s">
        <v>569</v>
      </c>
      <c r="B5" s="100">
        <v>20</v>
      </c>
      <c r="E5" s="34" t="s">
        <v>193</v>
      </c>
      <c r="F5" s="34">
        <f>SUM(B11:B16)</f>
        <v>82</v>
      </c>
    </row>
    <row r="6" spans="1:6" x14ac:dyDescent="0.3">
      <c r="A6" s="93" t="s">
        <v>576</v>
      </c>
      <c r="B6" s="100">
        <v>15</v>
      </c>
      <c r="E6" s="34" t="s">
        <v>69</v>
      </c>
      <c r="F6" s="34">
        <f>B23</f>
        <v>3</v>
      </c>
    </row>
    <row r="7" spans="1:6" x14ac:dyDescent="0.3">
      <c r="A7" s="93" t="s">
        <v>577</v>
      </c>
      <c r="B7" s="100">
        <v>6</v>
      </c>
      <c r="E7" s="34" t="s">
        <v>475</v>
      </c>
      <c r="F7" s="34">
        <f>B27-B28</f>
        <v>29</v>
      </c>
    </row>
    <row r="8" spans="1:6" x14ac:dyDescent="0.3">
      <c r="A8" s="52" t="s">
        <v>1009</v>
      </c>
      <c r="B8" s="100">
        <v>121</v>
      </c>
      <c r="E8" s="34" t="s">
        <v>492</v>
      </c>
      <c r="F8" s="34">
        <f>B42</f>
        <v>2</v>
      </c>
    </row>
    <row r="9" spans="1:6" x14ac:dyDescent="0.3">
      <c r="A9" s="102" t="s">
        <v>1010</v>
      </c>
      <c r="B9" s="100">
        <v>166</v>
      </c>
      <c r="E9" s="34" t="s">
        <v>1011</v>
      </c>
      <c r="F9" s="34">
        <f>B18+B20+B21</f>
        <v>34</v>
      </c>
    </row>
    <row r="10" spans="1:6" x14ac:dyDescent="0.3">
      <c r="A10" s="94" t="s">
        <v>1012</v>
      </c>
      <c r="B10" s="100">
        <v>82</v>
      </c>
      <c r="E10" s="52" t="s">
        <v>1013</v>
      </c>
      <c r="F10" s="52" t="s">
        <v>1014</v>
      </c>
    </row>
    <row r="11" spans="1:6" x14ac:dyDescent="0.3">
      <c r="A11" s="93" t="s">
        <v>1015</v>
      </c>
      <c r="B11" s="100">
        <v>54</v>
      </c>
      <c r="E11" s="34" t="s">
        <v>441</v>
      </c>
      <c r="F11" s="34">
        <f>B4</f>
        <v>284</v>
      </c>
    </row>
    <row r="12" spans="1:6" x14ac:dyDescent="0.3">
      <c r="A12" s="93" t="s">
        <v>1016</v>
      </c>
      <c r="B12" s="100">
        <v>20</v>
      </c>
      <c r="E12" s="34" t="s">
        <v>1017</v>
      </c>
      <c r="F12" s="34">
        <f>B5</f>
        <v>20</v>
      </c>
    </row>
    <row r="13" spans="1:6" x14ac:dyDescent="0.3">
      <c r="A13" s="93" t="s">
        <v>1018</v>
      </c>
      <c r="B13" s="100">
        <v>4</v>
      </c>
      <c r="E13" s="34" t="s">
        <v>576</v>
      </c>
      <c r="F13" s="34">
        <f>B6</f>
        <v>15</v>
      </c>
    </row>
    <row r="14" spans="1:6" ht="28" x14ac:dyDescent="0.3">
      <c r="A14" s="93" t="s">
        <v>1019</v>
      </c>
      <c r="B14" s="100">
        <v>2</v>
      </c>
      <c r="E14" s="39" t="s">
        <v>577</v>
      </c>
      <c r="F14" s="34">
        <f>B7</f>
        <v>6</v>
      </c>
    </row>
    <row r="15" spans="1:6" ht="28" x14ac:dyDescent="0.3">
      <c r="A15" s="93" t="s">
        <v>1020</v>
      </c>
      <c r="B15" s="100">
        <v>1</v>
      </c>
      <c r="E15" s="39" t="s">
        <v>1021</v>
      </c>
      <c r="F15" s="34">
        <f>B28</f>
        <v>15</v>
      </c>
    </row>
    <row r="16" spans="1:6" x14ac:dyDescent="0.3">
      <c r="A16" s="93" t="s">
        <v>1022</v>
      </c>
      <c r="B16" s="100">
        <v>1</v>
      </c>
      <c r="E16" s="34" t="s">
        <v>1023</v>
      </c>
      <c r="F16" s="34">
        <f>B37</f>
        <v>12</v>
      </c>
    </row>
    <row r="17" spans="1:6" x14ac:dyDescent="0.3">
      <c r="A17" s="52" t="s">
        <v>1024</v>
      </c>
      <c r="B17" s="100">
        <v>72</v>
      </c>
      <c r="E17" s="34" t="s">
        <v>1025</v>
      </c>
      <c r="F17" s="34">
        <f>B38</f>
        <v>10</v>
      </c>
    </row>
    <row r="18" spans="1:6" x14ac:dyDescent="0.3">
      <c r="A18" s="93" t="s">
        <v>1026</v>
      </c>
      <c r="B18" s="100">
        <v>22</v>
      </c>
      <c r="C18" s="34" t="s">
        <v>1027</v>
      </c>
    </row>
    <row r="19" spans="1:6" x14ac:dyDescent="0.3">
      <c r="A19" s="93" t="s">
        <v>1028</v>
      </c>
      <c r="B19" s="100">
        <v>20</v>
      </c>
      <c r="C19" s="34" t="s">
        <v>152</v>
      </c>
    </row>
    <row r="20" spans="1:6" x14ac:dyDescent="0.3">
      <c r="A20" s="93" t="s">
        <v>1029</v>
      </c>
      <c r="B20" s="100">
        <v>8</v>
      </c>
      <c r="C20" s="34" t="s">
        <v>1027</v>
      </c>
    </row>
    <row r="21" spans="1:6" x14ac:dyDescent="0.3">
      <c r="A21" s="93" t="s">
        <v>1030</v>
      </c>
      <c r="B21" s="100">
        <v>4</v>
      </c>
      <c r="C21" s="34" t="s">
        <v>71</v>
      </c>
    </row>
    <row r="22" spans="1:6" x14ac:dyDescent="0.3">
      <c r="A22" s="93" t="s">
        <v>1031</v>
      </c>
      <c r="B22" s="100">
        <v>4</v>
      </c>
      <c r="C22" s="34" t="s">
        <v>152</v>
      </c>
    </row>
    <row r="23" spans="1:6" x14ac:dyDescent="0.3">
      <c r="A23" s="93" t="s">
        <v>1032</v>
      </c>
      <c r="B23" s="100">
        <v>3</v>
      </c>
      <c r="C23" s="34" t="s">
        <v>1033</v>
      </c>
    </row>
    <row r="24" spans="1:6" x14ac:dyDescent="0.3">
      <c r="A24" s="93" t="s">
        <v>1034</v>
      </c>
      <c r="B24" s="100">
        <v>3</v>
      </c>
      <c r="C24" s="34" t="s">
        <v>1035</v>
      </c>
    </row>
    <row r="25" spans="1:6" x14ac:dyDescent="0.3">
      <c r="A25" s="103" t="s">
        <v>1036</v>
      </c>
      <c r="B25" s="100">
        <v>3</v>
      </c>
      <c r="C25" s="34" t="s">
        <v>76</v>
      </c>
    </row>
    <row r="26" spans="1:6" x14ac:dyDescent="0.3">
      <c r="A26" s="93" t="s">
        <v>1037</v>
      </c>
      <c r="B26" s="100">
        <v>4</v>
      </c>
      <c r="C26" s="34" t="s">
        <v>1038</v>
      </c>
    </row>
    <row r="27" spans="1:6" x14ac:dyDescent="0.3">
      <c r="A27" s="52" t="s">
        <v>475</v>
      </c>
      <c r="B27" s="100">
        <v>44</v>
      </c>
    </row>
    <row r="28" spans="1:6" x14ac:dyDescent="0.3">
      <c r="A28" s="118" t="s">
        <v>1021</v>
      </c>
      <c r="B28" s="119">
        <v>15</v>
      </c>
    </row>
    <row r="29" spans="1:6" x14ac:dyDescent="0.3">
      <c r="A29" s="93" t="s">
        <v>1039</v>
      </c>
      <c r="B29" s="100">
        <v>14</v>
      </c>
    </row>
    <row r="30" spans="1:6" x14ac:dyDescent="0.3">
      <c r="A30" s="93" t="s">
        <v>1040</v>
      </c>
      <c r="B30" s="100">
        <v>10</v>
      </c>
    </row>
    <row r="31" spans="1:6" x14ac:dyDescent="0.3">
      <c r="A31" s="93" t="s">
        <v>1041</v>
      </c>
      <c r="B31" s="100">
        <v>2</v>
      </c>
    </row>
    <row r="32" spans="1:6" x14ac:dyDescent="0.3">
      <c r="A32" s="93" t="s">
        <v>1042</v>
      </c>
      <c r="B32" s="100">
        <v>2</v>
      </c>
    </row>
    <row r="33" spans="1:6" x14ac:dyDescent="0.3">
      <c r="A33" s="93" t="s">
        <v>1043</v>
      </c>
      <c r="B33" s="100">
        <v>1</v>
      </c>
    </row>
    <row r="34" spans="1:6" x14ac:dyDescent="0.3">
      <c r="A34" s="52" t="s">
        <v>1044</v>
      </c>
      <c r="B34" s="100">
        <v>88</v>
      </c>
    </row>
    <row r="35" spans="1:6" x14ac:dyDescent="0.3">
      <c r="A35" s="103" t="s">
        <v>1045</v>
      </c>
      <c r="B35" s="100">
        <v>26</v>
      </c>
    </row>
    <row r="36" spans="1:6" x14ac:dyDescent="0.3">
      <c r="A36" s="93" t="s">
        <v>1046</v>
      </c>
      <c r="B36" s="100">
        <v>25</v>
      </c>
    </row>
    <row r="37" spans="1:6" x14ac:dyDescent="0.3">
      <c r="A37" s="93" t="s">
        <v>1023</v>
      </c>
      <c r="B37" s="100">
        <v>12</v>
      </c>
      <c r="C37" s="34" t="s">
        <v>1047</v>
      </c>
      <c r="E37" s="34" t="s">
        <v>1048</v>
      </c>
      <c r="F37" s="34" t="s">
        <v>1049</v>
      </c>
    </row>
    <row r="38" spans="1:6" x14ac:dyDescent="0.3">
      <c r="A38" s="93" t="s">
        <v>1025</v>
      </c>
      <c r="B38" s="100">
        <v>10</v>
      </c>
      <c r="C38" s="34" t="s">
        <v>1047</v>
      </c>
      <c r="E38" s="34" t="s">
        <v>1050</v>
      </c>
      <c r="F38" s="34" t="s">
        <v>1051</v>
      </c>
    </row>
    <row r="39" spans="1:6" x14ac:dyDescent="0.3">
      <c r="A39" s="93" t="s">
        <v>1052</v>
      </c>
      <c r="B39" s="100">
        <v>7</v>
      </c>
      <c r="C39" s="34" t="s">
        <v>1038</v>
      </c>
      <c r="E39" s="34" t="s">
        <v>1053</v>
      </c>
      <c r="F39" s="34" t="s">
        <v>1054</v>
      </c>
    </row>
    <row r="40" spans="1:6" x14ac:dyDescent="0.3">
      <c r="A40" s="93" t="s">
        <v>1055</v>
      </c>
      <c r="B40" s="100">
        <v>5</v>
      </c>
      <c r="C40" s="34" t="s">
        <v>152</v>
      </c>
      <c r="E40" s="34" t="s">
        <v>1056</v>
      </c>
    </row>
    <row r="41" spans="1:6" x14ac:dyDescent="0.3">
      <c r="A41" s="93" t="s">
        <v>1057</v>
      </c>
      <c r="B41" s="100">
        <v>2</v>
      </c>
      <c r="C41" s="34" t="s">
        <v>1038</v>
      </c>
      <c r="E41" s="34" t="s">
        <v>1058</v>
      </c>
    </row>
    <row r="42" spans="1:6" x14ac:dyDescent="0.3">
      <c r="A42" s="93" t="s">
        <v>1059</v>
      </c>
      <c r="B42" s="100">
        <v>2</v>
      </c>
      <c r="C42" s="34" t="s">
        <v>1027</v>
      </c>
      <c r="E42" s="126" t="s">
        <v>1060</v>
      </c>
    </row>
    <row r="43" spans="1:6" x14ac:dyDescent="0.3">
      <c r="A43" s="93" t="s">
        <v>1061</v>
      </c>
      <c r="B43" s="100">
        <v>0</v>
      </c>
      <c r="E43" s="34" t="s">
        <v>1062</v>
      </c>
    </row>
    <row r="44" spans="1:6" x14ac:dyDescent="0.3">
      <c r="A44" s="52" t="s">
        <v>1063</v>
      </c>
      <c r="B44" s="100">
        <v>40</v>
      </c>
    </row>
    <row r="45" spans="1:6" x14ac:dyDescent="0.3">
      <c r="A45" s="103" t="s">
        <v>1064</v>
      </c>
      <c r="B45" s="104">
        <v>21</v>
      </c>
    </row>
    <row r="46" spans="1:6" x14ac:dyDescent="0.3">
      <c r="A46" s="93" t="s">
        <v>1065</v>
      </c>
      <c r="B46" s="100">
        <v>6</v>
      </c>
    </row>
    <row r="47" spans="1:6" x14ac:dyDescent="0.3">
      <c r="A47" s="103" t="s">
        <v>1066</v>
      </c>
      <c r="B47" s="104">
        <v>4</v>
      </c>
    </row>
    <row r="48" spans="1:6" x14ac:dyDescent="0.3">
      <c r="A48" s="93" t="s">
        <v>1067</v>
      </c>
      <c r="B48" s="100">
        <v>4</v>
      </c>
    </row>
    <row r="49" spans="1:2" x14ac:dyDescent="0.3">
      <c r="A49" s="103" t="s">
        <v>1068</v>
      </c>
      <c r="B49" s="104">
        <v>3</v>
      </c>
    </row>
    <row r="50" spans="1:2" x14ac:dyDescent="0.3">
      <c r="A50" s="93" t="s">
        <v>1069</v>
      </c>
      <c r="B50" s="100">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M1" zoomScale="69" zoomScaleNormal="90" workbookViewId="0">
      <selection activeCell="BE4" sqref="BD4:BE4"/>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2" width="8.453125" bestFit="1" customWidth="1"/>
    <col min="13" max="13" width="8.54296875" bestFit="1" customWidth="1"/>
    <col min="14" max="14" width="7.54296875" bestFit="1" customWidth="1"/>
    <col min="15" max="62" width="8.54296875" customWidth="1"/>
  </cols>
  <sheetData>
    <row r="1" spans="1:62" x14ac:dyDescent="0.35">
      <c r="I1" s="1180"/>
      <c r="J1" s="1180"/>
      <c r="K1" s="1180"/>
    </row>
    <row r="2" spans="1:62" s="1" customFormat="1" ht="13" customHeight="1" x14ac:dyDescent="0.35">
      <c r="A2" s="228"/>
      <c r="O2" s="1023" t="s">
        <v>1251</v>
      </c>
      <c r="P2" s="1186" t="s">
        <v>1070</v>
      </c>
      <c r="Q2" s="1186"/>
      <c r="R2" s="1186"/>
      <c r="S2" s="1186"/>
      <c r="T2" s="227"/>
      <c r="U2" s="227"/>
      <c r="V2" s="227"/>
      <c r="W2" s="227"/>
      <c r="X2" s="227"/>
      <c r="Y2" s="1181" t="s">
        <v>1071</v>
      </c>
      <c r="Z2" s="1182"/>
      <c r="AA2" s="1182"/>
      <c r="AB2" s="1182"/>
      <c r="AC2" s="1182"/>
      <c r="AD2" s="1182"/>
      <c r="AE2" s="227"/>
      <c r="AF2" s="227"/>
      <c r="AG2" s="1183" t="s">
        <v>1072</v>
      </c>
      <c r="AH2" s="1182"/>
      <c r="AI2" s="1182"/>
      <c r="AJ2" s="1185" t="s">
        <v>1073</v>
      </c>
      <c r="AK2" s="1185"/>
      <c r="AL2" s="1185"/>
      <c r="AM2" s="1185"/>
      <c r="AN2" s="1185"/>
      <c r="AO2" s="1185"/>
      <c r="AP2" s="1185"/>
      <c r="AQ2" s="1185"/>
      <c r="AR2" s="1185"/>
      <c r="AS2" s="1185"/>
      <c r="AT2" s="526"/>
      <c r="AU2" s="1184" t="s">
        <v>518</v>
      </c>
      <c r="AV2" s="1184"/>
      <c r="AW2" s="1184"/>
      <c r="AX2" s="1184"/>
      <c r="AY2" s="1184"/>
      <c r="AZ2" s="1184"/>
      <c r="BA2" s="1184"/>
      <c r="BB2" s="411"/>
      <c r="BC2" s="411"/>
      <c r="BD2" s="411"/>
      <c r="BE2" s="411"/>
      <c r="BF2" s="411"/>
      <c r="BG2" s="411"/>
      <c r="BH2" s="411"/>
      <c r="BI2" s="411"/>
      <c r="BJ2" s="418" t="s">
        <v>1074</v>
      </c>
    </row>
    <row r="3" spans="1:62" ht="43.5" x14ac:dyDescent="0.35">
      <c r="A3" s="229"/>
      <c r="B3" s="229"/>
      <c r="C3" s="229"/>
      <c r="D3" s="229"/>
      <c r="E3" s="229"/>
      <c r="F3" s="229"/>
      <c r="G3" s="229"/>
      <c r="H3" s="229"/>
      <c r="I3" s="229"/>
      <c r="J3" s="229"/>
      <c r="K3" s="229"/>
      <c r="L3" s="229"/>
      <c r="M3" s="229"/>
      <c r="N3" s="229"/>
      <c r="O3" s="1024" t="s">
        <v>1075</v>
      </c>
      <c r="P3" s="3" t="s">
        <v>1076</v>
      </c>
      <c r="Q3" s="3" t="s">
        <v>1077</v>
      </c>
      <c r="R3" s="3" t="s">
        <v>1078</v>
      </c>
      <c r="S3" s="3" t="s">
        <v>1079</v>
      </c>
      <c r="T3" s="3" t="s">
        <v>1080</v>
      </c>
      <c r="U3" s="3" t="s">
        <v>1081</v>
      </c>
      <c r="V3" s="3" t="s">
        <v>1082</v>
      </c>
      <c r="W3" s="3" t="s">
        <v>1083</v>
      </c>
      <c r="X3" s="3" t="s">
        <v>1084</v>
      </c>
      <c r="Y3" s="3" t="s">
        <v>1085</v>
      </c>
      <c r="Z3" s="3"/>
      <c r="AA3" s="3"/>
      <c r="AB3" s="3"/>
      <c r="AC3" s="3" t="s">
        <v>1086</v>
      </c>
      <c r="AD3" s="3" t="s">
        <v>1087</v>
      </c>
      <c r="AE3" s="3" t="s">
        <v>1088</v>
      </c>
      <c r="AF3" s="3" t="s">
        <v>1089</v>
      </c>
      <c r="AG3" s="3" t="s">
        <v>1090</v>
      </c>
      <c r="AH3" s="3" t="s">
        <v>1091</v>
      </c>
      <c r="AI3" s="3" t="s">
        <v>1092</v>
      </c>
      <c r="AJ3" s="3" t="s">
        <v>1093</v>
      </c>
      <c r="AK3" s="3" t="s">
        <v>1094</v>
      </c>
      <c r="AL3" s="3" t="s">
        <v>1095</v>
      </c>
      <c r="AM3" s="3" t="s">
        <v>1096</v>
      </c>
      <c r="AN3" s="3" t="s">
        <v>1097</v>
      </c>
      <c r="AO3" s="3" t="s">
        <v>1098</v>
      </c>
      <c r="AP3" s="3" t="s">
        <v>1099</v>
      </c>
      <c r="AQ3" s="4" t="s">
        <v>1100</v>
      </c>
      <c r="AR3" s="3" t="s">
        <v>1101</v>
      </c>
      <c r="AS3" s="3" t="s">
        <v>1102</v>
      </c>
      <c r="AT3" s="3" t="s">
        <v>1103</v>
      </c>
      <c r="AU3" s="3" t="s">
        <v>1104</v>
      </c>
      <c r="AV3" s="3" t="s">
        <v>1105</v>
      </c>
      <c r="AW3" s="3" t="s">
        <v>1106</v>
      </c>
      <c r="AX3" s="3" t="s">
        <v>1107</v>
      </c>
      <c r="AY3" s="3" t="s">
        <v>1108</v>
      </c>
      <c r="AZ3" s="3" t="s">
        <v>1109</v>
      </c>
      <c r="BA3" s="3" t="s">
        <v>1086</v>
      </c>
      <c r="BB3" s="419" t="s">
        <v>1110</v>
      </c>
      <c r="BC3" s="419" t="s">
        <v>1111</v>
      </c>
      <c r="BD3" s="419" t="s">
        <v>1112</v>
      </c>
      <c r="BE3" s="419" t="s">
        <v>1113</v>
      </c>
      <c r="BF3" s="419" t="s">
        <v>1114</v>
      </c>
      <c r="BG3" s="419" t="s">
        <v>1115</v>
      </c>
      <c r="BH3" s="419" t="s">
        <v>1116</v>
      </c>
      <c r="BI3" s="419" t="s">
        <v>1117</v>
      </c>
      <c r="BJ3" s="413" t="s">
        <v>1118</v>
      </c>
    </row>
    <row r="4" spans="1:62" s="1" customFormat="1" ht="63" customHeight="1" x14ac:dyDescent="0.35">
      <c r="A4" s="422" t="s">
        <v>1119</v>
      </c>
      <c r="B4" s="228" t="s">
        <v>77</v>
      </c>
      <c r="C4" s="228" t="s">
        <v>1120</v>
      </c>
      <c r="D4" s="228" t="s">
        <v>990</v>
      </c>
      <c r="E4" s="228" t="s">
        <v>1121</v>
      </c>
      <c r="F4" s="228" t="s">
        <v>1122</v>
      </c>
      <c r="G4" s="228" t="s">
        <v>1123</v>
      </c>
      <c r="H4" s="228" t="s">
        <v>174</v>
      </c>
      <c r="I4" s="244" t="s">
        <v>480</v>
      </c>
      <c r="J4" s="244" t="s">
        <v>193</v>
      </c>
      <c r="K4" s="244" t="s">
        <v>1124</v>
      </c>
      <c r="L4" s="236" t="s">
        <v>202</v>
      </c>
      <c r="M4" s="228" t="s">
        <v>152</v>
      </c>
      <c r="N4" s="228" t="s">
        <v>1125</v>
      </c>
      <c r="O4" s="1025" t="s">
        <v>1126</v>
      </c>
      <c r="P4" s="419" t="s">
        <v>1127</v>
      </c>
      <c r="Q4" s="419" t="s">
        <v>1128</v>
      </c>
      <c r="R4" s="419" t="s">
        <v>1129</v>
      </c>
      <c r="S4" s="419" t="s">
        <v>1130</v>
      </c>
      <c r="T4" s="419" t="s">
        <v>1131</v>
      </c>
      <c r="U4" s="419" t="s">
        <v>1132</v>
      </c>
      <c r="V4" s="419" t="s">
        <v>1133</v>
      </c>
      <c r="W4" s="419" t="s">
        <v>1134</v>
      </c>
      <c r="X4" s="419" t="s">
        <v>1135</v>
      </c>
      <c r="Y4" s="419" t="s">
        <v>1136</v>
      </c>
      <c r="Z4" s="419" t="s">
        <v>1137</v>
      </c>
      <c r="AA4" s="419" t="s">
        <v>1138</v>
      </c>
      <c r="AB4" s="419" t="s">
        <v>1139</v>
      </c>
      <c r="AC4" s="419" t="s">
        <v>1140</v>
      </c>
      <c r="AD4" s="419" t="s">
        <v>1141</v>
      </c>
      <c r="AE4" s="419" t="s">
        <v>1142</v>
      </c>
      <c r="AF4" s="419" t="s">
        <v>1143</v>
      </c>
      <c r="AG4" s="419" t="s">
        <v>254</v>
      </c>
      <c r="AH4" s="419" t="s">
        <v>255</v>
      </c>
      <c r="AI4" s="419" t="s">
        <v>1144</v>
      </c>
      <c r="AJ4" s="419" t="s">
        <v>1145</v>
      </c>
      <c r="AK4" s="419" t="s">
        <v>1146</v>
      </c>
      <c r="AL4" s="419" t="s">
        <v>1147</v>
      </c>
      <c r="AM4" s="419" t="s">
        <v>1148</v>
      </c>
      <c r="AN4" s="419" t="s">
        <v>1149</v>
      </c>
      <c r="AO4" s="419" t="s">
        <v>1150</v>
      </c>
      <c r="AP4" s="419" t="s">
        <v>1151</v>
      </c>
      <c r="AQ4" s="420" t="s">
        <v>1152</v>
      </c>
      <c r="AR4" s="419" t="s">
        <v>1153</v>
      </c>
      <c r="AS4" s="419" t="s">
        <v>1154</v>
      </c>
      <c r="AT4" s="419" t="s">
        <v>1155</v>
      </c>
      <c r="AU4" s="419" t="s">
        <v>1156</v>
      </c>
      <c r="AV4" s="419" t="s">
        <v>1157</v>
      </c>
      <c r="AW4" s="419" t="s">
        <v>1158</v>
      </c>
      <c r="AX4" s="419" t="s">
        <v>1159</v>
      </c>
      <c r="AY4" s="419" t="s">
        <v>1160</v>
      </c>
      <c r="AZ4" s="419" t="s">
        <v>1161</v>
      </c>
      <c r="BA4" s="419"/>
      <c r="BB4" s="419" t="s">
        <v>581</v>
      </c>
      <c r="BC4" s="419" t="s">
        <v>1162</v>
      </c>
      <c r="BD4" s="419" t="s">
        <v>1163</v>
      </c>
      <c r="BE4" s="419" t="s">
        <v>1164</v>
      </c>
      <c r="BF4" s="419" t="s">
        <v>1165</v>
      </c>
      <c r="BG4" s="419" t="s">
        <v>1166</v>
      </c>
      <c r="BH4" s="419" t="s">
        <v>1167</v>
      </c>
      <c r="BI4" s="419" t="s">
        <v>1168</v>
      </c>
      <c r="BJ4" s="421" t="s">
        <v>1169</v>
      </c>
    </row>
    <row r="5" spans="1:62" x14ac:dyDescent="0.35">
      <c r="A5" s="230">
        <v>2021</v>
      </c>
      <c r="B5" s="232">
        <f>Q5</f>
        <v>394.202</v>
      </c>
      <c r="C5" s="232">
        <f>SUM(Y5:AB5)</f>
        <v>195.7</v>
      </c>
      <c r="D5" s="232">
        <f>T5</f>
        <v>18.823</v>
      </c>
      <c r="E5" s="232">
        <f>SUM(P5:S5)-B5</f>
        <v>0.77600000000001046</v>
      </c>
      <c r="F5" s="232">
        <f t="shared" ref="F5:F15" si="0">SUM(T5:AF5)-C5-L5-D5</f>
        <v>47.722000000000016</v>
      </c>
      <c r="G5" s="232">
        <f>SUM(BB5:BI5)-BC5</f>
        <v>81.642999999999986</v>
      </c>
      <c r="H5" s="232">
        <f>SUM(AG5:AI5)</f>
        <v>7.798</v>
      </c>
      <c r="I5" s="232">
        <f>AJ5</f>
        <v>283.95749999999998</v>
      </c>
      <c r="J5" s="232">
        <f>AL5</f>
        <v>12.347</v>
      </c>
      <c r="K5" s="232">
        <f>SUM(AM5:AT5)</f>
        <v>29.628</v>
      </c>
      <c r="L5" s="247">
        <f>103/4</f>
        <v>25.75</v>
      </c>
      <c r="M5" s="232">
        <f t="shared" ref="M5:M16" si="1">SUM(AU5:BA5)</f>
        <v>31.939</v>
      </c>
      <c r="N5" s="232">
        <f>AK5</f>
        <v>3.4</v>
      </c>
      <c r="O5" s="1026">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414">
        <v>1.1599999999999999</v>
      </c>
    </row>
    <row r="6" spans="1:62" x14ac:dyDescent="0.35">
      <c r="A6" s="230">
        <v>2022</v>
      </c>
      <c r="B6" s="232">
        <f t="shared" ref="B6:B15" si="2">Q6</f>
        <v>17.465</v>
      </c>
      <c r="C6" s="232">
        <f t="shared" ref="C6:C15" si="3">SUM(Y6:AB6)</f>
        <v>10.1</v>
      </c>
      <c r="D6" s="232">
        <f t="shared" ref="D6:D15" si="4">T6</f>
        <v>2.5950000000000002</v>
      </c>
      <c r="E6" s="232">
        <f t="shared" ref="E6:E15" si="5">SUM(P6:S6)-B6</f>
        <v>19.719000000000005</v>
      </c>
      <c r="F6" s="232">
        <f t="shared" si="0"/>
        <v>52.756999999999998</v>
      </c>
      <c r="G6" s="232">
        <f t="shared" ref="G6:G16" si="6">SUM(BB6:BI6)-BC6</f>
        <v>110.24799999999999</v>
      </c>
      <c r="H6" s="232">
        <f t="shared" ref="H6:H15" si="7">SUM(AG6:AI6)</f>
        <v>7.9489999999999998</v>
      </c>
      <c r="I6" s="232">
        <f t="shared" ref="I6:I15" si="8">AJ6</f>
        <v>77.092500000000001</v>
      </c>
      <c r="J6" s="232">
        <f t="shared" ref="J6:J15" si="9">AL6</f>
        <v>46.79</v>
      </c>
      <c r="K6" s="232">
        <f t="shared" ref="K6:K16" si="10">SUM(AM6:AT6)</f>
        <v>35.671000000000006</v>
      </c>
      <c r="L6" s="247">
        <v>0</v>
      </c>
      <c r="M6" s="232">
        <f t="shared" si="1"/>
        <v>56.412999999999997</v>
      </c>
      <c r="N6" s="232">
        <f t="shared" ref="N6:N15" si="11">AK6</f>
        <v>5.0999999999999996</v>
      </c>
      <c r="O6" s="1026">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414">
        <v>4.2</v>
      </c>
    </row>
    <row r="7" spans="1:62" x14ac:dyDescent="0.35">
      <c r="A7" s="230">
        <v>2023</v>
      </c>
      <c r="B7" s="232">
        <f t="shared" si="2"/>
        <v>0.48599999999999999</v>
      </c>
      <c r="C7" s="232">
        <f t="shared" si="3"/>
        <v>0</v>
      </c>
      <c r="D7" s="232">
        <f t="shared" si="4"/>
        <v>0.93700000000000006</v>
      </c>
      <c r="E7" s="232">
        <f t="shared" si="5"/>
        <v>1.4159999999999999</v>
      </c>
      <c r="F7" s="232">
        <f t="shared" si="0"/>
        <v>12</v>
      </c>
      <c r="G7" s="232">
        <f t="shared" si="6"/>
        <v>12.726000000000001</v>
      </c>
      <c r="H7" s="232">
        <f t="shared" si="7"/>
        <v>4.7519999999999998</v>
      </c>
      <c r="I7" s="232">
        <f t="shared" si="8"/>
        <v>1</v>
      </c>
      <c r="J7" s="232">
        <f t="shared" si="9"/>
        <v>38.595999999999997</v>
      </c>
      <c r="K7" s="232">
        <f t="shared" si="10"/>
        <v>24.216000000000001</v>
      </c>
      <c r="L7" s="247">
        <v>0</v>
      </c>
      <c r="M7" s="232">
        <f t="shared" si="1"/>
        <v>15.652999999999999</v>
      </c>
      <c r="N7" s="232">
        <f t="shared" si="11"/>
        <v>0</v>
      </c>
      <c r="O7" s="102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414">
        <v>2.7</v>
      </c>
    </row>
    <row r="8" spans="1:62" x14ac:dyDescent="0.35">
      <c r="A8" s="230">
        <v>2024</v>
      </c>
      <c r="B8" s="232">
        <f t="shared" si="2"/>
        <v>0</v>
      </c>
      <c r="C8" s="232">
        <f t="shared" si="3"/>
        <v>0</v>
      </c>
      <c r="D8" s="232">
        <f t="shared" si="4"/>
        <v>0.16</v>
      </c>
      <c r="E8" s="232">
        <f t="shared" si="5"/>
        <v>1.4790000000000001</v>
      </c>
      <c r="F8" s="232">
        <f t="shared" si="0"/>
        <v>4.2219999999999995</v>
      </c>
      <c r="G8" s="232">
        <f t="shared" si="6"/>
        <v>1.365</v>
      </c>
      <c r="H8" s="232">
        <f t="shared" si="7"/>
        <v>4.637999999999999</v>
      </c>
      <c r="I8" s="232">
        <f t="shared" si="8"/>
        <v>0</v>
      </c>
      <c r="J8" s="232">
        <f t="shared" si="9"/>
        <v>31.911000000000001</v>
      </c>
      <c r="K8" s="232">
        <f t="shared" si="10"/>
        <v>9.6430000000000007</v>
      </c>
      <c r="L8" s="247">
        <v>0</v>
      </c>
      <c r="M8" s="232">
        <f t="shared" si="1"/>
        <v>3.9320000000000004</v>
      </c>
      <c r="N8" s="232">
        <f t="shared" si="11"/>
        <v>0</v>
      </c>
      <c r="O8" s="102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415">
        <v>0.87</v>
      </c>
    </row>
    <row r="9" spans="1:62" x14ac:dyDescent="0.35">
      <c r="A9" s="230">
        <v>2025</v>
      </c>
      <c r="B9" s="232">
        <f t="shared" si="2"/>
        <v>0</v>
      </c>
      <c r="C9" s="232">
        <f t="shared" si="3"/>
        <v>0</v>
      </c>
      <c r="D9" s="232">
        <f t="shared" si="4"/>
        <v>3.3000000000000002E-2</v>
      </c>
      <c r="E9" s="232">
        <f t="shared" si="5"/>
        <v>1.63</v>
      </c>
      <c r="F9" s="232">
        <f t="shared" si="0"/>
        <v>2.3719999999999999</v>
      </c>
      <c r="G9" s="232">
        <f t="shared" si="6"/>
        <v>-0.90100000000000025</v>
      </c>
      <c r="H9" s="232">
        <f t="shared" si="7"/>
        <v>1.8800000000000001</v>
      </c>
      <c r="I9" s="232">
        <f t="shared" si="8"/>
        <v>0</v>
      </c>
      <c r="J9" s="232">
        <f t="shared" si="9"/>
        <v>23.099</v>
      </c>
      <c r="K9" s="232">
        <f t="shared" si="10"/>
        <v>4.5789999999999997</v>
      </c>
      <c r="L9" s="247">
        <v>0</v>
      </c>
      <c r="M9" s="232">
        <f t="shared" si="1"/>
        <v>-0.74299999999999988</v>
      </c>
      <c r="N9" s="232">
        <f t="shared" si="11"/>
        <v>0</v>
      </c>
      <c r="O9" s="102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423">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415">
        <v>0.33</v>
      </c>
    </row>
    <row r="10" spans="1:62" x14ac:dyDescent="0.35">
      <c r="A10" s="230">
        <v>2026</v>
      </c>
      <c r="B10" s="232">
        <f t="shared" si="2"/>
        <v>0</v>
      </c>
      <c r="C10" s="232">
        <f t="shared" si="3"/>
        <v>0</v>
      </c>
      <c r="D10" s="232">
        <f t="shared" si="4"/>
        <v>3.2000000000000001E-2</v>
      </c>
      <c r="E10" s="232">
        <f t="shared" si="5"/>
        <v>1.671</v>
      </c>
      <c r="F10" s="232">
        <f t="shared" si="0"/>
        <v>0.49</v>
      </c>
      <c r="G10" s="232">
        <f t="shared" si="6"/>
        <v>-2.1500000000000004</v>
      </c>
      <c r="H10" s="232">
        <f t="shared" si="7"/>
        <v>1.446</v>
      </c>
      <c r="I10" s="232">
        <f t="shared" si="8"/>
        <v>0</v>
      </c>
      <c r="J10" s="232">
        <f t="shared" si="9"/>
        <v>10.766999999999999</v>
      </c>
      <c r="K10" s="232">
        <f t="shared" si="10"/>
        <v>2.9130000000000003</v>
      </c>
      <c r="L10" s="247"/>
      <c r="M10" s="232">
        <f t="shared" si="1"/>
        <v>-21.606000000000002</v>
      </c>
      <c r="N10" s="232">
        <f t="shared" si="11"/>
        <v>0</v>
      </c>
      <c r="O10" s="102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423">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415">
        <v>0.17</v>
      </c>
    </row>
    <row r="11" spans="1:62" x14ac:dyDescent="0.35">
      <c r="A11" s="230">
        <v>2027</v>
      </c>
      <c r="B11" s="232">
        <f t="shared" si="2"/>
        <v>0</v>
      </c>
      <c r="C11" s="232">
        <f t="shared" si="3"/>
        <v>0</v>
      </c>
      <c r="D11" s="232">
        <f t="shared" si="4"/>
        <v>3.2000000000000001E-2</v>
      </c>
      <c r="E11" s="232">
        <f t="shared" si="5"/>
        <v>1.7130000000000001</v>
      </c>
      <c r="F11" s="232">
        <f t="shared" si="0"/>
        <v>0</v>
      </c>
      <c r="G11" s="232">
        <f t="shared" si="6"/>
        <v>-4.8169999999999993</v>
      </c>
      <c r="H11" s="232">
        <f t="shared" si="7"/>
        <v>0.65699999999999992</v>
      </c>
      <c r="I11" s="232">
        <f t="shared" si="8"/>
        <v>0</v>
      </c>
      <c r="J11" s="232">
        <f t="shared" si="9"/>
        <v>4.0789999999999997</v>
      </c>
      <c r="K11" s="232">
        <f t="shared" si="10"/>
        <v>2.46</v>
      </c>
      <c r="L11" s="247"/>
      <c r="M11" s="232">
        <f t="shared" si="1"/>
        <v>-14.713000000000001</v>
      </c>
      <c r="N11" s="232">
        <f t="shared" si="11"/>
        <v>0</v>
      </c>
      <c r="O11" s="102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423">
        <v>0.1</v>
      </c>
      <c r="AP11" s="5">
        <v>0.03</v>
      </c>
      <c r="AQ11" s="10">
        <v>0</v>
      </c>
      <c r="AR11" s="5">
        <v>0</v>
      </c>
      <c r="AS11" s="5">
        <v>0</v>
      </c>
      <c r="AT11" s="423">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416">
        <v>0.06</v>
      </c>
    </row>
    <row r="12" spans="1:62" x14ac:dyDescent="0.35">
      <c r="A12" s="230">
        <v>2028</v>
      </c>
      <c r="B12" s="232">
        <f t="shared" si="2"/>
        <v>0</v>
      </c>
      <c r="C12" s="232">
        <f t="shared" si="3"/>
        <v>0</v>
      </c>
      <c r="D12" s="232">
        <f t="shared" si="4"/>
        <v>3.3000000000000002E-2</v>
      </c>
      <c r="E12" s="232">
        <f t="shared" si="5"/>
        <v>1.7130000000000001</v>
      </c>
      <c r="F12" s="232">
        <f t="shared" si="0"/>
        <v>0</v>
      </c>
      <c r="G12" s="232">
        <f t="shared" si="6"/>
        <v>-5.0590000000000002</v>
      </c>
      <c r="H12" s="232">
        <f t="shared" si="7"/>
        <v>-1.071</v>
      </c>
      <c r="I12" s="232">
        <f t="shared" si="8"/>
        <v>0</v>
      </c>
      <c r="J12" s="232">
        <f t="shared" si="9"/>
        <v>1.635</v>
      </c>
      <c r="K12" s="232">
        <f t="shared" si="10"/>
        <v>1.81</v>
      </c>
      <c r="L12" s="247"/>
      <c r="M12" s="232">
        <f t="shared" si="1"/>
        <v>-2.7690000000000001</v>
      </c>
      <c r="N12" s="232">
        <f t="shared" si="11"/>
        <v>0</v>
      </c>
      <c r="O12" s="102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423">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416">
        <v>0.03</v>
      </c>
    </row>
    <row r="13" spans="1:62" x14ac:dyDescent="0.35">
      <c r="A13" s="230">
        <v>2029</v>
      </c>
      <c r="B13" s="232">
        <f t="shared" si="2"/>
        <v>0</v>
      </c>
      <c r="C13" s="232">
        <f t="shared" si="3"/>
        <v>0</v>
      </c>
      <c r="D13" s="232">
        <f t="shared" si="4"/>
        <v>3.3000000000000002E-2</v>
      </c>
      <c r="E13" s="232">
        <f t="shared" si="5"/>
        <v>1.7130000000000001</v>
      </c>
      <c r="F13" s="232">
        <f t="shared" si="0"/>
        <v>0</v>
      </c>
      <c r="G13" s="232">
        <f t="shared" si="6"/>
        <v>-5.218</v>
      </c>
      <c r="H13" s="232">
        <f t="shared" si="7"/>
        <v>-1.964</v>
      </c>
      <c r="I13" s="232">
        <f t="shared" si="8"/>
        <v>0</v>
      </c>
      <c r="J13" s="232">
        <f t="shared" si="9"/>
        <v>-1.7000000000000001E-2</v>
      </c>
      <c r="K13" s="232">
        <f t="shared" si="10"/>
        <v>1</v>
      </c>
      <c r="L13" s="247"/>
      <c r="M13" s="232">
        <f t="shared" si="1"/>
        <v>-2.75</v>
      </c>
      <c r="N13" s="232">
        <f t="shared" si="11"/>
        <v>0</v>
      </c>
      <c r="O13" s="102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423">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416">
        <v>0.01</v>
      </c>
    </row>
    <row r="14" spans="1:62" x14ac:dyDescent="0.35">
      <c r="A14" s="230">
        <v>2030</v>
      </c>
      <c r="B14" s="232">
        <f t="shared" si="2"/>
        <v>0</v>
      </c>
      <c r="C14" s="232">
        <f t="shared" si="3"/>
        <v>0</v>
      </c>
      <c r="D14" s="232">
        <f t="shared" si="4"/>
        <v>3.3000000000000002E-2</v>
      </c>
      <c r="E14" s="232">
        <f t="shared" si="5"/>
        <v>1.8130000000000002</v>
      </c>
      <c r="F14" s="232">
        <f t="shared" si="0"/>
        <v>0</v>
      </c>
      <c r="G14" s="232">
        <f t="shared" si="6"/>
        <v>-5.9420000000000002</v>
      </c>
      <c r="H14" s="232">
        <f t="shared" si="7"/>
        <v>-2.0210000000000004</v>
      </c>
      <c r="I14" s="232">
        <f t="shared" si="8"/>
        <v>0</v>
      </c>
      <c r="J14" s="232">
        <f t="shared" si="9"/>
        <v>-1.9E-2</v>
      </c>
      <c r="K14" s="232">
        <f t="shared" si="10"/>
        <v>0.8</v>
      </c>
      <c r="L14" s="247"/>
      <c r="M14" s="232">
        <f t="shared" si="1"/>
        <v>-8.1189999999999998</v>
      </c>
      <c r="N14" s="232">
        <f t="shared" si="11"/>
        <v>0</v>
      </c>
      <c r="O14" s="102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415">
        <v>0.01</v>
      </c>
    </row>
    <row r="15" spans="1:62" ht="17.149999999999999" customHeight="1" x14ac:dyDescent="0.35">
      <c r="A15" s="230">
        <v>2031</v>
      </c>
      <c r="B15" s="232">
        <f t="shared" si="2"/>
        <v>0</v>
      </c>
      <c r="C15" s="232">
        <f t="shared" si="3"/>
        <v>0</v>
      </c>
      <c r="D15" s="232">
        <f t="shared" si="4"/>
        <v>0</v>
      </c>
      <c r="E15" s="232">
        <f t="shared" si="5"/>
        <v>1.8230000000000002</v>
      </c>
      <c r="F15" s="232">
        <f t="shared" si="0"/>
        <v>0</v>
      </c>
      <c r="G15" s="232">
        <f t="shared" si="6"/>
        <v>-7.7250000000000005</v>
      </c>
      <c r="H15" s="232">
        <f t="shared" si="7"/>
        <v>-2.4630000000000001</v>
      </c>
      <c r="I15" s="232">
        <f t="shared" si="8"/>
        <v>0</v>
      </c>
      <c r="J15" s="232">
        <f t="shared" si="9"/>
        <v>-1.9E-2</v>
      </c>
      <c r="K15" s="232">
        <f t="shared" si="10"/>
        <v>0</v>
      </c>
      <c r="L15" s="247"/>
      <c r="M15" s="232">
        <f t="shared" si="1"/>
        <v>-3.0390000000000001</v>
      </c>
      <c r="N15" s="232">
        <f t="shared" si="11"/>
        <v>0</v>
      </c>
      <c r="O15" s="102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415">
        <v>0</v>
      </c>
    </row>
    <row r="16" spans="1:62" x14ac:dyDescent="0.35">
      <c r="A16" s="231" t="s">
        <v>437</v>
      </c>
      <c r="B16" s="231">
        <f>SUM(B5:B15)</f>
        <v>412.15299999999996</v>
      </c>
      <c r="C16" s="231">
        <f>SUM(C5:C15)</f>
        <v>205.79999999999998</v>
      </c>
      <c r="D16" s="231">
        <f>SUM(D5:D15)</f>
        <v>22.711000000000006</v>
      </c>
      <c r="E16" s="231">
        <f t="shared" ref="E16:H16" si="12">SUM(E5:E15)</f>
        <v>35.466000000000015</v>
      </c>
      <c r="F16" s="231">
        <f t="shared" si="12"/>
        <v>119.563</v>
      </c>
      <c r="G16" s="232">
        <f t="shared" si="6"/>
        <v>174.17</v>
      </c>
      <c r="H16" s="231">
        <f t="shared" si="12"/>
        <v>21.600999999999996</v>
      </c>
      <c r="I16" s="247">
        <f t="shared" ref="I16" si="13">SUM(I5:I15)</f>
        <v>362.04999999999995</v>
      </c>
      <c r="J16" s="247">
        <f t="shared" ref="J16" si="14">SUM(J5:J15)</f>
        <v>169.16899999999998</v>
      </c>
      <c r="K16" s="232">
        <f t="shared" si="10"/>
        <v>112.72</v>
      </c>
      <c r="L16" s="247">
        <f>SUM(L5:L15)</f>
        <v>25.75</v>
      </c>
      <c r="M16" s="232">
        <f t="shared" si="1"/>
        <v>85.197999999999993</v>
      </c>
      <c r="N16" s="232">
        <f>AK16</f>
        <v>8.5</v>
      </c>
      <c r="O16" s="1027">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417">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1170</v>
      </c>
      <c r="BD18" s="8" t="s">
        <v>1170</v>
      </c>
      <c r="BE18" s="8"/>
      <c r="BF18" s="8" t="s">
        <v>1170</v>
      </c>
      <c r="BG18" s="8" t="s">
        <v>1170</v>
      </c>
      <c r="BI18" s="8" t="s">
        <v>1170</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1171</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F7" sqref="F7"/>
    </sheetView>
  </sheetViews>
  <sheetFormatPr defaultColWidth="8.81640625" defaultRowHeight="14.5" x14ac:dyDescent="0.35"/>
  <cols>
    <col min="1" max="1" width="23.1796875" customWidth="1"/>
  </cols>
  <sheetData>
    <row r="1" spans="1:22" x14ac:dyDescent="0.35">
      <c r="A1" s="272" t="s">
        <v>1172</v>
      </c>
      <c r="B1" s="272"/>
      <c r="C1" s="272"/>
      <c r="D1" s="272"/>
    </row>
    <row r="2" spans="1:22" x14ac:dyDescent="0.35">
      <c r="A2" t="s">
        <v>1173</v>
      </c>
      <c r="B2" s="221">
        <v>2021</v>
      </c>
      <c r="C2" s="221">
        <v>2021</v>
      </c>
      <c r="D2" s="221">
        <v>2021</v>
      </c>
      <c r="E2" s="221">
        <v>2022</v>
      </c>
      <c r="F2" s="221">
        <v>2022</v>
      </c>
      <c r="G2" s="221">
        <v>2022</v>
      </c>
      <c r="H2" s="221">
        <v>2022</v>
      </c>
      <c r="I2" s="221">
        <v>2023</v>
      </c>
      <c r="J2" s="221">
        <v>2023</v>
      </c>
      <c r="K2" s="221">
        <v>2023</v>
      </c>
      <c r="L2" s="221">
        <v>2023</v>
      </c>
      <c r="M2" s="221">
        <v>2024</v>
      </c>
      <c r="N2" s="221">
        <v>2024</v>
      </c>
      <c r="O2" s="221">
        <v>2024</v>
      </c>
      <c r="P2" s="221">
        <v>2024</v>
      </c>
      <c r="Q2" s="221">
        <v>2025</v>
      </c>
      <c r="R2" s="221">
        <v>2025</v>
      </c>
      <c r="S2" s="221">
        <v>2025</v>
      </c>
      <c r="T2" s="221">
        <v>2025</v>
      </c>
      <c r="U2" s="221">
        <v>2026</v>
      </c>
    </row>
    <row r="3" spans="1:22" x14ac:dyDescent="0.35">
      <c r="A3" s="24" t="s">
        <v>1174</v>
      </c>
      <c r="B3" s="233" t="s">
        <v>1175</v>
      </c>
      <c r="C3" s="233" t="s">
        <v>1176</v>
      </c>
      <c r="D3" s="233" t="s">
        <v>1177</v>
      </c>
      <c r="E3" s="233" t="s">
        <v>1178</v>
      </c>
      <c r="F3" s="233" t="s">
        <v>1179</v>
      </c>
      <c r="G3" s="233" t="s">
        <v>1180</v>
      </c>
      <c r="H3" s="233" t="s">
        <v>1181</v>
      </c>
      <c r="I3" s="233" t="s">
        <v>1182</v>
      </c>
      <c r="J3" s="233" t="s">
        <v>1183</v>
      </c>
      <c r="K3" s="233" t="s">
        <v>1184</v>
      </c>
      <c r="L3" s="233" t="s">
        <v>1185</v>
      </c>
      <c r="M3" s="233" t="s">
        <v>1186</v>
      </c>
      <c r="N3" s="233" t="s">
        <v>1187</v>
      </c>
      <c r="O3" s="233" t="s">
        <v>1188</v>
      </c>
      <c r="P3" s="233" t="s">
        <v>1189</v>
      </c>
      <c r="Q3" s="233" t="s">
        <v>1190</v>
      </c>
      <c r="R3" s="233" t="s">
        <v>1191</v>
      </c>
      <c r="S3" s="233" t="s">
        <v>1192</v>
      </c>
      <c r="T3" s="233" t="s">
        <v>1193</v>
      </c>
      <c r="U3" s="233" t="s">
        <v>1194</v>
      </c>
    </row>
    <row r="4" spans="1:22" x14ac:dyDescent="0.35">
      <c r="A4" s="24" t="s">
        <v>1195</v>
      </c>
      <c r="B4" s="233"/>
      <c r="C4" s="233"/>
      <c r="D4" s="233">
        <v>0</v>
      </c>
      <c r="E4" s="233">
        <v>0</v>
      </c>
      <c r="F4" s="233">
        <v>0.5</v>
      </c>
      <c r="G4" s="233">
        <v>0.5</v>
      </c>
      <c r="H4" s="233">
        <v>0</v>
      </c>
      <c r="I4" s="233">
        <v>0</v>
      </c>
      <c r="J4" s="233">
        <v>0</v>
      </c>
      <c r="K4" s="233">
        <v>0</v>
      </c>
      <c r="L4" s="233">
        <v>0</v>
      </c>
      <c r="M4" s="233">
        <v>0</v>
      </c>
      <c r="N4" s="233">
        <v>0</v>
      </c>
      <c r="O4" s="233">
        <v>0</v>
      </c>
      <c r="P4" s="233">
        <v>0</v>
      </c>
      <c r="Q4" s="233">
        <v>0</v>
      </c>
      <c r="R4" s="233">
        <v>0</v>
      </c>
      <c r="S4" s="233">
        <v>0</v>
      </c>
      <c r="T4" s="233">
        <v>0</v>
      </c>
      <c r="U4" s="233">
        <v>0</v>
      </c>
    </row>
    <row r="5" spans="1:22" x14ac:dyDescent="0.35">
      <c r="A5" s="24" t="s">
        <v>1196</v>
      </c>
      <c r="B5" s="233">
        <v>0.04</v>
      </c>
      <c r="C5" s="233">
        <v>0.48</v>
      </c>
      <c r="D5" s="233">
        <v>0.48</v>
      </c>
      <c r="E5" s="233">
        <v>0</v>
      </c>
      <c r="F5" s="233">
        <v>0</v>
      </c>
      <c r="G5" s="233">
        <v>0</v>
      </c>
      <c r="H5" s="233">
        <v>0</v>
      </c>
      <c r="I5" s="233">
        <v>0</v>
      </c>
      <c r="J5" s="233">
        <v>0</v>
      </c>
      <c r="K5" s="233">
        <v>0</v>
      </c>
      <c r="L5" s="233">
        <v>0</v>
      </c>
      <c r="M5" s="233">
        <v>0</v>
      </c>
      <c r="N5" s="233">
        <v>0</v>
      </c>
      <c r="O5" s="233">
        <v>0</v>
      </c>
      <c r="P5" s="233">
        <v>0</v>
      </c>
      <c r="Q5" s="233">
        <v>0</v>
      </c>
      <c r="R5" s="233">
        <v>0</v>
      </c>
      <c r="S5" s="233">
        <v>0</v>
      </c>
      <c r="T5" s="233">
        <v>0</v>
      </c>
      <c r="U5" s="233">
        <v>0</v>
      </c>
    </row>
    <row r="6" spans="1:22" x14ac:dyDescent="0.35">
      <c r="A6" s="24" t="s">
        <v>1197</v>
      </c>
      <c r="B6" s="233">
        <f>B8</f>
        <v>0</v>
      </c>
      <c r="C6" s="233">
        <f>C8</f>
        <v>0.28000000000000003</v>
      </c>
      <c r="D6" s="233">
        <f t="shared" ref="D6:U6" si="0">D8</f>
        <v>0.72</v>
      </c>
      <c r="E6" s="233">
        <f t="shared" si="0"/>
        <v>0.25</v>
      </c>
      <c r="F6" s="233">
        <f t="shared" si="0"/>
        <v>0.25</v>
      </c>
      <c r="G6" s="233">
        <f t="shared" si="0"/>
        <v>0.25</v>
      </c>
      <c r="H6" s="233">
        <f t="shared" si="0"/>
        <v>0.25</v>
      </c>
      <c r="I6" s="233">
        <f t="shared" si="0"/>
        <v>0.25</v>
      </c>
      <c r="J6" s="233">
        <f t="shared" si="0"/>
        <v>0.25</v>
      </c>
      <c r="K6" s="233">
        <f t="shared" si="0"/>
        <v>0.25</v>
      </c>
      <c r="L6" s="233">
        <f t="shared" si="0"/>
        <v>0.25</v>
      </c>
      <c r="M6" s="233">
        <f t="shared" si="0"/>
        <v>0.25</v>
      </c>
      <c r="N6" s="233">
        <f t="shared" si="0"/>
        <v>0.25</v>
      </c>
      <c r="O6" s="233">
        <f t="shared" si="0"/>
        <v>0.25</v>
      </c>
      <c r="P6" s="233">
        <f t="shared" si="0"/>
        <v>0.25</v>
      </c>
      <c r="Q6" s="233">
        <f t="shared" si="0"/>
        <v>0.25</v>
      </c>
      <c r="R6" s="233">
        <f t="shared" si="0"/>
        <v>0.25</v>
      </c>
      <c r="S6" s="233">
        <f t="shared" si="0"/>
        <v>0.25</v>
      </c>
      <c r="T6" s="233">
        <f t="shared" si="0"/>
        <v>0.25</v>
      </c>
      <c r="U6" s="233">
        <f t="shared" si="0"/>
        <v>0.25</v>
      </c>
    </row>
    <row r="7" spans="1:22" x14ac:dyDescent="0.35">
      <c r="A7" s="24" t="s">
        <v>1198</v>
      </c>
      <c r="B7" s="233">
        <v>0</v>
      </c>
      <c r="C7" s="233">
        <v>0</v>
      </c>
      <c r="D7" s="233">
        <v>1</v>
      </c>
      <c r="E7" s="233">
        <v>0.25</v>
      </c>
      <c r="F7" s="233">
        <v>0.25</v>
      </c>
      <c r="G7" s="233">
        <v>0.25</v>
      </c>
      <c r="H7" s="233">
        <v>0.25</v>
      </c>
      <c r="I7" s="233">
        <v>0.25</v>
      </c>
      <c r="J7" s="233">
        <v>0.25</v>
      </c>
      <c r="K7" s="233">
        <v>0.25</v>
      </c>
      <c r="L7" s="233">
        <v>0.25</v>
      </c>
      <c r="M7" s="233">
        <v>0.25</v>
      </c>
      <c r="N7" s="233">
        <v>0.25</v>
      </c>
      <c r="O7" s="233">
        <v>0.25</v>
      </c>
      <c r="P7" s="233">
        <v>0.25</v>
      </c>
      <c r="Q7" s="233">
        <v>0.25</v>
      </c>
      <c r="R7" s="233">
        <v>0.25</v>
      </c>
      <c r="S7" s="233">
        <v>0.25</v>
      </c>
      <c r="T7" s="233">
        <v>0.25</v>
      </c>
      <c r="U7" s="233">
        <v>0.25</v>
      </c>
    </row>
    <row r="8" spans="1:22" x14ac:dyDescent="0.35">
      <c r="A8" s="24" t="s">
        <v>1199</v>
      </c>
      <c r="B8" s="233">
        <v>0</v>
      </c>
      <c r="C8" s="233">
        <v>0.28000000000000003</v>
      </c>
      <c r="D8" s="233">
        <v>0.72</v>
      </c>
      <c r="E8" s="233">
        <v>0.25</v>
      </c>
      <c r="F8" s="233">
        <v>0.25</v>
      </c>
      <c r="G8" s="233">
        <v>0.25</v>
      </c>
      <c r="H8" s="233">
        <v>0.25</v>
      </c>
      <c r="I8" s="233">
        <v>0.25</v>
      </c>
      <c r="J8" s="233">
        <v>0.25</v>
      </c>
      <c r="K8" s="233">
        <v>0.25</v>
      </c>
      <c r="L8" s="233">
        <v>0.25</v>
      </c>
      <c r="M8" s="233">
        <v>0.25</v>
      </c>
      <c r="N8" s="233">
        <v>0.25</v>
      </c>
      <c r="O8" s="233">
        <v>0.25</v>
      </c>
      <c r="P8" s="233">
        <v>0.25</v>
      </c>
      <c r="Q8" s="233">
        <v>0.25</v>
      </c>
      <c r="R8" s="233">
        <v>0.25</v>
      </c>
      <c r="S8" s="233">
        <v>0.25</v>
      </c>
      <c r="T8" s="233">
        <v>0.25</v>
      </c>
      <c r="U8" s="233">
        <v>0.25</v>
      </c>
    </row>
    <row r="9" spans="1:22" ht="26" x14ac:dyDescent="0.35">
      <c r="A9" s="24" t="s">
        <v>1200</v>
      </c>
      <c r="B9" s="233">
        <v>0</v>
      </c>
      <c r="C9" s="233">
        <f>0.18</f>
        <v>0.18</v>
      </c>
      <c r="D9" s="233">
        <f>1-C9</f>
        <v>0.82000000000000006</v>
      </c>
      <c r="E9" s="233">
        <v>0.25</v>
      </c>
      <c r="F9" s="233">
        <v>0.25</v>
      </c>
      <c r="G9" s="233">
        <v>0.25</v>
      </c>
      <c r="H9" s="233">
        <v>0.25</v>
      </c>
      <c r="I9" s="233">
        <v>0.25</v>
      </c>
      <c r="J9" s="233">
        <v>0.25</v>
      </c>
      <c r="K9" s="233">
        <v>0.25</v>
      </c>
      <c r="L9" s="233">
        <v>0.25</v>
      </c>
      <c r="M9" s="233">
        <v>0.25</v>
      </c>
      <c r="N9" s="233">
        <v>0.25</v>
      </c>
      <c r="O9" s="233">
        <v>0.25</v>
      </c>
      <c r="P9" s="233">
        <v>0.25</v>
      </c>
      <c r="Q9" s="233">
        <v>0.25</v>
      </c>
      <c r="R9" s="233">
        <v>0.25</v>
      </c>
      <c r="S9" s="233">
        <v>0.25</v>
      </c>
      <c r="T9" s="233">
        <v>0.25</v>
      </c>
      <c r="U9" s="233">
        <v>0.25</v>
      </c>
    </row>
    <row r="10" spans="1:22" x14ac:dyDescent="0.35">
      <c r="A10" s="24" t="s">
        <v>1201</v>
      </c>
      <c r="B10" s="233">
        <v>0</v>
      </c>
      <c r="C10" s="233">
        <v>0.5</v>
      </c>
      <c r="D10" s="233">
        <v>0.5</v>
      </c>
      <c r="E10" s="233">
        <v>0.25</v>
      </c>
      <c r="F10" s="233">
        <v>0.25</v>
      </c>
      <c r="G10" s="233">
        <v>0.25</v>
      </c>
      <c r="H10" s="233">
        <v>0.25</v>
      </c>
      <c r="I10" s="233">
        <v>0.25</v>
      </c>
      <c r="J10" s="233">
        <v>0.25</v>
      </c>
      <c r="K10" s="233">
        <v>0.25</v>
      </c>
      <c r="L10" s="233">
        <v>0.25</v>
      </c>
      <c r="M10" s="233">
        <v>0.25</v>
      </c>
      <c r="N10" s="233">
        <v>0.25</v>
      </c>
      <c r="O10" s="233">
        <v>0.25</v>
      </c>
      <c r="P10" s="233">
        <v>0.25</v>
      </c>
      <c r="Q10" s="233">
        <v>0.25</v>
      </c>
      <c r="R10" s="233">
        <v>0.25</v>
      </c>
      <c r="S10" s="233">
        <v>0.25</v>
      </c>
      <c r="T10" s="233">
        <v>0.25</v>
      </c>
      <c r="U10" s="233">
        <v>0.25</v>
      </c>
    </row>
    <row r="11" spans="1:22" x14ac:dyDescent="0.35">
      <c r="A11" s="24" t="s">
        <v>1202</v>
      </c>
      <c r="B11" s="233">
        <v>0</v>
      </c>
      <c r="C11" s="233">
        <v>0.5</v>
      </c>
      <c r="D11" s="233">
        <v>0.5</v>
      </c>
      <c r="E11" s="233">
        <v>0.25</v>
      </c>
      <c r="F11" s="233">
        <v>0.25</v>
      </c>
      <c r="G11" s="233">
        <v>0.25</v>
      </c>
      <c r="H11" s="233">
        <v>0.25</v>
      </c>
      <c r="I11" s="233">
        <v>0.25</v>
      </c>
      <c r="J11" s="233">
        <v>0.25</v>
      </c>
      <c r="K11" s="233">
        <v>0.25</v>
      </c>
      <c r="L11" s="233">
        <v>0.25</v>
      </c>
      <c r="M11" s="233">
        <v>0.25</v>
      </c>
      <c r="N11" s="233">
        <v>0.25</v>
      </c>
      <c r="O11" s="233">
        <v>0.25</v>
      </c>
      <c r="P11" s="233">
        <v>0.25</v>
      </c>
      <c r="Q11" s="233">
        <v>0.25</v>
      </c>
      <c r="R11" s="233">
        <v>0.25</v>
      </c>
      <c r="S11" s="233">
        <v>0.25</v>
      </c>
      <c r="T11" s="233">
        <v>0.25</v>
      </c>
      <c r="U11" s="233">
        <v>0.25</v>
      </c>
    </row>
    <row r="12" spans="1:22" ht="14.15" customHeight="1" x14ac:dyDescent="0.35">
      <c r="A12" s="24" t="s">
        <v>1203</v>
      </c>
      <c r="B12" s="233">
        <v>1</v>
      </c>
      <c r="C12" s="233"/>
      <c r="D12" s="233"/>
      <c r="E12" s="233"/>
      <c r="F12" s="233"/>
      <c r="G12" s="233"/>
      <c r="H12" s="233"/>
      <c r="I12" s="233"/>
      <c r="J12" s="233"/>
      <c r="K12" s="233"/>
      <c r="L12" s="233"/>
      <c r="M12" s="233"/>
      <c r="N12" s="233"/>
      <c r="O12" s="233"/>
      <c r="P12" s="233"/>
      <c r="Q12" s="233"/>
      <c r="R12" s="233"/>
      <c r="S12" s="233"/>
      <c r="T12" s="233"/>
      <c r="U12" s="233"/>
    </row>
    <row r="13" spans="1:22" x14ac:dyDescent="0.35">
      <c r="A13" s="24" t="s">
        <v>1204</v>
      </c>
      <c r="B13" s="233">
        <v>0</v>
      </c>
      <c r="C13" s="233">
        <v>0.4</v>
      </c>
      <c r="D13" s="233">
        <v>0.6</v>
      </c>
      <c r="E13" s="233">
        <v>0.4</v>
      </c>
      <c r="F13" s="233">
        <v>0.3</v>
      </c>
      <c r="G13" s="233">
        <v>0.2</v>
      </c>
      <c r="H13" s="233">
        <v>0.1</v>
      </c>
      <c r="I13" s="233">
        <v>0.25</v>
      </c>
      <c r="J13" s="233">
        <v>0.25</v>
      </c>
      <c r="K13" s="233">
        <v>0.25</v>
      </c>
      <c r="L13" s="233">
        <v>0.25</v>
      </c>
      <c r="M13" s="233">
        <v>0.25</v>
      </c>
      <c r="N13" s="233">
        <v>0.25</v>
      </c>
      <c r="O13" s="233">
        <v>0.25</v>
      </c>
      <c r="P13" s="233">
        <v>0.25</v>
      </c>
      <c r="Q13" s="233">
        <v>0.25</v>
      </c>
      <c r="R13" s="233">
        <v>0.25</v>
      </c>
      <c r="S13" s="233">
        <v>0.25</v>
      </c>
      <c r="T13" s="233">
        <v>0.25</v>
      </c>
      <c r="U13" s="233">
        <v>0.25</v>
      </c>
    </row>
    <row r="14" spans="1:22" x14ac:dyDescent="0.35">
      <c r="A14" s="24"/>
      <c r="B14" s="233"/>
      <c r="C14" s="233"/>
      <c r="D14" s="233"/>
      <c r="E14" s="233"/>
      <c r="F14" s="233"/>
      <c r="G14" s="233"/>
      <c r="H14" s="233"/>
      <c r="I14" s="233"/>
      <c r="J14" s="233"/>
      <c r="K14" s="233"/>
      <c r="L14" s="233"/>
      <c r="M14" s="233"/>
      <c r="N14" s="233"/>
      <c r="O14" s="233"/>
      <c r="P14" s="233"/>
      <c r="Q14" s="233"/>
      <c r="R14" s="233"/>
      <c r="S14" s="233"/>
      <c r="T14" s="233"/>
      <c r="U14" s="233"/>
    </row>
    <row r="15" spans="1:22" ht="26" x14ac:dyDescent="0.35">
      <c r="A15" s="271" t="s">
        <v>1205</v>
      </c>
      <c r="B15" s="233">
        <v>1</v>
      </c>
      <c r="C15" s="233">
        <v>2</v>
      </c>
      <c r="D15" s="233">
        <v>3</v>
      </c>
      <c r="E15" s="233">
        <v>4</v>
      </c>
      <c r="F15" s="233">
        <v>5</v>
      </c>
      <c r="G15" s="233">
        <v>6</v>
      </c>
      <c r="H15" s="233">
        <v>7</v>
      </c>
      <c r="I15" s="233">
        <v>8</v>
      </c>
      <c r="J15" s="233">
        <v>9</v>
      </c>
      <c r="K15" s="233">
        <v>10</v>
      </c>
      <c r="L15" s="233">
        <v>11</v>
      </c>
      <c r="M15" s="233">
        <v>12</v>
      </c>
      <c r="N15" s="233">
        <v>13</v>
      </c>
      <c r="O15" s="233">
        <v>14</v>
      </c>
      <c r="P15" s="233">
        <v>15</v>
      </c>
      <c r="Q15" s="233">
        <v>16</v>
      </c>
      <c r="R15" s="233">
        <v>17</v>
      </c>
      <c r="S15" s="233">
        <v>18</v>
      </c>
      <c r="T15" s="233">
        <v>19</v>
      </c>
      <c r="U15" s="233">
        <v>20</v>
      </c>
    </row>
    <row r="16" spans="1:22" x14ac:dyDescent="0.35">
      <c r="A16" s="24" t="s">
        <v>1206</v>
      </c>
      <c r="B16" s="233">
        <v>7.0000000000000007E-2</v>
      </c>
      <c r="C16" s="233">
        <v>7.0000000000000007E-2</v>
      </c>
      <c r="D16" s="233">
        <v>4.9000000000000002E-2</v>
      </c>
      <c r="E16" s="233">
        <v>4.9000000000000002E-2</v>
      </c>
      <c r="F16" s="233">
        <v>4.9000000000000002E-2</v>
      </c>
      <c r="G16" s="233">
        <v>4.9000000000000002E-2</v>
      </c>
      <c r="H16" s="233">
        <v>4.9000000000000002E-2</v>
      </c>
      <c r="I16" s="233">
        <v>4.9000000000000002E-2</v>
      </c>
      <c r="J16" s="233">
        <v>4.9000000000000002E-2</v>
      </c>
      <c r="K16" s="233">
        <v>4.9000000000000002E-2</v>
      </c>
      <c r="L16" s="233">
        <v>4.9000000000000002E-2</v>
      </c>
      <c r="M16" s="233">
        <v>4.9000000000000002E-2</v>
      </c>
      <c r="N16" s="233">
        <f t="shared" ref="N16:T16" si="1">0.0475</f>
        <v>4.7500000000000001E-2</v>
      </c>
      <c r="O16" s="233">
        <f t="shared" si="1"/>
        <v>4.7500000000000001E-2</v>
      </c>
      <c r="P16" s="233">
        <f t="shared" si="1"/>
        <v>4.7500000000000001E-2</v>
      </c>
      <c r="Q16" s="233">
        <f t="shared" si="1"/>
        <v>4.7500000000000001E-2</v>
      </c>
      <c r="R16" s="233">
        <f t="shared" si="1"/>
        <v>4.7500000000000001E-2</v>
      </c>
      <c r="S16" s="233">
        <f t="shared" si="1"/>
        <v>4.7500000000000001E-2</v>
      </c>
      <c r="T16" s="233">
        <f t="shared" si="1"/>
        <v>4.7500000000000001E-2</v>
      </c>
      <c r="U16" s="233">
        <f>0.0375</f>
        <v>3.7499999999999999E-2</v>
      </c>
      <c r="V16" s="233">
        <f>SUM(B16:U16)</f>
        <v>0.99999999999999989</v>
      </c>
    </row>
    <row r="17" spans="1:23" ht="26" x14ac:dyDescent="0.35">
      <c r="A17" s="24" t="s">
        <v>1207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33">
        <f>SUM(B17:U17)</f>
        <v>0.94000000000000006</v>
      </c>
      <c r="W17" t="s">
        <v>1208</v>
      </c>
    </row>
    <row r="19" spans="1:23" x14ac:dyDescent="0.35">
      <c r="B19" s="682">
        <f>'Federal and State Purchases'!M29</f>
        <v>1.5312550207230657E-2</v>
      </c>
      <c r="C19" s="682">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C22" sqref="C22:N22"/>
    </sheetView>
  </sheetViews>
  <sheetFormatPr defaultColWidth="10.81640625" defaultRowHeight="14.5" x14ac:dyDescent="0.35"/>
  <cols>
    <col min="1" max="1" width="15.453125" style="45" customWidth="1"/>
    <col min="2" max="2" width="32.54296875" style="45" bestFit="1" customWidth="1"/>
    <col min="3" max="16384" width="10.81640625" style="45"/>
  </cols>
  <sheetData>
    <row r="1" spans="1:23" x14ac:dyDescent="0.35">
      <c r="A1" s="45" t="s">
        <v>1209</v>
      </c>
      <c r="B1" s="45" t="s">
        <v>1119</v>
      </c>
      <c r="C1" s="240">
        <v>2021</v>
      </c>
      <c r="D1" s="240">
        <f>C1</f>
        <v>2021</v>
      </c>
      <c r="E1" s="240">
        <f>D1</f>
        <v>2021</v>
      </c>
      <c r="F1" s="240">
        <v>2022</v>
      </c>
      <c r="G1" s="240">
        <v>2022</v>
      </c>
      <c r="H1" s="240">
        <v>2022</v>
      </c>
      <c r="I1" s="240">
        <v>2022</v>
      </c>
      <c r="J1" s="240">
        <v>2023</v>
      </c>
      <c r="K1" s="240">
        <v>2023</v>
      </c>
      <c r="L1" s="240">
        <v>2023</v>
      </c>
      <c r="M1" s="240">
        <v>2023</v>
      </c>
      <c r="N1" s="240">
        <v>2024</v>
      </c>
      <c r="O1" s="240">
        <v>2024</v>
      </c>
      <c r="P1" s="240">
        <v>2024</v>
      </c>
      <c r="Q1" s="240">
        <v>2024</v>
      </c>
      <c r="R1" s="240">
        <v>2025</v>
      </c>
      <c r="S1" s="240">
        <v>2025</v>
      </c>
      <c r="T1" s="240">
        <v>2025</v>
      </c>
      <c r="U1" s="240">
        <v>2025</v>
      </c>
      <c r="V1" s="240">
        <v>2026</v>
      </c>
    </row>
    <row r="2" spans="1:23" x14ac:dyDescent="0.35">
      <c r="B2" s="45" t="s">
        <v>1210</v>
      </c>
      <c r="C2" s="221" t="s">
        <v>371</v>
      </c>
      <c r="D2" s="221" t="s">
        <v>372</v>
      </c>
      <c r="E2" s="221" t="s">
        <v>224</v>
      </c>
      <c r="F2" s="221" t="s">
        <v>225</v>
      </c>
      <c r="G2" s="221" t="s">
        <v>226</v>
      </c>
      <c r="H2" s="221" t="s">
        <v>227</v>
      </c>
      <c r="I2" s="221" t="s">
        <v>228</v>
      </c>
      <c r="J2" s="221" t="s">
        <v>229</v>
      </c>
      <c r="K2" s="221" t="s">
        <v>230</v>
      </c>
      <c r="L2" s="221" t="s">
        <v>231</v>
      </c>
      <c r="M2" s="221" t="s">
        <v>232</v>
      </c>
      <c r="N2" s="221" t="s">
        <v>233</v>
      </c>
      <c r="O2" s="221" t="s">
        <v>234</v>
      </c>
      <c r="P2" s="221" t="s">
        <v>235</v>
      </c>
      <c r="Q2" s="221" t="s">
        <v>219</v>
      </c>
      <c r="R2" s="221" t="s">
        <v>220</v>
      </c>
      <c r="S2" s="221" t="s">
        <v>221</v>
      </c>
      <c r="T2" s="221" t="s">
        <v>1211</v>
      </c>
      <c r="U2" s="221" t="s">
        <v>1212</v>
      </c>
      <c r="V2" s="221" t="s">
        <v>1213</v>
      </c>
    </row>
    <row r="3" spans="1:23" x14ac:dyDescent="0.35">
      <c r="A3" s="45">
        <v>3</v>
      </c>
      <c r="B3" s="45" t="s">
        <v>974</v>
      </c>
      <c r="C3" s="241">
        <f>4*'ARP Timing'!B6*VLOOKUP(C$1,'ARP Score'!$A$5:$M14,$A3)</f>
        <v>0</v>
      </c>
      <c r="D3" s="241">
        <f>4*'ARP Timing'!C6*VLOOKUP(D$1,'ARP Score'!$A$5:$M14,$A3)</f>
        <v>219.184</v>
      </c>
      <c r="E3" s="241">
        <f>4*'ARP Timing'!D6*VLOOKUP(E$1,'ARP Score'!$A$5:$M14,$A3)</f>
        <v>563.61599999999999</v>
      </c>
      <c r="F3" s="241">
        <f>4*'ARP Timing'!E6*VLOOKUP(F$1,'ARP Score'!$A$5:$M14,$A3)</f>
        <v>10.1</v>
      </c>
      <c r="G3" s="241">
        <f>4*'ARP Timing'!F6*VLOOKUP(G$1,'ARP Score'!$A$5:$M14,$A3)</f>
        <v>10.1</v>
      </c>
      <c r="H3" s="241">
        <f>4*'ARP Timing'!G6*VLOOKUP(H$1,'ARP Score'!$A$5:$M14,$A3)</f>
        <v>10.1</v>
      </c>
      <c r="I3" s="241">
        <f>4*'ARP Timing'!H6*VLOOKUP(I$1,'ARP Score'!$A$5:$M14,$A3)</f>
        <v>10.1</v>
      </c>
      <c r="J3" s="241">
        <f>4*'ARP Timing'!I6*VLOOKUP(J$1,'ARP Score'!$A$5:$M14,$A3)</f>
        <v>0</v>
      </c>
      <c r="K3" s="241">
        <f>4*'ARP Timing'!J6*VLOOKUP(K$1,'ARP Score'!$A$5:$M14,$A3)</f>
        <v>0</v>
      </c>
      <c r="L3" s="241">
        <f>4*'ARP Timing'!K6*VLOOKUP(L$1,'ARP Score'!$A$5:$M14,$A3)</f>
        <v>0</v>
      </c>
      <c r="M3" s="241">
        <f>4*'ARP Timing'!L6*VLOOKUP(M$1,'ARP Score'!$A$5:$M14,$A3)</f>
        <v>0</v>
      </c>
      <c r="N3" s="241">
        <f>4*'ARP Timing'!M6*VLOOKUP(N$1,'ARP Score'!$A$5:$M14,$A3)</f>
        <v>0</v>
      </c>
      <c r="O3" s="241">
        <f>4*'ARP Timing'!N6*VLOOKUP(O$1,'ARP Score'!$A$5:$M14,$A3)</f>
        <v>0</v>
      </c>
      <c r="P3" s="241">
        <f>4*'ARP Timing'!O6*VLOOKUP(P$1,'ARP Score'!$A$5:$M14,$A3)</f>
        <v>0</v>
      </c>
      <c r="Q3" s="241">
        <f>4*'ARP Timing'!P6*VLOOKUP(Q$1,'ARP Score'!$A$5:$M14,$A3)</f>
        <v>0</v>
      </c>
      <c r="R3" s="241">
        <f>4*'ARP Timing'!Q6*VLOOKUP(R$1,'ARP Score'!$A$5:$M14,$A3)</f>
        <v>0</v>
      </c>
      <c r="S3" s="241">
        <f>4*'ARP Timing'!R6*VLOOKUP(S$1,'ARP Score'!$A$5:$M14,$A3)</f>
        <v>0</v>
      </c>
      <c r="T3" s="241">
        <f>4*'ARP Timing'!S6*VLOOKUP(T$1,'ARP Score'!$A$5:$M14,$A3)</f>
        <v>0</v>
      </c>
      <c r="U3" s="241">
        <f>4*'ARP Timing'!T6*VLOOKUP(U$1,'ARP Score'!$A$5:$M14,$A3)</f>
        <v>0</v>
      </c>
      <c r="V3" s="241">
        <f>4*'ARP Timing'!U6*VLOOKUP(V$1,'ARP Score'!$A$5:$M14,$A3)</f>
        <v>0</v>
      </c>
      <c r="W3" s="241">
        <f>SUM(C3:U3)/4</f>
        <v>205.8</v>
      </c>
    </row>
    <row r="4" spans="1:23" x14ac:dyDescent="0.35">
      <c r="A4" s="45">
        <v>5</v>
      </c>
      <c r="B4" s="242" t="s">
        <v>1121</v>
      </c>
      <c r="C4" s="241">
        <f>4*'ARP Timing'!B7*VLOOKUP(C$1,'ARP Score'!$A$5:$M15,$A4)</f>
        <v>0</v>
      </c>
      <c r="D4" s="241">
        <f>4*'ARP Timing'!C7*VLOOKUP(D$1,'ARP Score'!$A$5:$M15,$A4)</f>
        <v>0</v>
      </c>
      <c r="E4" s="241">
        <f>4*'ARP Timing'!D7*VLOOKUP(E$1,'ARP Score'!$A$5:$M15,$A4)</f>
        <v>3.1040000000000418</v>
      </c>
      <c r="F4" s="241">
        <f>4*'ARP Timing'!E7*VLOOKUP(F$1,'ARP Score'!$A$5:$M15,$A4)</f>
        <v>19.719000000000005</v>
      </c>
      <c r="G4" s="241">
        <f>4*'ARP Timing'!F7*VLOOKUP(G$1,'ARP Score'!$A$5:$M15,$A4)</f>
        <v>19.719000000000005</v>
      </c>
      <c r="H4" s="241">
        <f>4*'ARP Timing'!G7*VLOOKUP(H$1,'ARP Score'!$A$5:$M15,$A4)</f>
        <v>19.719000000000005</v>
      </c>
      <c r="I4" s="241">
        <f>4*'ARP Timing'!H7*VLOOKUP(I$1,'ARP Score'!$A$5:$M15,$A4)</f>
        <v>19.719000000000005</v>
      </c>
      <c r="J4" s="241">
        <f>4*'ARP Timing'!I7*VLOOKUP(J$1,'ARP Score'!$A$5:$M15,$A4)</f>
        <v>1.4159999999999999</v>
      </c>
      <c r="K4" s="241">
        <f>4*'ARP Timing'!J7*VLOOKUP(K$1,'ARP Score'!$A$5:$M15,$A4)</f>
        <v>1.4159999999999999</v>
      </c>
      <c r="L4" s="241">
        <f>4*'ARP Timing'!K7*VLOOKUP(L$1,'ARP Score'!$A$5:$M15,$A4)</f>
        <v>1.4159999999999999</v>
      </c>
      <c r="M4" s="241">
        <f>4*'ARP Timing'!L7*VLOOKUP(M$1,'ARP Score'!$A$5:$M15,$A4)</f>
        <v>1.4159999999999999</v>
      </c>
      <c r="N4" s="241">
        <f>4*'ARP Timing'!M7*VLOOKUP(N$1,'ARP Score'!$A$5:$M15,$A4)</f>
        <v>1.4790000000000001</v>
      </c>
      <c r="O4" s="241">
        <f>4*'ARP Timing'!N7*VLOOKUP(O$1,'ARP Score'!$A$5:$M15,$A4)</f>
        <v>1.4790000000000001</v>
      </c>
      <c r="P4" s="241">
        <f>4*'ARP Timing'!O7*VLOOKUP(P$1,'ARP Score'!$A$5:$M15,$A4)</f>
        <v>1.4790000000000001</v>
      </c>
      <c r="Q4" s="241">
        <f>4*'ARP Timing'!P7*VLOOKUP(Q$1,'ARP Score'!$A$5:$M15,$A4)</f>
        <v>1.4790000000000001</v>
      </c>
      <c r="R4" s="241">
        <f>4*'ARP Timing'!Q7*VLOOKUP(R$1,'ARP Score'!$A$5:$M15,$A4)</f>
        <v>1.63</v>
      </c>
      <c r="S4" s="241">
        <f>4*'ARP Timing'!R7*VLOOKUP(S$1,'ARP Score'!$A$5:$M15,$A4)</f>
        <v>1.63</v>
      </c>
      <c r="T4" s="241">
        <f>4*'ARP Timing'!S7*VLOOKUP(T$1,'ARP Score'!$A$5:$M15,$A4)</f>
        <v>1.63</v>
      </c>
      <c r="U4" s="241">
        <f>4*'ARP Timing'!T7*VLOOKUP(U$1,'ARP Score'!$A$5:$M15,$A4)</f>
        <v>1.63</v>
      </c>
      <c r="V4" s="241">
        <f>4*'ARP Timing'!U7*VLOOKUP(V$1,'ARP Score'!$A$5:$M15,$A4)</f>
        <v>1.671</v>
      </c>
      <c r="W4" s="241">
        <f>SUM(C4:U4)/4</f>
        <v>25.020000000000007</v>
      </c>
    </row>
    <row r="5" spans="1:23" x14ac:dyDescent="0.35">
      <c r="A5" s="45">
        <v>6</v>
      </c>
      <c r="B5" s="242" t="s">
        <v>1122</v>
      </c>
      <c r="C5" s="241">
        <f>4*'ARP Timing'!B8*VLOOKUP(C$1,'ARP Score'!$A$5:$M16,$A5)</f>
        <v>0</v>
      </c>
      <c r="D5" s="241">
        <f>4*'ARP Timing'!C8*VLOOKUP(D$1,'ARP Score'!$A$5:$M16,$A5)</f>
        <v>53.448640000000026</v>
      </c>
      <c r="E5" s="241">
        <f>4*'ARP Timing'!D8*VLOOKUP(E$1,'ARP Score'!$A$5:$M16,$A5)</f>
        <v>137.43936000000005</v>
      </c>
      <c r="F5" s="241">
        <f>4*'ARP Timing'!E8*VLOOKUP(F$1,'ARP Score'!$A$5:$M16,$A5)</f>
        <v>52.756999999999998</v>
      </c>
      <c r="G5" s="241">
        <f>4*'ARP Timing'!F8*VLOOKUP(G$1,'ARP Score'!$A$5:$M16,$A5)</f>
        <v>52.756999999999998</v>
      </c>
      <c r="H5" s="241">
        <f>4*'ARP Timing'!G8*VLOOKUP(H$1,'ARP Score'!$A$5:$M16,$A5)</f>
        <v>52.756999999999998</v>
      </c>
      <c r="I5" s="241">
        <f>4*'ARP Timing'!H8*VLOOKUP(I$1,'ARP Score'!$A$5:$M16,$A5)</f>
        <v>52.756999999999998</v>
      </c>
      <c r="J5" s="241">
        <f>4*'ARP Timing'!I8*VLOOKUP(J$1,'ARP Score'!$A$5:$M16,$A5)</f>
        <v>12</v>
      </c>
      <c r="K5" s="241">
        <f>4*'ARP Timing'!J8*VLOOKUP(K$1,'ARP Score'!$A$5:$M16,$A5)</f>
        <v>12</v>
      </c>
      <c r="L5" s="241">
        <f>4*'ARP Timing'!K8*VLOOKUP(L$1,'ARP Score'!$A$5:$M16,$A5)</f>
        <v>12</v>
      </c>
      <c r="M5" s="241">
        <f>4*'ARP Timing'!L8*VLOOKUP(M$1,'ARP Score'!$A$5:$M16,$A5)</f>
        <v>12</v>
      </c>
      <c r="N5" s="241">
        <f>4*'ARP Timing'!M8*VLOOKUP(N$1,'ARP Score'!$A$5:$M16,$A5)</f>
        <v>4.2219999999999995</v>
      </c>
      <c r="O5" s="241">
        <f>4*'ARP Timing'!N8*VLOOKUP(O$1,'ARP Score'!$A$5:$M16,$A5)</f>
        <v>4.2219999999999995</v>
      </c>
      <c r="P5" s="241">
        <f>4*'ARP Timing'!O8*VLOOKUP(P$1,'ARP Score'!$A$5:$M16,$A5)</f>
        <v>4.2219999999999995</v>
      </c>
      <c r="Q5" s="241">
        <f>4*'ARP Timing'!P8*VLOOKUP(Q$1,'ARP Score'!$A$5:$M16,$A5)</f>
        <v>4.2219999999999995</v>
      </c>
      <c r="R5" s="241">
        <f>4*'ARP Timing'!Q8*VLOOKUP(R$1,'ARP Score'!$A$5:$M16,$A5)</f>
        <v>2.3719999999999999</v>
      </c>
      <c r="S5" s="241">
        <f>4*'ARP Timing'!R8*VLOOKUP(S$1,'ARP Score'!$A$5:$M16,$A5)</f>
        <v>2.3719999999999999</v>
      </c>
      <c r="T5" s="241">
        <f>4*'ARP Timing'!S8*VLOOKUP(T$1,'ARP Score'!$A$5:$M16,$A5)</f>
        <v>2.3719999999999999</v>
      </c>
      <c r="U5" s="241">
        <f>4*'ARP Timing'!T8*VLOOKUP(U$1,'ARP Score'!$A$5:$M16,$A5)</f>
        <v>2.3719999999999999</v>
      </c>
      <c r="V5" s="241">
        <f>4*'ARP Timing'!U8*VLOOKUP(V$1,'ARP Score'!$A$5:$M16,$A5)</f>
        <v>0.49</v>
      </c>
      <c r="W5" s="241">
        <f t="shared" ref="W5:W15" si="0">SUM(C5:U5)/4</f>
        <v>119.07300000000002</v>
      </c>
    </row>
    <row r="6" spans="1:23" x14ac:dyDescent="0.35">
      <c r="A6" s="45">
        <v>7</v>
      </c>
      <c r="B6" s="242" t="s">
        <v>1214</v>
      </c>
      <c r="C6" s="241">
        <f>4*'ARP Timing'!B9*VLOOKUP(C$1,'ARP Score'!$A$5:$M17,$A6)</f>
        <v>0</v>
      </c>
      <c r="D6" s="241">
        <f>4*'ARP Timing'!C9*VLOOKUP(D$1,'ARP Score'!$A$5:$M17,$A6)</f>
        <v>58.782959999999989</v>
      </c>
      <c r="E6" s="241">
        <f>4*'ARP Timing'!D9*VLOOKUP(E$1,'ARP Score'!$A$5:$M17,$A6)</f>
        <v>267.78904</v>
      </c>
      <c r="F6" s="241">
        <f>4*'ARP Timing'!E9*VLOOKUP(F$1,'ARP Score'!$A$5:$M17,$A6)</f>
        <v>110.24799999999999</v>
      </c>
      <c r="G6" s="241">
        <f>4*'ARP Timing'!F9*VLOOKUP(G$1,'ARP Score'!$A$5:$M17,$A6)</f>
        <v>110.24799999999999</v>
      </c>
      <c r="H6" s="241">
        <f>4*'ARP Timing'!G9*VLOOKUP(H$1,'ARP Score'!$A$5:$M17,$A6)</f>
        <v>110.24799999999999</v>
      </c>
      <c r="I6" s="241">
        <f>4*'ARP Timing'!H9*VLOOKUP(I$1,'ARP Score'!$A$5:$M17,$A6)</f>
        <v>110.24799999999999</v>
      </c>
      <c r="J6" s="241">
        <f>4*'ARP Timing'!I9*VLOOKUP(J$1,'ARP Score'!$A$5:$M17,$A6)</f>
        <v>12.726000000000001</v>
      </c>
      <c r="K6" s="241">
        <f>4*'ARP Timing'!J9*VLOOKUP(K$1,'ARP Score'!$A$5:$M17,$A6)</f>
        <v>12.726000000000001</v>
      </c>
      <c r="L6" s="241">
        <f>4*'ARP Timing'!K9*VLOOKUP(L$1,'ARP Score'!$A$5:$M17,$A6)</f>
        <v>12.726000000000001</v>
      </c>
      <c r="M6" s="241">
        <f>4*'ARP Timing'!L9*VLOOKUP(M$1,'ARP Score'!$A$5:$M17,$A6)</f>
        <v>12.726000000000001</v>
      </c>
      <c r="N6" s="241">
        <f>4*'ARP Timing'!M9*VLOOKUP(N$1,'ARP Score'!$A$5:$M17,$A6)</f>
        <v>1.365</v>
      </c>
      <c r="O6" s="241">
        <f>4*'ARP Timing'!N9*VLOOKUP(O$1,'ARP Score'!$A$5:$M17,$A6)</f>
        <v>1.365</v>
      </c>
      <c r="P6" s="241">
        <f>4*'ARP Timing'!O9*VLOOKUP(P$1,'ARP Score'!$A$5:$M17,$A6)</f>
        <v>1.365</v>
      </c>
      <c r="Q6" s="241">
        <f>4*'ARP Timing'!P9*VLOOKUP(Q$1,'ARP Score'!$A$5:$M17,$A6)</f>
        <v>1.365</v>
      </c>
      <c r="R6" s="241">
        <f>4*'ARP Timing'!Q9*VLOOKUP(R$1,'ARP Score'!$A$5:$M17,$A6)</f>
        <v>-0.90100000000000025</v>
      </c>
      <c r="S6" s="241">
        <f>4*'ARP Timing'!R9*VLOOKUP(S$1,'ARP Score'!$A$5:$M17,$A6)</f>
        <v>-0.90100000000000025</v>
      </c>
      <c r="T6" s="241">
        <f>4*'ARP Timing'!S9*VLOOKUP(T$1,'ARP Score'!$A$5:$M17,$A6)</f>
        <v>-0.90100000000000025</v>
      </c>
      <c r="U6" s="241">
        <f>4*'ARP Timing'!T9*VLOOKUP(U$1,'ARP Score'!$A$5:$M17,$A6)</f>
        <v>-0.90100000000000025</v>
      </c>
      <c r="V6" s="241">
        <f>4*'ARP Timing'!U9*VLOOKUP(V$1,'ARP Score'!$A$5:$M17,$A6)</f>
        <v>-2.1500000000000004</v>
      </c>
      <c r="W6" s="241">
        <f t="shared" si="0"/>
        <v>205.08100000000007</v>
      </c>
    </row>
    <row r="7" spans="1:23" x14ac:dyDescent="0.35">
      <c r="A7" s="45">
        <v>8</v>
      </c>
      <c r="B7" s="242" t="s">
        <v>174</v>
      </c>
      <c r="C7" s="241">
        <f>4*'ARP Timing'!B10*VLOOKUP(C$1,'ARP Score'!$A$5:$M18,$A7)</f>
        <v>0</v>
      </c>
      <c r="D7" s="241">
        <f>4*'ARP Timing'!C10*VLOOKUP(D$1,'ARP Score'!$A$5:$M18,$A7)</f>
        <v>15.596</v>
      </c>
      <c r="E7" s="241">
        <f>4*'ARP Timing'!D10*VLOOKUP(E$1,'ARP Score'!$A$5:$M18,$A7)</f>
        <v>15.596</v>
      </c>
      <c r="F7" s="241">
        <f>4*'ARP Timing'!E10*VLOOKUP(F$1,'ARP Score'!$A$5:$M18,$A7)</f>
        <v>7.9489999999999998</v>
      </c>
      <c r="G7" s="241">
        <f>4*'ARP Timing'!F10*VLOOKUP(G$1,'ARP Score'!$A$5:$M18,$A7)</f>
        <v>7.9489999999999998</v>
      </c>
      <c r="H7" s="241">
        <f>4*'ARP Timing'!G10*VLOOKUP(H$1,'ARP Score'!$A$5:$M18,$A7)</f>
        <v>7.9489999999999998</v>
      </c>
      <c r="I7" s="241">
        <f>4*'ARP Timing'!H10*VLOOKUP(I$1,'ARP Score'!$A$5:$M18,$A7)</f>
        <v>7.9489999999999998</v>
      </c>
      <c r="J7" s="241">
        <f>4*'ARP Timing'!I10*VLOOKUP(J$1,'ARP Score'!$A$5:$M18,$A7)</f>
        <v>4.7519999999999998</v>
      </c>
      <c r="K7" s="241">
        <f>4*'ARP Timing'!J10*VLOOKUP(K$1,'ARP Score'!$A$5:$M18,$A7)</f>
        <v>4.7519999999999998</v>
      </c>
      <c r="L7" s="241">
        <f>4*'ARP Timing'!K10*VLOOKUP(L$1,'ARP Score'!$A$5:$M18,$A7)</f>
        <v>4.7519999999999998</v>
      </c>
      <c r="M7" s="241">
        <f>4*'ARP Timing'!L10*VLOOKUP(M$1,'ARP Score'!$A$5:$M18,$A7)</f>
        <v>4.7519999999999998</v>
      </c>
      <c r="N7" s="241">
        <f>4*'ARP Timing'!M10*VLOOKUP(N$1,'ARP Score'!$A$5:$M18,$A7)</f>
        <v>4.637999999999999</v>
      </c>
      <c r="O7" s="241">
        <f>4*'ARP Timing'!N10*VLOOKUP(O$1,'ARP Score'!$A$5:$M18,$A7)</f>
        <v>4.637999999999999</v>
      </c>
      <c r="P7" s="241">
        <f>4*'ARP Timing'!O10*VLOOKUP(P$1,'ARP Score'!$A$5:$M18,$A7)</f>
        <v>4.637999999999999</v>
      </c>
      <c r="Q7" s="241">
        <f>4*'ARP Timing'!P10*VLOOKUP(Q$1,'ARP Score'!$A$5:$M18,$A7)</f>
        <v>4.637999999999999</v>
      </c>
      <c r="R7" s="241">
        <f>4*'ARP Timing'!Q10*VLOOKUP(R$1,'ARP Score'!$A$5:$M18,$A7)</f>
        <v>1.8800000000000001</v>
      </c>
      <c r="S7" s="241">
        <f>4*'ARP Timing'!R10*VLOOKUP(S$1,'ARP Score'!$A$5:$M18,$A7)</f>
        <v>1.8800000000000001</v>
      </c>
      <c r="T7" s="241">
        <f>4*'ARP Timing'!S10*VLOOKUP(T$1,'ARP Score'!$A$5:$M18,$A7)</f>
        <v>1.8800000000000001</v>
      </c>
      <c r="U7" s="241">
        <f>4*'ARP Timing'!T10*VLOOKUP(U$1,'ARP Score'!$A$5:$M18,$A7)</f>
        <v>1.8800000000000001</v>
      </c>
      <c r="V7" s="241">
        <f>4*'ARP Timing'!U10*VLOOKUP(V$1,'ARP Score'!$A$5:$M18,$A7)</f>
        <v>1.446</v>
      </c>
      <c r="W7" s="241">
        <f t="shared" si="0"/>
        <v>27.016999999999996</v>
      </c>
    </row>
    <row r="8" spans="1:23" x14ac:dyDescent="0.35">
      <c r="A8" s="45">
        <v>9</v>
      </c>
      <c r="B8" s="245" t="s">
        <v>480</v>
      </c>
      <c r="C8" s="241">
        <f>4*'ARP Timing'!B$11*VLOOKUP(C$1,'ARP Score'!$A$5:$M19,$A8)</f>
        <v>0</v>
      </c>
      <c r="D8" s="241">
        <f>0.6*SUM('ARP Score'!B5:B7)*4</f>
        <v>989.16719999999987</v>
      </c>
      <c r="E8" s="240">
        <v>0</v>
      </c>
      <c r="F8" s="241">
        <v>0</v>
      </c>
      <c r="G8" s="241">
        <v>0</v>
      </c>
      <c r="H8" s="241">
        <f>D8*0.4/0.6</f>
        <v>659.44479999999999</v>
      </c>
      <c r="I8" s="241">
        <v>0</v>
      </c>
      <c r="J8" s="45">
        <v>0</v>
      </c>
      <c r="K8" s="241">
        <v>0</v>
      </c>
      <c r="L8" s="241">
        <v>0</v>
      </c>
      <c r="M8" s="241">
        <v>0</v>
      </c>
      <c r="N8" s="241">
        <v>0</v>
      </c>
      <c r="O8" s="241">
        <v>0</v>
      </c>
      <c r="P8" s="241">
        <v>0</v>
      </c>
      <c r="Q8" s="241">
        <v>0</v>
      </c>
      <c r="R8" s="241">
        <v>0</v>
      </c>
      <c r="S8" s="241">
        <v>0</v>
      </c>
      <c r="T8" s="241">
        <v>0</v>
      </c>
      <c r="U8" s="241">
        <v>0</v>
      </c>
      <c r="V8" s="241">
        <v>0</v>
      </c>
      <c r="W8" s="241">
        <f t="shared" si="0"/>
        <v>412.15299999999996</v>
      </c>
    </row>
    <row r="9" spans="1:23" x14ac:dyDescent="0.35">
      <c r="A9" s="45">
        <v>10</v>
      </c>
      <c r="B9" s="245" t="s">
        <v>193</v>
      </c>
      <c r="C9" s="241">
        <f>4*'ARP Timing'!B$11*VLOOKUP(C$1,'ARP Score'!$A$5:$M20,$A9)</f>
        <v>0</v>
      </c>
      <c r="D9" s="241">
        <f>4*'ARP Timing'!C$11*VLOOKUP(D$1,'ARP Score'!$A$5:$M20,$A9)</f>
        <v>24.693999999999999</v>
      </c>
      <c r="E9" s="241">
        <f>4*'ARP Timing'!D$11*VLOOKUP(E$1,'ARP Score'!$A$5:$M20,$A9)</f>
        <v>24.693999999999999</v>
      </c>
      <c r="F9" s="241">
        <f>4*'ARP Timing'!E$11*VLOOKUP(F$1,'ARP Score'!$A$5:$M20,$A9)</f>
        <v>46.79</v>
      </c>
      <c r="G9" s="241">
        <f>4*'ARP Timing'!F$11*VLOOKUP(G$1,'ARP Score'!$A$5:$M20,$A9)</f>
        <v>46.79</v>
      </c>
      <c r="H9" s="241">
        <f>4*'ARP Timing'!G$11*VLOOKUP(H$1,'ARP Score'!$A$5:$M20,$A9)</f>
        <v>46.79</v>
      </c>
      <c r="I9" s="241">
        <f>4*'ARP Timing'!H$11*VLOOKUP(I$1,'ARP Score'!$A$5:$M20,$A9)</f>
        <v>46.79</v>
      </c>
      <c r="J9" s="241">
        <f>4*'ARP Timing'!I$11*VLOOKUP(J$1,'ARP Score'!$A$5:$M20,$A9)</f>
        <v>38.595999999999997</v>
      </c>
      <c r="K9" s="241">
        <f>4*'ARP Timing'!J$11*VLOOKUP(K$1,'ARP Score'!$A$5:$M20,$A9)</f>
        <v>38.595999999999997</v>
      </c>
      <c r="L9" s="241">
        <f>4*'ARP Timing'!K$11*VLOOKUP(L$1,'ARP Score'!$A$5:$M20,$A9)</f>
        <v>38.595999999999997</v>
      </c>
      <c r="M9" s="241">
        <f>4*'ARP Timing'!L$11*VLOOKUP(M$1,'ARP Score'!$A$5:$M20,$A9)</f>
        <v>38.595999999999997</v>
      </c>
      <c r="N9" s="241">
        <f>4*'ARP Timing'!M$11*VLOOKUP(N$1,'ARP Score'!$A$5:$M20,$A9)</f>
        <v>31.911000000000001</v>
      </c>
      <c r="O9" s="241">
        <f>4*'ARP Timing'!N$11*VLOOKUP(O$1,'ARP Score'!$A$5:$M20,$A9)</f>
        <v>31.911000000000001</v>
      </c>
      <c r="P9" s="241">
        <f>4*'ARP Timing'!O$11*VLOOKUP(P$1,'ARP Score'!$A$5:$M20,$A9)</f>
        <v>31.911000000000001</v>
      </c>
      <c r="Q9" s="241">
        <f>4*'ARP Timing'!P$11*VLOOKUP(Q$1,'ARP Score'!$A$5:$M20,$A9)</f>
        <v>31.911000000000001</v>
      </c>
      <c r="R9" s="241">
        <f>4*'ARP Timing'!Q$11*VLOOKUP(R$1,'ARP Score'!$A$5:$M20,$A9)</f>
        <v>23.099</v>
      </c>
      <c r="S9" s="241">
        <f>4*'ARP Timing'!R$11*VLOOKUP(S$1,'ARP Score'!$A$5:$M20,$A9)</f>
        <v>23.099</v>
      </c>
      <c r="T9" s="241">
        <f>4*'ARP Timing'!S$11*VLOOKUP(T$1,'ARP Score'!$A$5:$M20,$A9)</f>
        <v>23.099</v>
      </c>
      <c r="U9" s="241">
        <f>4*'ARP Timing'!T$11*VLOOKUP(U$1,'ARP Score'!$A$5:$M20,$A9)</f>
        <v>23.099</v>
      </c>
      <c r="V9" s="241">
        <f>4*'ARP Timing'!U$11*VLOOKUP(V$1,'ARP Score'!$A$5:$M20,$A9)</f>
        <v>10.766999999999999</v>
      </c>
      <c r="W9" s="241">
        <f t="shared" si="0"/>
        <v>152.74300000000005</v>
      </c>
    </row>
    <row r="10" spans="1:23" x14ac:dyDescent="0.35">
      <c r="A10" s="412">
        <v>11</v>
      </c>
      <c r="B10" s="245" t="s">
        <v>496</v>
      </c>
      <c r="C10" s="241">
        <f>4*'ARP Timing'!B$11*VLOOKUP(C$1,'ARP Score'!$A$5:$M22,$A10)</f>
        <v>0</v>
      </c>
      <c r="D10" s="241">
        <f>4*'ARP Timing'!C$11*VLOOKUP(D$1,'ARP Score'!$A$5:$M22,$A10)</f>
        <v>59.256</v>
      </c>
      <c r="E10" s="241">
        <f>4*'ARP Timing'!D$11*VLOOKUP(E$1,'ARP Score'!$A$5:$M22,$A10)</f>
        <v>59.256</v>
      </c>
      <c r="F10" s="241">
        <f>4*'ARP Timing'!E$11*VLOOKUP(F$1,'ARP Score'!$A$5:$M22,$A10)</f>
        <v>35.671000000000006</v>
      </c>
      <c r="G10" s="241">
        <f>4*'ARP Timing'!F$11*VLOOKUP(G$1,'ARP Score'!$A$5:$M22,$A10)</f>
        <v>35.671000000000006</v>
      </c>
      <c r="H10" s="241">
        <f>4*'ARP Timing'!G$11*VLOOKUP(H$1,'ARP Score'!$A$5:$M22,$A10)</f>
        <v>35.671000000000006</v>
      </c>
      <c r="I10" s="241">
        <f>4*'ARP Timing'!H$11*VLOOKUP(I$1,'ARP Score'!$A$5:$M22,$A10)</f>
        <v>35.671000000000006</v>
      </c>
      <c r="J10" s="241">
        <f>4*'ARP Timing'!I$11*VLOOKUP(J$1,'ARP Score'!$A$5:$M22,$A10)</f>
        <v>24.216000000000001</v>
      </c>
      <c r="K10" s="241">
        <f>4*'ARP Timing'!J$11*VLOOKUP(K$1,'ARP Score'!$A$5:$M22,$A10)</f>
        <v>24.216000000000001</v>
      </c>
      <c r="L10" s="241">
        <f>4*'ARP Timing'!K$11*VLOOKUP(L$1,'ARP Score'!$A$5:$M22,$A10)</f>
        <v>24.216000000000001</v>
      </c>
      <c r="M10" s="241">
        <f>4*'ARP Timing'!L$11*VLOOKUP(M$1,'ARP Score'!$A$5:$M22,$A10)</f>
        <v>24.216000000000001</v>
      </c>
      <c r="N10" s="241">
        <f>4*'ARP Timing'!M$11*VLOOKUP(N$1,'ARP Score'!$A$5:$M22,$A10)</f>
        <v>9.6430000000000007</v>
      </c>
      <c r="O10" s="241">
        <f>4*'ARP Timing'!N$11*VLOOKUP(O$1,'ARP Score'!$A$5:$M22,$A10)</f>
        <v>9.6430000000000007</v>
      </c>
      <c r="P10" s="241">
        <f>4*'ARP Timing'!O$11*VLOOKUP(P$1,'ARP Score'!$A$5:$M22,$A10)</f>
        <v>9.6430000000000007</v>
      </c>
      <c r="Q10" s="241">
        <f>4*'ARP Timing'!P$11*VLOOKUP(Q$1,'ARP Score'!$A$5:$M22,$A10)</f>
        <v>9.6430000000000007</v>
      </c>
      <c r="R10" s="241">
        <f>4*'ARP Timing'!Q$11*VLOOKUP(R$1,'ARP Score'!$A$5:$M22,$A10)</f>
        <v>4.5789999999999997</v>
      </c>
      <c r="S10" s="241">
        <f>4*'ARP Timing'!R$11*VLOOKUP(S$1,'ARP Score'!$A$5:$M22,$A10)</f>
        <v>4.5789999999999997</v>
      </c>
      <c r="T10" s="241">
        <f>4*'ARP Timing'!S$11*VLOOKUP(T$1,'ARP Score'!$A$5:$M22,$A10)</f>
        <v>4.5789999999999997</v>
      </c>
      <c r="U10" s="241">
        <f>4*'ARP Timing'!T$11*VLOOKUP(U$1,'ARP Score'!$A$5:$M22,$A10)</f>
        <v>4.5789999999999997</v>
      </c>
      <c r="V10" s="241">
        <f>4*'ARP Timing'!U$11*VLOOKUP(V$1,'ARP Score'!$A$5:$M22,$A10)</f>
        <v>2.9130000000000003</v>
      </c>
      <c r="W10" s="241">
        <f t="shared" si="0"/>
        <v>103.73700000000002</v>
      </c>
    </row>
    <row r="11" spans="1:23" x14ac:dyDescent="0.35">
      <c r="A11" s="45">
        <v>12</v>
      </c>
      <c r="B11" s="1" t="s">
        <v>202</v>
      </c>
      <c r="C11" s="241">
        <f>4*'ARP Timing'!B12*VLOOKUP(C$1,'ARP Score'!$A$5:$M20,$A11)</f>
        <v>103</v>
      </c>
      <c r="D11" s="241">
        <f>4*'ARP Timing'!C12*VLOOKUP(D$1,'ARP Score'!$A$5:$M20,$A11)</f>
        <v>0</v>
      </c>
      <c r="E11" s="241">
        <f>4*'ARP Timing'!D12*VLOOKUP(E$1,'ARP Score'!$A$5:$M20,$A11)</f>
        <v>0</v>
      </c>
      <c r="F11" s="241">
        <f>4*'ARP Timing'!E12*VLOOKUP(F$1,'ARP Score'!$A$5:$M20,$A11)</f>
        <v>0</v>
      </c>
      <c r="G11" s="241">
        <f>4*'ARP Timing'!F12*VLOOKUP(G$1,'ARP Score'!$A$5:$M20,$A11)</f>
        <v>0</v>
      </c>
      <c r="H11" s="241">
        <f>4*'ARP Timing'!G12*VLOOKUP(H$1,'ARP Score'!$A$5:$M20,$A11)</f>
        <v>0</v>
      </c>
      <c r="I11" s="241">
        <f>4*'ARP Timing'!H12*VLOOKUP(I$1,'ARP Score'!$A$5:$M20,$A11)</f>
        <v>0</v>
      </c>
      <c r="J11" s="241">
        <f>4*'ARP Timing'!I12*VLOOKUP(J$1,'ARP Score'!$A$5:$M20,$A11)</f>
        <v>0</v>
      </c>
      <c r="K11" s="241">
        <f>4*'ARP Timing'!J12*VLOOKUP(K$1,'ARP Score'!$A$5:$M20,$A11)</f>
        <v>0</v>
      </c>
      <c r="L11" s="241">
        <f>4*'ARP Timing'!K12*VLOOKUP(L$1,'ARP Score'!$A$5:$M20,$A11)</f>
        <v>0</v>
      </c>
      <c r="M11" s="241">
        <f>4*'ARP Timing'!L12*VLOOKUP(M$1,'ARP Score'!$A$5:$M20,$A11)</f>
        <v>0</v>
      </c>
      <c r="N11" s="241">
        <f>4*'ARP Timing'!M12*VLOOKUP(N$1,'ARP Score'!$A$5:$M20,$A11)</f>
        <v>0</v>
      </c>
      <c r="O11" s="241">
        <f>4*'ARP Timing'!N12*VLOOKUP(O$1,'ARP Score'!$A$5:$M20,$A11)</f>
        <v>0</v>
      </c>
      <c r="P11" s="241">
        <f>4*'ARP Timing'!O12*VLOOKUP(P$1,'ARP Score'!$A$5:$M20,$A11)</f>
        <v>0</v>
      </c>
      <c r="Q11" s="241">
        <f>4*'ARP Timing'!P12*VLOOKUP(Q$1,'ARP Score'!$A$5:$M20,$A11)</f>
        <v>0</v>
      </c>
      <c r="R11" s="241">
        <f>4*'ARP Timing'!Q12*VLOOKUP(R$1,'ARP Score'!$A$5:$M20,$A11)</f>
        <v>0</v>
      </c>
      <c r="S11" s="241">
        <f>4*'ARP Timing'!R12*VLOOKUP(S$1,'ARP Score'!$A$5:$M20,$A11)</f>
        <v>0</v>
      </c>
      <c r="T11" s="241">
        <f>4*'ARP Timing'!S12*VLOOKUP(T$1,'ARP Score'!$A$5:$M20,$A11)</f>
        <v>0</v>
      </c>
      <c r="U11" s="241">
        <f>4*'ARP Timing'!T12*VLOOKUP(U$1,'ARP Score'!$A$5:$M20,$A11)</f>
        <v>0</v>
      </c>
      <c r="V11" s="241">
        <f>4*'ARP Timing'!U12*VLOOKUP(V$1,'ARP Score'!$A$5:$M20,$A11)</f>
        <v>0</v>
      </c>
      <c r="W11" s="241">
        <f t="shared" si="0"/>
        <v>25.75</v>
      </c>
    </row>
    <row r="12" spans="1:23" x14ac:dyDescent="0.35">
      <c r="A12" s="45">
        <v>13</v>
      </c>
      <c r="B12" s="242" t="s">
        <v>152</v>
      </c>
      <c r="C12" s="241">
        <f>4*'ARP Timing'!B13*VLOOKUP(C$1,'ARP Score'!$A$5:$M21,$A12)</f>
        <v>0</v>
      </c>
      <c r="D12" s="241">
        <f>4*'ARP Timing'!C13*VLOOKUP(D$1,'ARP Score'!$A$5:$M21,$A12)</f>
        <v>51.102400000000003</v>
      </c>
      <c r="E12" s="241">
        <f>4*'ARP Timing'!D13*VLOOKUP(E$1,'ARP Score'!$A$5:$M21,$A12)</f>
        <v>76.653599999999997</v>
      </c>
      <c r="F12" s="241">
        <f>4*'ARP Timing'!E13*VLOOKUP(F$1,'ARP Score'!$A$5:$M21,$A12)</f>
        <v>90.260800000000003</v>
      </c>
      <c r="G12" s="241">
        <f>4*'ARP Timing'!F13*VLOOKUP(G$1,'ARP Score'!$A$5:$M21,$A12)</f>
        <v>67.695599999999999</v>
      </c>
      <c r="H12" s="241">
        <f>4*'ARP Timing'!G13*VLOOKUP(H$1,'ARP Score'!$A$5:$M21,$A12)</f>
        <v>45.130400000000002</v>
      </c>
      <c r="I12" s="241">
        <f>4*'ARP Timing'!H13*VLOOKUP(I$1,'ARP Score'!$A$5:$M21,$A12)</f>
        <v>22.565200000000001</v>
      </c>
      <c r="J12" s="241">
        <f>4*'ARP Timing'!I13*VLOOKUP(J$1,'ARP Score'!$A$5:$M21,$A12)</f>
        <v>15.652999999999999</v>
      </c>
      <c r="K12" s="241">
        <f>4*'ARP Timing'!J13*VLOOKUP(K$1,'ARP Score'!$A$5:$M21,$A12)</f>
        <v>15.652999999999999</v>
      </c>
      <c r="L12" s="241">
        <f>4*'ARP Timing'!K13*VLOOKUP(L$1,'ARP Score'!$A$5:$M21,$A12)</f>
        <v>15.652999999999999</v>
      </c>
      <c r="M12" s="241">
        <f>4*'ARP Timing'!L13*VLOOKUP(M$1,'ARP Score'!$A$5:$M21,$A12)</f>
        <v>15.652999999999999</v>
      </c>
      <c r="N12" s="241">
        <f>4*'ARP Timing'!M13*VLOOKUP(N$1,'ARP Score'!$A$5:$M21,$A12)</f>
        <v>3.9320000000000004</v>
      </c>
      <c r="O12" s="241">
        <f>4*'ARP Timing'!N13*VLOOKUP(O$1,'ARP Score'!$A$5:$M21,$A12)</f>
        <v>3.9320000000000004</v>
      </c>
      <c r="P12" s="241">
        <f>4*'ARP Timing'!O13*VLOOKUP(P$1,'ARP Score'!$A$5:$M21,$A12)</f>
        <v>3.9320000000000004</v>
      </c>
      <c r="Q12" s="241">
        <f>4*'ARP Timing'!P13*VLOOKUP(Q$1,'ARP Score'!$A$5:$M21,$A12)</f>
        <v>3.9320000000000004</v>
      </c>
      <c r="R12" s="241">
        <f>4*'ARP Timing'!Q13*VLOOKUP(R$1,'ARP Score'!$A$5:$M21,$A12)</f>
        <v>-0.74299999999999988</v>
      </c>
      <c r="S12" s="241">
        <f>4*'ARP Timing'!R13*VLOOKUP(S$1,'ARP Score'!$A$5:$M21,$A12)</f>
        <v>-0.74299999999999988</v>
      </c>
      <c r="T12" s="241">
        <f>4*'ARP Timing'!S13*VLOOKUP(T$1,'ARP Score'!$A$5:$M21,$A12)</f>
        <v>-0.74299999999999988</v>
      </c>
      <c r="U12" s="241">
        <f>4*'ARP Timing'!T13*VLOOKUP(U$1,'ARP Score'!$A$5:$M21,$A12)</f>
        <v>-0.74299999999999988</v>
      </c>
      <c r="V12" s="241">
        <f>4*'ARP Timing'!U13*VLOOKUP(V$1,'ARP Score'!$A$5:$M21,$A12)</f>
        <v>-21.606000000000002</v>
      </c>
      <c r="W12" s="241">
        <f t="shared" si="0"/>
        <v>107.19400000000005</v>
      </c>
    </row>
    <row r="13" spans="1:23" x14ac:dyDescent="0.35">
      <c r="A13" s="45">
        <v>15</v>
      </c>
      <c r="B13" s="45" t="s">
        <v>1215</v>
      </c>
      <c r="C13" s="241">
        <f>0.3*'ARP Score'!$N5*4*'ARP Timing'!B6</f>
        <v>0</v>
      </c>
      <c r="D13" s="241">
        <f>0.3*'ARP Score'!$N5*4*'ARP Timing'!C6</f>
        <v>1.1424000000000001</v>
      </c>
      <c r="E13" s="241">
        <f>0.3*'ARP Score'!$N5*4*'ARP Timing'!D6</f>
        <v>2.9375999999999998</v>
      </c>
      <c r="F13" s="241">
        <f>0.3*'ARP Score'!$N6*4*'ARP Timing'!E6</f>
        <v>1.5299999999999998</v>
      </c>
      <c r="G13" s="241">
        <f>0.3*'ARP Score'!$N6*4*'ARP Timing'!F6</f>
        <v>1.5299999999999998</v>
      </c>
      <c r="H13" s="241">
        <f>0.3*'ARP Score'!$N6*4*'ARP Timing'!G6</f>
        <v>1.5299999999999998</v>
      </c>
      <c r="I13" s="241">
        <f>0.3*'ARP Score'!$N6*4*'ARP Timing'!H6</f>
        <v>1.5299999999999998</v>
      </c>
      <c r="J13" s="241">
        <f>0.3*'ARP Score'!$N7*4*'ARP Timing'!I6</f>
        <v>0</v>
      </c>
      <c r="K13" s="241">
        <f>0.3*'ARP Score'!$N7*4*'ARP Timing'!J6</f>
        <v>0</v>
      </c>
      <c r="L13" s="241">
        <f>0.3*'ARP Score'!$N7*4*'ARP Timing'!K6</f>
        <v>0</v>
      </c>
      <c r="M13" s="241">
        <f>0.3*'ARP Score'!$N7*4*'ARP Timing'!L6</f>
        <v>0</v>
      </c>
      <c r="N13" s="241">
        <f>0.3*'ARP Score'!$N7*4*'ARP Timing'!M6</f>
        <v>0</v>
      </c>
      <c r="O13" s="241">
        <f>0.3*'ARP Score'!$N7*4*'ARP Timing'!N6</f>
        <v>0</v>
      </c>
      <c r="P13" s="241">
        <f>0.3*'ARP Score'!$N7*4*'ARP Timing'!O6</f>
        <v>0</v>
      </c>
      <c r="Q13" s="241">
        <f>0.3*'ARP Score'!$N7*4*'ARP Timing'!P6</f>
        <v>0</v>
      </c>
      <c r="R13" s="241">
        <f>0.3*'ARP Score'!$N7*4*'ARP Timing'!Q6</f>
        <v>0</v>
      </c>
      <c r="S13" s="241">
        <f>0.3*'ARP Score'!$N7*4*'ARP Timing'!R6</f>
        <v>0</v>
      </c>
      <c r="T13" s="241">
        <f>0.3*'ARP Score'!$N7*4*'ARP Timing'!S6</f>
        <v>0</v>
      </c>
      <c r="U13" s="241">
        <f>0.3*'ARP Score'!$N7*4*'ARP Timing'!T6</f>
        <v>0</v>
      </c>
      <c r="V13" s="241">
        <f>0.3*'ARP Score'!$N7*4*'ARP Timing'!U6</f>
        <v>0</v>
      </c>
      <c r="W13" s="241">
        <f t="shared" si="0"/>
        <v>2.5499999999999994</v>
      </c>
    </row>
    <row r="14" spans="1:23" x14ac:dyDescent="0.35">
      <c r="A14" s="45">
        <v>14</v>
      </c>
      <c r="B14" s="45" t="s">
        <v>1216</v>
      </c>
      <c r="C14" s="241">
        <f>C13/0.3*0.2</f>
        <v>0</v>
      </c>
      <c r="D14" s="241">
        <f t="shared" ref="D14:F14" si="1">D13/0.3*0.2</f>
        <v>0.76160000000000005</v>
      </c>
      <c r="E14" s="241">
        <f t="shared" si="1"/>
        <v>1.9584000000000001</v>
      </c>
      <c r="F14" s="241">
        <f t="shared" si="1"/>
        <v>1.02</v>
      </c>
      <c r="G14" s="241">
        <f t="shared" ref="G14" si="2">G13/0.3*0.2</f>
        <v>1.02</v>
      </c>
      <c r="H14" s="241">
        <f t="shared" ref="H14" si="3">H13/0.3*0.2</f>
        <v>1.02</v>
      </c>
      <c r="I14" s="241">
        <f t="shared" ref="I14" si="4">I13/0.3*0.2</f>
        <v>1.02</v>
      </c>
      <c r="J14" s="241">
        <f t="shared" ref="J14" si="5">J13/0.3*0.2</f>
        <v>0</v>
      </c>
      <c r="K14" s="241">
        <f t="shared" ref="K14" si="6">K13/0.3*0.2</f>
        <v>0</v>
      </c>
      <c r="L14" s="241">
        <f t="shared" ref="L14" si="7">L13/0.3*0.2</f>
        <v>0</v>
      </c>
      <c r="M14" s="241">
        <f t="shared" ref="M14" si="8">M13/0.3*0.2</f>
        <v>0</v>
      </c>
      <c r="N14" s="241">
        <f t="shared" ref="N14" si="9">N13/0.3*0.2</f>
        <v>0</v>
      </c>
      <c r="O14" s="241">
        <f t="shared" ref="O14" si="10">O13/0.3*0.2</f>
        <v>0</v>
      </c>
      <c r="P14" s="241">
        <f t="shared" ref="P14" si="11">P13/0.3*0.2</f>
        <v>0</v>
      </c>
      <c r="Q14" s="241">
        <f t="shared" ref="Q14" si="12">Q13/0.3*0.2</f>
        <v>0</v>
      </c>
      <c r="R14" s="241">
        <f t="shared" ref="R14" si="13">R13/0.3*0.2</f>
        <v>0</v>
      </c>
      <c r="S14" s="241">
        <f t="shared" ref="S14" si="14">S13/0.3*0.2</f>
        <v>0</v>
      </c>
      <c r="T14" s="241">
        <f t="shared" ref="T14" si="15">T13/0.3*0.2</f>
        <v>0</v>
      </c>
      <c r="U14" s="241">
        <f t="shared" ref="U14" si="16">U13/0.3*0.2</f>
        <v>0</v>
      </c>
      <c r="V14" s="241">
        <f t="shared" ref="V14" si="17">V13/0.3*0.2</f>
        <v>0</v>
      </c>
      <c r="W14" s="241">
        <f t="shared" si="0"/>
        <v>1.6999999999999997</v>
      </c>
    </row>
    <row r="15" spans="1:23" x14ac:dyDescent="0.35">
      <c r="A15" s="45">
        <v>14</v>
      </c>
      <c r="B15" s="45" t="s">
        <v>645</v>
      </c>
      <c r="C15" s="241">
        <f>C14/0.2*0.5</f>
        <v>0</v>
      </c>
      <c r="D15" s="241">
        <f t="shared" ref="D15:F15" si="18">D14/0.2*0.5</f>
        <v>1.9040000000000001</v>
      </c>
      <c r="E15" s="241">
        <f t="shared" si="18"/>
        <v>4.8959999999999999</v>
      </c>
      <c r="F15" s="241">
        <f t="shared" si="18"/>
        <v>2.5499999999999998</v>
      </c>
      <c r="G15" s="241">
        <f t="shared" ref="G15" si="19">G14/0.2*0.5</f>
        <v>2.5499999999999998</v>
      </c>
      <c r="H15" s="241">
        <f t="shared" ref="H15" si="20">H14/0.2*0.5</f>
        <v>2.5499999999999998</v>
      </c>
      <c r="I15" s="241">
        <f t="shared" ref="I15" si="21">I14/0.2*0.5</f>
        <v>2.5499999999999998</v>
      </c>
      <c r="J15" s="241">
        <f t="shared" ref="J15" si="22">J14/0.2*0.5</f>
        <v>0</v>
      </c>
      <c r="K15" s="241">
        <f t="shared" ref="K15" si="23">K14/0.2*0.5</f>
        <v>0</v>
      </c>
      <c r="L15" s="241">
        <f t="shared" ref="L15" si="24">L14/0.2*0.5</f>
        <v>0</v>
      </c>
      <c r="M15" s="241">
        <f t="shared" ref="M15" si="25">M14/0.2*0.5</f>
        <v>0</v>
      </c>
      <c r="N15" s="241">
        <f t="shared" ref="N15" si="26">N14/0.2*0.5</f>
        <v>0</v>
      </c>
      <c r="O15" s="241">
        <f t="shared" ref="O15" si="27">O14/0.2*0.5</f>
        <v>0</v>
      </c>
      <c r="P15" s="241">
        <f t="shared" ref="P15" si="28">P14/0.2*0.5</f>
        <v>0</v>
      </c>
      <c r="Q15" s="241">
        <f t="shared" ref="Q15" si="29">Q14/0.2*0.5</f>
        <v>0</v>
      </c>
      <c r="R15" s="241">
        <f t="shared" ref="R15" si="30">R14/0.2*0.5</f>
        <v>0</v>
      </c>
      <c r="S15" s="241">
        <f t="shared" ref="S15" si="31">S14/0.2*0.5</f>
        <v>0</v>
      </c>
      <c r="T15" s="241">
        <f t="shared" ref="T15" si="32">T14/0.2*0.5</f>
        <v>0</v>
      </c>
      <c r="U15" s="241">
        <f t="shared" ref="U15" si="33">U14/0.2*0.5</f>
        <v>0</v>
      </c>
      <c r="V15" s="241">
        <f t="shared" ref="V15" si="34">V14/0.2*0.5</f>
        <v>0</v>
      </c>
      <c r="W15" s="241">
        <f t="shared" si="0"/>
        <v>4.25</v>
      </c>
    </row>
    <row r="16" spans="1:23" x14ac:dyDescent="0.35">
      <c r="C16" s="241"/>
      <c r="D16" s="241"/>
      <c r="E16" s="241"/>
      <c r="F16" s="241"/>
      <c r="G16" s="241"/>
      <c r="H16" s="241"/>
      <c r="I16" s="241"/>
      <c r="J16" s="241"/>
      <c r="K16" s="241"/>
      <c r="L16" s="241"/>
      <c r="M16" s="241"/>
      <c r="N16" s="241"/>
      <c r="O16" s="241"/>
      <c r="P16" s="241"/>
      <c r="Q16" s="241"/>
      <c r="R16" s="241"/>
      <c r="S16" s="241"/>
      <c r="T16" s="241"/>
      <c r="U16" s="241"/>
      <c r="V16" s="241"/>
      <c r="W16" s="241"/>
    </row>
    <row r="17" spans="1:23" x14ac:dyDescent="0.35">
      <c r="A17" s="45" t="s">
        <v>1217</v>
      </c>
      <c r="C17" s="241"/>
      <c r="D17" s="241"/>
      <c r="E17" s="241"/>
      <c r="F17" s="241"/>
      <c r="G17" s="241"/>
      <c r="H17" s="241"/>
      <c r="I17" s="241"/>
      <c r="J17" s="241"/>
      <c r="K17" s="241"/>
      <c r="L17" s="241"/>
      <c r="M17" s="241"/>
      <c r="N17" s="241"/>
      <c r="O17" s="241"/>
      <c r="P17" s="241"/>
      <c r="Q17" s="241"/>
      <c r="R17" s="241"/>
      <c r="S17" s="241"/>
      <c r="T17" s="241"/>
      <c r="U17" s="241"/>
      <c r="V17" s="241"/>
      <c r="W17" s="241"/>
    </row>
    <row r="18" spans="1:23" x14ac:dyDescent="0.35">
      <c r="B18" s="144" t="s">
        <v>186</v>
      </c>
      <c r="C18" s="241">
        <f>'ARP Score'!$BG5/'ARP Score'!$G5*C6</f>
        <v>0</v>
      </c>
      <c r="D18" s="241">
        <f>'ARP Score'!$BG5/'ARP Score'!$G5*D6</f>
        <v>2.2132800000000001</v>
      </c>
      <c r="E18" s="241">
        <f>'ARP Score'!$BG5/'ARP Score'!$G5*E6</f>
        <v>10.082720000000002</v>
      </c>
      <c r="F18" s="241">
        <f>'ARP Score'!$BG6/'ARP Score'!$G6*F6</f>
        <v>7.1439999999999992</v>
      </c>
      <c r="G18" s="241">
        <f>'ARP Score'!$BG6/'ARP Score'!$G6*G6</f>
        <v>7.1439999999999992</v>
      </c>
      <c r="H18" s="241">
        <f>'ARP Score'!$BG6/'ARP Score'!$G6*H6</f>
        <v>7.1439999999999992</v>
      </c>
      <c r="I18" s="241">
        <f>'ARP Score'!$BG6/'ARP Score'!$G6*I6</f>
        <v>7.1439999999999992</v>
      </c>
      <c r="J18" s="241">
        <f>'ARP Score'!$BG7/'ARP Score'!$G7*J6</f>
        <v>0</v>
      </c>
      <c r="K18" s="241">
        <f>'ARP Score'!$BG7/'ARP Score'!$G7*K6</f>
        <v>0</v>
      </c>
      <c r="L18" s="241">
        <f>'ARP Score'!$BG7/'ARP Score'!$G7*L6</f>
        <v>0</v>
      </c>
      <c r="M18" s="241">
        <f>'ARP Score'!$BG7/'ARP Score'!$G7*M6</f>
        <v>0</v>
      </c>
      <c r="N18" s="241"/>
      <c r="O18" s="241"/>
      <c r="P18" s="241"/>
      <c r="Q18" s="241"/>
      <c r="R18" s="241"/>
      <c r="S18" s="241"/>
      <c r="T18" s="241"/>
      <c r="U18" s="241"/>
      <c r="V18" s="241"/>
      <c r="W18" s="241"/>
    </row>
    <row r="19" spans="1:23" x14ac:dyDescent="0.35">
      <c r="B19" s="144" t="s">
        <v>1218</v>
      </c>
      <c r="C19" s="241">
        <f>'ARP Score'!$BI5/'ARP Score'!$G5*C6</f>
        <v>0</v>
      </c>
      <c r="D19" s="241">
        <f>'ARP Score'!$BI5/'ARP Score'!$G5*D6</f>
        <v>15.128640000000001</v>
      </c>
      <c r="E19" s="241">
        <f>'ARP Score'!$BI5/'ARP Score'!$G5*E6</f>
        <v>68.919360000000012</v>
      </c>
      <c r="F19" s="241">
        <f>'ARP Score'!$BI6/'ARP Score'!$G6*F6</f>
        <v>5.6120000000000001</v>
      </c>
      <c r="G19" s="241">
        <f>'ARP Score'!$BI6/'ARP Score'!$G6*G6</f>
        <v>5.6120000000000001</v>
      </c>
      <c r="H19" s="241">
        <f>'ARP Score'!$BI6/'ARP Score'!$G6*H6</f>
        <v>5.6120000000000001</v>
      </c>
      <c r="I19" s="241">
        <f>'ARP Score'!$BI6/'ARP Score'!$G6*I6</f>
        <v>5.6120000000000001</v>
      </c>
      <c r="J19" s="241">
        <f>'ARP Score'!$B7/'ARP Score'!$G7*J6</f>
        <v>0.48599999999999993</v>
      </c>
      <c r="K19" s="241">
        <f>'ARP Score'!$B7/'ARP Score'!$G7*K6</f>
        <v>0.48599999999999993</v>
      </c>
      <c r="L19" s="241">
        <f>'ARP Score'!$B7/'ARP Score'!$G7*L6</f>
        <v>0.48599999999999993</v>
      </c>
      <c r="M19" s="241">
        <f>'ARP Score'!$B7/'ARP Score'!$G7*M6</f>
        <v>0.48599999999999993</v>
      </c>
      <c r="N19" s="241">
        <f>'ARP Score'!$B8/'ARP Score'!$G8*N6</f>
        <v>0</v>
      </c>
      <c r="O19" s="241"/>
      <c r="P19" s="241"/>
      <c r="Q19" s="241"/>
      <c r="R19" s="241"/>
      <c r="S19" s="241"/>
      <c r="T19" s="241"/>
      <c r="U19" s="241"/>
      <c r="V19" s="241"/>
      <c r="W19" s="241"/>
    </row>
    <row r="20" spans="1:23" x14ac:dyDescent="0.35">
      <c r="B20" s="144" t="s">
        <v>191</v>
      </c>
      <c r="C20" s="241">
        <f>'ARP Score'!$BF5/'ARP Score'!$G5*C6</f>
        <v>0</v>
      </c>
      <c r="D20" s="241">
        <f>'ARP Score'!$BF5/'ARP Score'!$G5*D6</f>
        <v>3.2479199999999997</v>
      </c>
      <c r="E20" s="241">
        <f>'ARP Score'!$BF5/'ARP Score'!$G5*E6</f>
        <v>14.796080000000002</v>
      </c>
      <c r="F20" s="241">
        <f>'ARP Score'!$BF6/'ARP Score'!$G6*F6</f>
        <v>1.7329999999999999</v>
      </c>
      <c r="G20" s="241">
        <f>'ARP Score'!$BF6/'ARP Score'!$G6*G6</f>
        <v>1.7329999999999999</v>
      </c>
      <c r="H20" s="241">
        <f>'ARP Score'!$BF6/'ARP Score'!$G6*H6</f>
        <v>1.7329999999999999</v>
      </c>
      <c r="I20" s="241">
        <f>'ARP Score'!$BF6/'ARP Score'!$G6*I6</f>
        <v>1.7329999999999999</v>
      </c>
      <c r="J20" s="241">
        <f>'ARP Score'!$BF7/'ARP Score'!$G7*J6</f>
        <v>0</v>
      </c>
      <c r="K20" s="241">
        <f>'ARP Score'!$BF7/'ARP Score'!$G7*K6</f>
        <v>0</v>
      </c>
      <c r="L20" s="241">
        <f>'ARP Score'!$BF7/'ARP Score'!$G7*L6</f>
        <v>0</v>
      </c>
      <c r="M20" s="241">
        <f>'ARP Score'!$BF7/'ARP Score'!$G7*M6</f>
        <v>0</v>
      </c>
      <c r="N20" s="241"/>
      <c r="O20" s="241"/>
      <c r="P20" s="241"/>
      <c r="Q20" s="241"/>
      <c r="R20" s="241"/>
      <c r="S20" s="241"/>
      <c r="T20" s="241"/>
      <c r="U20" s="241"/>
      <c r="V20" s="241"/>
      <c r="W20" s="241"/>
    </row>
    <row r="21" spans="1:23" x14ac:dyDescent="0.35">
      <c r="B21" s="652" t="s">
        <v>569</v>
      </c>
      <c r="C21" s="241">
        <f>15/40*(C6*'ARP Score'!$BD5/'ARP Score'!$G5)</f>
        <v>0</v>
      </c>
      <c r="D21" s="241">
        <f>15/40*(D6*('ARP Score'!$BD5+'ARP Score'!$BE5)/'ARP Score'!$G5)</f>
        <v>13.2921</v>
      </c>
      <c r="E21" s="241">
        <f>15/40*(E6*('ARP Score'!$BD5+'ARP Score'!$BE5)/'ARP Score'!$G5)</f>
        <v>60.552900000000008</v>
      </c>
      <c r="F21" s="241">
        <f>15/40*(F6*('ARP Score'!$BD6+'ARP Score'!$BE6)/'ARP Score'!$G6)</f>
        <v>1.0687500000000001</v>
      </c>
      <c r="G21" s="241">
        <f>15/40*(G6*('ARP Score'!$BD6+'ARP Score'!$BE6)/'ARP Score'!$G6)</f>
        <v>1.0687500000000001</v>
      </c>
      <c r="H21" s="241">
        <f>15/40*(H6*('ARP Score'!$BD6+'ARP Score'!$BE6)/'ARP Score'!$G6)</f>
        <v>1.0687500000000001</v>
      </c>
      <c r="I21" s="241">
        <f>15/40*(I6*('ARP Score'!$BD6+'ARP Score'!$BE6)/'ARP Score'!$G6)</f>
        <v>1.0687500000000001</v>
      </c>
      <c r="J21" s="241">
        <f>15/40*(J6*('ARP Score'!$BD7+'ARP Score'!$BE7)/'ARP Score'!$G7)</f>
        <v>0.78750000000000009</v>
      </c>
      <c r="K21" s="241">
        <f>15/40*(K6*('ARP Score'!$BD7+'ARP Score'!$BE7)/'ARP Score'!$G7)</f>
        <v>0.78750000000000009</v>
      </c>
      <c r="L21" s="241">
        <f>15/40*(L6*('ARP Score'!$BD7+'ARP Score'!$BE7)/'ARP Score'!$G7)</f>
        <v>0.78750000000000009</v>
      </c>
      <c r="M21" s="241">
        <f>15/40*(M6*('ARP Score'!$BD7+'ARP Score'!$BE7)/'ARP Score'!$G7)</f>
        <v>0.78750000000000009</v>
      </c>
      <c r="N21" s="241"/>
      <c r="O21" s="241"/>
      <c r="P21" s="241"/>
      <c r="Q21" s="241"/>
      <c r="R21" s="241"/>
      <c r="S21" s="241"/>
      <c r="T21" s="241"/>
      <c r="U21" s="241"/>
      <c r="V21" s="241"/>
      <c r="W21" s="241"/>
    </row>
    <row r="22" spans="1:23" x14ac:dyDescent="0.35">
      <c r="B22" s="652" t="s">
        <v>1219</v>
      </c>
      <c r="C22" s="241"/>
      <c r="D22" s="241">
        <f>D21/15*25</f>
        <v>22.153499999999998</v>
      </c>
      <c r="E22" s="241">
        <f>E21/15*25</f>
        <v>100.92150000000002</v>
      </c>
      <c r="F22" s="241">
        <f>F21/15*25</f>
        <v>1.7812500000000002</v>
      </c>
      <c r="G22" s="241">
        <f>G21/15*25</f>
        <v>1.7812500000000002</v>
      </c>
      <c r="H22" s="241">
        <f t="shared" ref="G22:J22" si="35">H21/15*25</f>
        <v>1.7812500000000002</v>
      </c>
      <c r="I22" s="241">
        <f t="shared" si="35"/>
        <v>1.7812500000000002</v>
      </c>
      <c r="J22" s="241">
        <f t="shared" si="35"/>
        <v>1.3125000000000002</v>
      </c>
      <c r="K22" s="241">
        <f t="shared" ref="K22" si="36">K21/15*25</f>
        <v>1.3125000000000002</v>
      </c>
      <c r="L22" s="241">
        <f t="shared" ref="L22" si="37">L21/15*25</f>
        <v>1.3125000000000002</v>
      </c>
      <c r="M22" s="241">
        <f t="shared" ref="M22" si="38">M21/15*25</f>
        <v>1.3125000000000002</v>
      </c>
      <c r="N22" s="241"/>
      <c r="O22" s="241"/>
      <c r="P22" s="241"/>
      <c r="Q22" s="241"/>
      <c r="R22" s="241"/>
      <c r="S22" s="241"/>
      <c r="T22" s="241"/>
      <c r="U22" s="241"/>
      <c r="V22" s="241"/>
      <c r="W22" s="241"/>
    </row>
    <row r="23" spans="1:23" x14ac:dyDescent="0.35">
      <c r="B23" s="144" t="s">
        <v>581</v>
      </c>
      <c r="C23" s="241">
        <f>'ARP Score'!$BB5/'ARP Score'!$G5*C6</f>
        <v>0</v>
      </c>
      <c r="D23" s="241">
        <f>'ARP Score'!$BB5/'ARP Score'!$G5*D6</f>
        <v>2.9519999999999995</v>
      </c>
      <c r="E23" s="241">
        <f>'ARP Score'!$BB5/'ARP Score'!$G5*E6</f>
        <v>13.448</v>
      </c>
      <c r="F23" s="241">
        <f>'ARP Score'!$BB6/'ARP Score'!$G6*F6</f>
        <v>11.3</v>
      </c>
      <c r="G23" s="241">
        <f>'ARP Score'!$BB6/'ARP Score'!$G6*G6</f>
        <v>11.3</v>
      </c>
      <c r="H23" s="241">
        <f>'ARP Score'!$BB6/'ARP Score'!$G6*H6</f>
        <v>11.3</v>
      </c>
      <c r="I23" s="241">
        <f>'ARP Score'!$BB6/'ARP Score'!$G6*I6</f>
        <v>11.3</v>
      </c>
      <c r="J23" s="241">
        <f>'ARP Score'!$BB7/'ARP Score'!$G7*J6</f>
        <v>8.4</v>
      </c>
      <c r="K23" s="241">
        <f>'ARP Score'!$BB7/'ARP Score'!$G7*K6</f>
        <v>8.4</v>
      </c>
      <c r="L23" s="241">
        <f>'ARP Score'!$BB7/'ARP Score'!$G7*L6</f>
        <v>8.4</v>
      </c>
      <c r="M23" s="241">
        <f>'ARP Score'!$BB7/'ARP Score'!$G7*M6</f>
        <v>8.4</v>
      </c>
      <c r="N23" s="241">
        <f>'ARP Score'!$BB8/'ARP Score'!$G8*N6</f>
        <v>0.2</v>
      </c>
      <c r="O23" s="241">
        <f>'ARP Score'!$BB8/'ARP Score'!$G8*O6</f>
        <v>0.2</v>
      </c>
      <c r="P23" s="241">
        <f>'ARP Score'!$BB8/'ARP Score'!$G8*P6</f>
        <v>0.2</v>
      </c>
      <c r="Q23" s="241">
        <f>'ARP Score'!$BB8/'ARP Score'!$G8*Q6</f>
        <v>0.2</v>
      </c>
      <c r="R23" s="241"/>
      <c r="S23" s="241"/>
      <c r="T23" s="241"/>
      <c r="U23" s="241"/>
      <c r="V23" s="241"/>
      <c r="W23" s="241"/>
    </row>
    <row r="24" spans="1:23" x14ac:dyDescent="0.35">
      <c r="B24" s="144" t="s">
        <v>582</v>
      </c>
      <c r="C24" s="241">
        <f>'ARP Score'!$BH5/'ARP Score'!$G5*C6</f>
        <v>0</v>
      </c>
      <c r="D24" s="241">
        <f>'ARP Score'!$BH5/'ARP Score'!$G5*D6</f>
        <v>-0.20447999999999997</v>
      </c>
      <c r="E24" s="241">
        <f>'ARP Score'!$BH5/'ARP Score'!$G5*E6</f>
        <v>-0.93152000000000001</v>
      </c>
      <c r="F24" s="241">
        <f>'ARP Score'!$BH6/'ARP Score'!$G6*F6</f>
        <v>81.608999999999995</v>
      </c>
      <c r="G24" s="241">
        <f>'ARP Score'!$BH6/'ARP Score'!$G6*G6</f>
        <v>81.608999999999995</v>
      </c>
      <c r="H24" s="241">
        <f>'ARP Score'!$BH6/'ARP Score'!$G6*H6</f>
        <v>81.608999999999995</v>
      </c>
      <c r="I24" s="241">
        <f>'ARP Score'!$BH6/'ARP Score'!$G6*I6</f>
        <v>81.608999999999995</v>
      </c>
      <c r="J24" s="241">
        <f>'ARP Score'!$BH7/'ARP Score'!$G7*J6</f>
        <v>1.3759999999999999</v>
      </c>
      <c r="K24" s="241">
        <f>'ARP Score'!$BH7/'ARP Score'!$G7*K6</f>
        <v>1.3759999999999999</v>
      </c>
      <c r="L24" s="241">
        <f>'ARP Score'!$BH7/'ARP Score'!$G7*L6</f>
        <v>1.3759999999999999</v>
      </c>
      <c r="M24" s="241">
        <f>'ARP Score'!$BH7/'ARP Score'!$G7*M6</f>
        <v>1.3759999999999999</v>
      </c>
      <c r="N24" s="241">
        <f>'ARP Score'!$BH8/'ARP Score'!$G8*N6</f>
        <v>-0.87500000000000011</v>
      </c>
      <c r="O24" s="241">
        <f>'ARP Score'!$BH8/'ARP Score'!$G8*O6</f>
        <v>-0.87500000000000011</v>
      </c>
      <c r="P24" s="241">
        <f>'ARP Score'!$BH8/'ARP Score'!$G8*P6</f>
        <v>-0.87500000000000011</v>
      </c>
      <c r="Q24" s="241">
        <f>'ARP Score'!$BH8/'ARP Score'!$G8*Q6</f>
        <v>-0.87500000000000011</v>
      </c>
      <c r="R24" s="241"/>
      <c r="S24" s="241"/>
      <c r="T24" s="241"/>
      <c r="U24" s="241"/>
      <c r="V24" s="241"/>
      <c r="W24" s="241"/>
    </row>
    <row r="25" spans="1:23" x14ac:dyDescent="0.35">
      <c r="B25" s="144" t="s">
        <v>437</v>
      </c>
      <c r="C25" s="241">
        <f>SUM(C18:C24)</f>
        <v>0</v>
      </c>
      <c r="D25" s="241">
        <f t="shared" ref="D25:Q25" si="39">SUM(D18:D24)</f>
        <v>58.782959999999996</v>
      </c>
      <c r="E25" s="241">
        <f t="shared" si="39"/>
        <v>267.78904000000006</v>
      </c>
      <c r="F25" s="241">
        <f t="shared" si="39"/>
        <v>110.24799999999999</v>
      </c>
      <c r="G25" s="241">
        <f t="shared" si="39"/>
        <v>110.24799999999999</v>
      </c>
      <c r="H25" s="241">
        <f t="shared" si="39"/>
        <v>110.24799999999999</v>
      </c>
      <c r="I25" s="241">
        <f t="shared" si="39"/>
        <v>110.24799999999999</v>
      </c>
      <c r="J25" s="241">
        <f t="shared" si="39"/>
        <v>12.362</v>
      </c>
      <c r="K25" s="241">
        <f t="shared" si="39"/>
        <v>12.362</v>
      </c>
      <c r="L25" s="241">
        <f t="shared" si="39"/>
        <v>12.362</v>
      </c>
      <c r="M25" s="241">
        <f t="shared" si="39"/>
        <v>12.362</v>
      </c>
      <c r="N25" s="241">
        <f t="shared" si="39"/>
        <v>-0.67500000000000004</v>
      </c>
      <c r="O25" s="241">
        <f t="shared" si="39"/>
        <v>-0.67500000000000004</v>
      </c>
      <c r="P25" s="241">
        <f t="shared" si="39"/>
        <v>-0.67500000000000004</v>
      </c>
      <c r="Q25" s="241">
        <f t="shared" si="39"/>
        <v>-0.67500000000000004</v>
      </c>
      <c r="R25" s="241"/>
      <c r="S25" s="241"/>
      <c r="T25" s="241"/>
      <c r="U25" s="241"/>
      <c r="V25" s="241"/>
      <c r="W25" s="241"/>
    </row>
    <row r="26" spans="1:23" x14ac:dyDescent="0.35">
      <c r="D26" s="243">
        <f>D6-D25</f>
        <v>0</v>
      </c>
      <c r="E26" s="243">
        <f t="shared" ref="E26:M26" si="40">E6-E25</f>
        <v>0</v>
      </c>
      <c r="F26" s="243">
        <f t="shared" si="40"/>
        <v>0</v>
      </c>
      <c r="G26" s="243">
        <f t="shared" si="40"/>
        <v>0</v>
      </c>
      <c r="H26" s="243">
        <f t="shared" si="40"/>
        <v>0</v>
      </c>
      <c r="I26" s="243">
        <f t="shared" si="40"/>
        <v>0</v>
      </c>
      <c r="J26" s="243">
        <f t="shared" si="40"/>
        <v>0.36400000000000077</v>
      </c>
      <c r="K26" s="243">
        <f t="shared" si="40"/>
        <v>0.36400000000000077</v>
      </c>
      <c r="L26" s="243">
        <f t="shared" si="40"/>
        <v>0.36400000000000077</v>
      </c>
      <c r="M26" s="243">
        <f t="shared" si="40"/>
        <v>0.36400000000000077</v>
      </c>
    </row>
    <row r="27" spans="1:23" x14ac:dyDescent="0.35">
      <c r="B27" s="45" t="s">
        <v>1220</v>
      </c>
      <c r="D27" s="221" t="s">
        <v>372</v>
      </c>
      <c r="E27" s="221" t="s">
        <v>224</v>
      </c>
      <c r="F27" s="221" t="s">
        <v>225</v>
      </c>
      <c r="G27" s="221" t="s">
        <v>226</v>
      </c>
      <c r="H27" s="221" t="s">
        <v>227</v>
      </c>
      <c r="I27" s="221" t="s">
        <v>228</v>
      </c>
      <c r="J27" s="221" t="s">
        <v>229</v>
      </c>
      <c r="K27" s="221" t="s">
        <v>230</v>
      </c>
      <c r="L27" s="221" t="s">
        <v>231</v>
      </c>
      <c r="M27" s="221" t="s">
        <v>232</v>
      </c>
      <c r="N27" s="221" t="s">
        <v>233</v>
      </c>
      <c r="O27" s="221" t="s">
        <v>234</v>
      </c>
      <c r="P27" s="221" t="s">
        <v>235</v>
      </c>
      <c r="Q27" s="221" t="s">
        <v>219</v>
      </c>
      <c r="R27" s="221" t="s">
        <v>220</v>
      </c>
      <c r="S27" s="221" t="s">
        <v>221</v>
      </c>
      <c r="T27" s="221" t="s">
        <v>1211</v>
      </c>
      <c r="U27" s="221" t="s">
        <v>1212</v>
      </c>
      <c r="V27" s="221" t="s">
        <v>1213</v>
      </c>
    </row>
    <row r="28" spans="1:23" x14ac:dyDescent="0.35">
      <c r="B28" s="242"/>
      <c r="C28" s="243" t="s">
        <v>437</v>
      </c>
      <c r="D28" s="248">
        <f>SUM(D29:D43)</f>
        <v>5.8765000000000009</v>
      </c>
      <c r="E28" s="248">
        <f t="shared" ref="E28:V28" si="41">SUM(E29:E43)</f>
        <v>11.753000000000002</v>
      </c>
      <c r="F28" s="248">
        <f t="shared" si="41"/>
        <v>15.762320000000003</v>
      </c>
      <c r="G28" s="248">
        <f t="shared" si="41"/>
        <v>19.771640000000005</v>
      </c>
      <c r="H28" s="248">
        <f t="shared" si="41"/>
        <v>23.812229000000006</v>
      </c>
      <c r="I28" s="248">
        <f t="shared" si="41"/>
        <v>27.852818000000006</v>
      </c>
      <c r="J28" s="248">
        <f t="shared" si="41"/>
        <v>30.517977000000005</v>
      </c>
      <c r="K28" s="248">
        <f t="shared" si="41"/>
        <v>33.183136000000005</v>
      </c>
      <c r="L28" s="248">
        <f t="shared" si="41"/>
        <v>36.260924000000003</v>
      </c>
      <c r="M28" s="248">
        <f t="shared" si="41"/>
        <v>39.338711999999994</v>
      </c>
      <c r="N28" s="248">
        <f t="shared" si="41"/>
        <v>40.928439999999995</v>
      </c>
      <c r="O28" s="248">
        <f t="shared" si="41"/>
        <v>42.518167999999996</v>
      </c>
      <c r="P28" s="248">
        <f t="shared" si="41"/>
        <v>44.428388999999996</v>
      </c>
      <c r="Q28" s="248">
        <f t="shared" si="41"/>
        <v>46.338610000000003</v>
      </c>
      <c r="R28" s="248">
        <f t="shared" si="41"/>
        <v>47.279744500000007</v>
      </c>
      <c r="S28" s="248">
        <f t="shared" si="41"/>
        <v>46.283419000000009</v>
      </c>
      <c r="T28" s="248">
        <f t="shared" si="41"/>
        <v>45.578489500000011</v>
      </c>
      <c r="U28" s="248">
        <f t="shared" si="41"/>
        <v>45.454798000000011</v>
      </c>
      <c r="V28" s="248">
        <f t="shared" si="41"/>
        <v>45.360580000000013</v>
      </c>
    </row>
    <row r="29" spans="1:23" x14ac:dyDescent="0.35">
      <c r="A29" s="45">
        <v>2021</v>
      </c>
      <c r="B29" s="242" t="s">
        <v>1221</v>
      </c>
      <c r="C29" s="243"/>
      <c r="D29" s="45">
        <f>($D$9+$D$10)*'ARP Timing'!B$16</f>
        <v>5.8765000000000009</v>
      </c>
      <c r="E29" s="45">
        <f>($D$9+$D$10)*'ARP Timing'!C$16</f>
        <v>5.8765000000000009</v>
      </c>
      <c r="F29" s="45">
        <f>($D$9+$D$10)*'ARP Timing'!D$16</f>
        <v>4.11355</v>
      </c>
      <c r="G29" s="45">
        <f>($D$9+$D$10)*'ARP Timing'!E$16</f>
        <v>4.11355</v>
      </c>
      <c r="H29" s="45">
        <f>($D$9+$D$10)*'ARP Timing'!F$16</f>
        <v>4.11355</v>
      </c>
      <c r="I29" s="45">
        <f>($D$9+$D$10)*'ARP Timing'!G$16</f>
        <v>4.11355</v>
      </c>
      <c r="J29" s="45">
        <f>($D$9+$D$10)*'ARP Timing'!H$16</f>
        <v>4.11355</v>
      </c>
      <c r="K29" s="45">
        <f>($D$9+$D$10)*'ARP Timing'!I$16</f>
        <v>4.11355</v>
      </c>
      <c r="L29" s="45">
        <f>($D$9+$D$10)*'ARP Timing'!J$16</f>
        <v>4.11355</v>
      </c>
      <c r="M29" s="45">
        <f>($D$9+$D$10)*'ARP Timing'!K$16</f>
        <v>4.11355</v>
      </c>
      <c r="N29" s="45">
        <f>($D$9+$D$10)*'ARP Timing'!L$16</f>
        <v>4.11355</v>
      </c>
      <c r="O29" s="45">
        <f>($D$9+$D$10)*'ARP Timing'!M$16</f>
        <v>4.11355</v>
      </c>
      <c r="P29" s="45">
        <f>($D$9+$D$10)*'ARP Timing'!N$16</f>
        <v>3.987625</v>
      </c>
      <c r="Q29" s="45">
        <f>($D$9+$D$10)*'ARP Timing'!O$16</f>
        <v>3.987625</v>
      </c>
      <c r="R29" s="45">
        <f>($D$9+$D$10)*'ARP Timing'!P$16</f>
        <v>3.987625</v>
      </c>
      <c r="S29" s="45">
        <f>($D$9+$D$10)*'ARP Timing'!Q$16</f>
        <v>3.987625</v>
      </c>
      <c r="T29" s="45">
        <f>($D$9+$D$10)*'ARP Timing'!R$16</f>
        <v>3.987625</v>
      </c>
      <c r="U29" s="45">
        <f>($D$9+$D$10)*'ARP Timing'!S$16</f>
        <v>3.987625</v>
      </c>
      <c r="V29" s="45">
        <f>($D$9+$D$10)*'ARP Timing'!T$16</f>
        <v>3.987625</v>
      </c>
    </row>
    <row r="30" spans="1:23" x14ac:dyDescent="0.35">
      <c r="B30" s="242" t="s">
        <v>458</v>
      </c>
      <c r="C30" s="243"/>
      <c r="E30" s="45">
        <f>($E$9+$E$10)*'ARP Timing'!B$16</f>
        <v>5.8765000000000009</v>
      </c>
      <c r="F30" s="45">
        <f>($E$9+$E$10)*'ARP Timing'!C$16</f>
        <v>5.8765000000000009</v>
      </c>
      <c r="G30" s="45">
        <f>($E$9+$E$10)*'ARP Timing'!D$16</f>
        <v>4.11355</v>
      </c>
      <c r="H30" s="45">
        <f>($E$9+$E$10)*'ARP Timing'!E$16</f>
        <v>4.11355</v>
      </c>
      <c r="I30" s="45">
        <f>($E$9+$E$10)*'ARP Timing'!F$16</f>
        <v>4.11355</v>
      </c>
      <c r="J30" s="45">
        <f>($E$9+$E$10)*'ARP Timing'!G$16</f>
        <v>4.11355</v>
      </c>
      <c r="K30" s="45">
        <f>($E$9+$E$10)*'ARP Timing'!H$16</f>
        <v>4.11355</v>
      </c>
      <c r="L30" s="45">
        <f>($E$9+$E$10)*'ARP Timing'!I$16</f>
        <v>4.11355</v>
      </c>
      <c r="M30" s="45">
        <f>($E$9+$E$10)*'ARP Timing'!J$16</f>
        <v>4.11355</v>
      </c>
      <c r="N30" s="45">
        <f>($E$9+$E$10)*'ARP Timing'!K$16</f>
        <v>4.11355</v>
      </c>
      <c r="O30" s="45">
        <f>($E$9+$E$10)*'ARP Timing'!L$16</f>
        <v>4.11355</v>
      </c>
      <c r="P30" s="45">
        <f>($E$9+$E$10)*'ARP Timing'!M$16</f>
        <v>4.11355</v>
      </c>
      <c r="Q30" s="45">
        <f>($E$9+$E$10)*'ARP Timing'!N$16</f>
        <v>3.987625</v>
      </c>
      <c r="R30" s="45">
        <f>($E$9+$E$10)*'ARP Timing'!O$16</f>
        <v>3.987625</v>
      </c>
      <c r="S30" s="45">
        <f>($E$9+$E$10)*'ARP Timing'!P$16</f>
        <v>3.987625</v>
      </c>
      <c r="T30" s="45">
        <f>($E$9+$E$10)*'ARP Timing'!Q$16</f>
        <v>3.987625</v>
      </c>
      <c r="U30" s="45">
        <f>($E$9+$E$10)*'ARP Timing'!R$16</f>
        <v>3.987625</v>
      </c>
      <c r="V30" s="45">
        <f>($E$9+$E$10)*'ARP Timing'!S$16</f>
        <v>3.987625</v>
      </c>
    </row>
    <row r="31" spans="1:23" x14ac:dyDescent="0.35">
      <c r="B31" s="242" t="s">
        <v>1222</v>
      </c>
      <c r="C31" s="243"/>
      <c r="F31" s="45">
        <f>($F$9+$F$10)*'ARP Timing'!B$16</f>
        <v>5.7722700000000016</v>
      </c>
      <c r="G31" s="45">
        <f>($F$9+$F$10)*'ARP Timing'!C$16</f>
        <v>5.7722700000000016</v>
      </c>
      <c r="H31" s="45">
        <f>($F$9+$F$10)*'ARP Timing'!D$16</f>
        <v>4.0405890000000007</v>
      </c>
      <c r="I31" s="45">
        <f>($F$9+$F$10)*'ARP Timing'!E$16</f>
        <v>4.0405890000000007</v>
      </c>
      <c r="J31" s="45">
        <f>($F$9+$F$10)*'ARP Timing'!F$16</f>
        <v>4.0405890000000007</v>
      </c>
      <c r="K31" s="45">
        <f>($F$9+$F$10)*'ARP Timing'!G$16</f>
        <v>4.0405890000000007</v>
      </c>
      <c r="L31" s="45">
        <f>($F$9+$F$10)*'ARP Timing'!H$16</f>
        <v>4.0405890000000007</v>
      </c>
      <c r="M31" s="45">
        <f>($F$9+$F$10)*'ARP Timing'!I$16</f>
        <v>4.0405890000000007</v>
      </c>
      <c r="N31" s="45">
        <f>($F$9+$F$10)*'ARP Timing'!J$16</f>
        <v>4.0405890000000007</v>
      </c>
      <c r="O31" s="45">
        <f>($F$9+$F$10)*'ARP Timing'!K$16</f>
        <v>4.0405890000000007</v>
      </c>
      <c r="P31" s="45">
        <f>($F$9+$F$10)*'ARP Timing'!L$16</f>
        <v>4.0405890000000007</v>
      </c>
      <c r="Q31" s="45">
        <f>($F$9+$F$10)*'ARP Timing'!M$16</f>
        <v>4.0405890000000007</v>
      </c>
      <c r="R31" s="45">
        <f>($F$9+$F$10)*'ARP Timing'!N$16</f>
        <v>3.9168975000000006</v>
      </c>
      <c r="S31" s="45">
        <f>($F$9+$F$10)*'ARP Timing'!O$16</f>
        <v>3.9168975000000006</v>
      </c>
      <c r="T31" s="45">
        <f>($F$9+$F$10)*'ARP Timing'!P$16</f>
        <v>3.9168975000000006</v>
      </c>
      <c r="U31" s="45">
        <f>($F$9+$F$10)*'ARP Timing'!Q$16</f>
        <v>3.9168975000000006</v>
      </c>
      <c r="V31" s="45">
        <f>($F$9+$F$10)*'ARP Timing'!R$16</f>
        <v>3.9168975000000006</v>
      </c>
    </row>
    <row r="32" spans="1:23" x14ac:dyDescent="0.35">
      <c r="A32" s="45">
        <v>2022</v>
      </c>
      <c r="B32" s="242" t="s">
        <v>299</v>
      </c>
      <c r="C32" s="243"/>
      <c r="G32" s="45">
        <f>($G$9+$G$10)*'ARP Timing'!B$16</f>
        <v>5.7722700000000016</v>
      </c>
      <c r="H32" s="45">
        <f>($G$9+$G$10)*'ARP Timing'!C$16</f>
        <v>5.7722700000000016</v>
      </c>
      <c r="I32" s="45">
        <f>($G$9+$G$10)*'ARP Timing'!D$16</f>
        <v>4.0405890000000007</v>
      </c>
      <c r="J32" s="45">
        <f>($G$9+$G$10)*'ARP Timing'!E$16</f>
        <v>4.0405890000000007</v>
      </c>
      <c r="K32" s="45">
        <f>($G$9+$G$10)*'ARP Timing'!F$16</f>
        <v>4.0405890000000007</v>
      </c>
      <c r="L32" s="45">
        <f>($G$9+$G$10)*'ARP Timing'!G$16</f>
        <v>4.0405890000000007</v>
      </c>
      <c r="M32" s="45">
        <f>($G$9+$G$10)*'ARP Timing'!H$16</f>
        <v>4.0405890000000007</v>
      </c>
      <c r="N32" s="45">
        <f>($G$9+$G$10)*'ARP Timing'!I$16</f>
        <v>4.0405890000000007</v>
      </c>
      <c r="O32" s="45">
        <f>($G$9+$G$10)*'ARP Timing'!J$16</f>
        <v>4.0405890000000007</v>
      </c>
      <c r="P32" s="45">
        <f>($G$9+$G$10)*'ARP Timing'!K$16</f>
        <v>4.0405890000000007</v>
      </c>
      <c r="Q32" s="45">
        <f>($G$9+$G$10)*'ARP Timing'!L$16</f>
        <v>4.0405890000000007</v>
      </c>
      <c r="R32" s="45">
        <f>($G$9+$G$10)*'ARP Timing'!M$16</f>
        <v>4.0405890000000007</v>
      </c>
      <c r="S32" s="45">
        <f>($G$9+$G$10)*'ARP Timing'!N$16</f>
        <v>3.9168975000000006</v>
      </c>
      <c r="T32" s="45">
        <f>($G$9+$G$10)*'ARP Timing'!O$16</f>
        <v>3.9168975000000006</v>
      </c>
      <c r="U32" s="45">
        <f>($G$9+$G$10)*'ARP Timing'!P$16</f>
        <v>3.9168975000000006</v>
      </c>
      <c r="V32" s="45">
        <f>($G$9+$G$10)*'ARP Timing'!Q$16</f>
        <v>3.9168975000000006</v>
      </c>
    </row>
    <row r="33" spans="1:23" x14ac:dyDescent="0.35">
      <c r="B33" s="242" t="s">
        <v>300</v>
      </c>
      <c r="C33" s="243"/>
      <c r="H33" s="45">
        <f>($H$9+$H$10)*'ARP Timing'!B$16</f>
        <v>5.7722700000000016</v>
      </c>
      <c r="I33" s="45">
        <f>($H$9+$H$10)*'ARP Timing'!C$16</f>
        <v>5.7722700000000016</v>
      </c>
      <c r="J33" s="45">
        <f>($H$9+$H$10)*'ARP Timing'!D$16</f>
        <v>4.0405890000000007</v>
      </c>
      <c r="K33" s="45">
        <f>($H$9+$H$10)*'ARP Timing'!E$16</f>
        <v>4.0405890000000007</v>
      </c>
      <c r="L33" s="45">
        <f>($H$9+$H$10)*'ARP Timing'!F$16</f>
        <v>4.0405890000000007</v>
      </c>
      <c r="M33" s="45">
        <f>($H$9+$H$10)*'ARP Timing'!G$16</f>
        <v>4.0405890000000007</v>
      </c>
      <c r="N33" s="45">
        <f>($H$9+$H$10)*'ARP Timing'!H$16</f>
        <v>4.0405890000000007</v>
      </c>
      <c r="O33" s="45">
        <f>($H$9+$H$10)*'ARP Timing'!I$16</f>
        <v>4.0405890000000007</v>
      </c>
      <c r="P33" s="45">
        <f>($H$9+$H$10)*'ARP Timing'!J$16</f>
        <v>4.0405890000000007</v>
      </c>
      <c r="Q33" s="45">
        <f>($H$9+$H$10)*'ARP Timing'!K$16</f>
        <v>4.0405890000000007</v>
      </c>
      <c r="R33" s="45">
        <f>($H$9+$H$10)*'ARP Timing'!L$16</f>
        <v>4.0405890000000007</v>
      </c>
      <c r="S33" s="45">
        <f>($H$9+$H$10)*'ARP Timing'!M$16</f>
        <v>4.0405890000000007</v>
      </c>
      <c r="T33" s="45">
        <f>($H$9+$H$10)*'ARP Timing'!N$16</f>
        <v>3.9168975000000006</v>
      </c>
      <c r="U33" s="45">
        <f>($H$9+$H$10)*'ARP Timing'!O$16</f>
        <v>3.9168975000000006</v>
      </c>
      <c r="V33" s="45">
        <f>($H$9+$H$10)*'ARP Timing'!P$16</f>
        <v>3.9168975000000006</v>
      </c>
    </row>
    <row r="34" spans="1:23" x14ac:dyDescent="0.35">
      <c r="B34" s="242" t="s">
        <v>458</v>
      </c>
      <c r="C34" s="243"/>
      <c r="H34" s="243"/>
      <c r="I34" s="45">
        <f>($I$9+$I10)*'ARP Timing'!B$16</f>
        <v>5.7722700000000016</v>
      </c>
      <c r="J34" s="45">
        <f>($I$9+$I10)*'ARP Timing'!C$16</f>
        <v>5.7722700000000016</v>
      </c>
      <c r="K34" s="45">
        <f>($I$9+$I10)*'ARP Timing'!D$16</f>
        <v>4.0405890000000007</v>
      </c>
      <c r="L34" s="45">
        <f>($I$9+$I10)*'ARP Timing'!E$16</f>
        <v>4.0405890000000007</v>
      </c>
      <c r="M34" s="45">
        <f>($I$9+$I10)*'ARP Timing'!F$16</f>
        <v>4.0405890000000007</v>
      </c>
      <c r="N34" s="45">
        <f>($I$9+$I10)*'ARP Timing'!G$16</f>
        <v>4.0405890000000007</v>
      </c>
      <c r="O34" s="45">
        <f>($I$9+$I10)*'ARP Timing'!H$16</f>
        <v>4.0405890000000007</v>
      </c>
      <c r="P34" s="45">
        <f>($I$9+$I10)*'ARP Timing'!I$16</f>
        <v>4.0405890000000007</v>
      </c>
      <c r="Q34" s="45">
        <f>($I$9+$I10)*'ARP Timing'!J$16</f>
        <v>4.0405890000000007</v>
      </c>
      <c r="R34" s="45">
        <f>($I$9+$I10)*'ARP Timing'!K$16</f>
        <v>4.0405890000000007</v>
      </c>
      <c r="S34" s="45">
        <f>($I$9+$I10)*'ARP Timing'!L$16</f>
        <v>4.0405890000000007</v>
      </c>
      <c r="T34" s="45">
        <f>($I$9+$I10)*'ARP Timing'!M$16</f>
        <v>4.0405890000000007</v>
      </c>
      <c r="U34" s="45">
        <f>($I$9+$I10)*'ARP Timing'!N$16</f>
        <v>3.9168975000000006</v>
      </c>
      <c r="V34" s="45">
        <f>($I$9+$I10)*'ARP Timing'!O$16</f>
        <v>3.9168975000000006</v>
      </c>
    </row>
    <row r="35" spans="1:23" x14ac:dyDescent="0.35">
      <c r="B35" s="242" t="s">
        <v>1222</v>
      </c>
      <c r="C35" s="243"/>
      <c r="H35" s="243"/>
      <c r="J35" s="45">
        <f>($J$9+$J$10)*'ARP Timing'!B$16</f>
        <v>4.3968400000000001</v>
      </c>
      <c r="K35" s="45">
        <f>($J$9+$J$10)*'ARP Timing'!C$16</f>
        <v>4.3968400000000001</v>
      </c>
      <c r="L35" s="45">
        <f>($J$9+$J$10)*'ARP Timing'!D$16</f>
        <v>3.077788</v>
      </c>
      <c r="M35" s="45">
        <f>($J$9+$J$10)*'ARP Timing'!E$16</f>
        <v>3.077788</v>
      </c>
      <c r="N35" s="45">
        <f>($J$9+$J$10)*'ARP Timing'!F$16</f>
        <v>3.077788</v>
      </c>
      <c r="O35" s="45">
        <f>($J$9+$J$10)*'ARP Timing'!G$16</f>
        <v>3.077788</v>
      </c>
      <c r="P35" s="45">
        <f>($J$9+$J$10)*'ARP Timing'!H$16</f>
        <v>3.077788</v>
      </c>
      <c r="Q35" s="45">
        <f>($J$9+$J$10)*'ARP Timing'!I$16</f>
        <v>3.077788</v>
      </c>
      <c r="R35" s="45">
        <f>($J$9+$J$10)*'ARP Timing'!J$16</f>
        <v>3.077788</v>
      </c>
      <c r="S35" s="45">
        <f>($J$9+$J$10)*'ARP Timing'!K$16</f>
        <v>3.077788</v>
      </c>
      <c r="T35" s="45">
        <f>($J$9+$J$10)*'ARP Timing'!L$16</f>
        <v>3.077788</v>
      </c>
      <c r="U35" s="45">
        <f>($J$9+$J$10)*'ARP Timing'!M$16</f>
        <v>3.077788</v>
      </c>
      <c r="V35" s="45">
        <f>($J$9+$J$10)*'ARP Timing'!N$16</f>
        <v>2.9835699999999998</v>
      </c>
    </row>
    <row r="36" spans="1:23" x14ac:dyDescent="0.35">
      <c r="A36" s="45">
        <v>2023</v>
      </c>
      <c r="B36" s="242" t="s">
        <v>299</v>
      </c>
      <c r="C36" s="243"/>
      <c r="H36" s="243"/>
      <c r="K36" s="45">
        <f>($K$9+$K$10)*'ARP Timing'!B$16</f>
        <v>4.3968400000000001</v>
      </c>
      <c r="L36" s="45">
        <f>($K$9+$K$10)*'ARP Timing'!C$16</f>
        <v>4.3968400000000001</v>
      </c>
      <c r="M36" s="45">
        <f>($K$9+$K$10)*'ARP Timing'!D$16</f>
        <v>3.077788</v>
      </c>
      <c r="N36" s="45">
        <f>($K$9+$K$10)*'ARP Timing'!E$16</f>
        <v>3.077788</v>
      </c>
      <c r="O36" s="45">
        <f>($K$9+$K$10)*'ARP Timing'!F$16</f>
        <v>3.077788</v>
      </c>
      <c r="P36" s="45">
        <f>($K$9+$K$10)*'ARP Timing'!G$16</f>
        <v>3.077788</v>
      </c>
      <c r="Q36" s="45">
        <f>($K$9+$K$10)*'ARP Timing'!H$16</f>
        <v>3.077788</v>
      </c>
      <c r="R36" s="45">
        <f>($K$9+$K$10)*'ARP Timing'!I$16</f>
        <v>3.077788</v>
      </c>
      <c r="S36" s="45">
        <f>($K$9+$K$10)*'ARP Timing'!J$16</f>
        <v>3.077788</v>
      </c>
      <c r="T36" s="45">
        <f>($K$9+$K$10)*'ARP Timing'!K$16</f>
        <v>3.077788</v>
      </c>
      <c r="U36" s="45">
        <f>($K$9+$K$10)*'ARP Timing'!L$16</f>
        <v>3.077788</v>
      </c>
      <c r="V36" s="45">
        <f>($K$9+$K$10)*'ARP Timing'!M$16</f>
        <v>3.077788</v>
      </c>
    </row>
    <row r="37" spans="1:23" x14ac:dyDescent="0.35">
      <c r="B37" s="242" t="s">
        <v>300</v>
      </c>
      <c r="C37" s="243"/>
      <c r="H37" s="243"/>
      <c r="L37" s="45">
        <f>($L$9+$L$10)*'ARP Timing'!B$16</f>
        <v>4.3968400000000001</v>
      </c>
      <c r="M37" s="45">
        <f>($L$9+$L$10)*'ARP Timing'!C$16</f>
        <v>4.3968400000000001</v>
      </c>
      <c r="N37" s="45">
        <f>($L$9+$L$10)*'ARP Timing'!D$16</f>
        <v>3.077788</v>
      </c>
      <c r="O37" s="45">
        <f>($L$9+$L$10)*'ARP Timing'!E$16</f>
        <v>3.077788</v>
      </c>
      <c r="P37" s="45">
        <f>($L$9+$L$10)*'ARP Timing'!F$16</f>
        <v>3.077788</v>
      </c>
      <c r="Q37" s="45">
        <f>($L$9+$L$10)*'ARP Timing'!G$16</f>
        <v>3.077788</v>
      </c>
      <c r="R37" s="45">
        <f>($L$9+$L$10)*'ARP Timing'!H$16</f>
        <v>3.077788</v>
      </c>
      <c r="S37" s="45">
        <f>($L$9+$L$10)*'ARP Timing'!I$16</f>
        <v>3.077788</v>
      </c>
      <c r="T37" s="45">
        <f>($L$9+$L$10)*'ARP Timing'!J$16</f>
        <v>3.077788</v>
      </c>
      <c r="U37" s="45">
        <f>($L$9+$L$10)*'ARP Timing'!K$16</f>
        <v>3.077788</v>
      </c>
      <c r="V37" s="45">
        <f>($L$9+$L$10)*'ARP Timing'!L$16</f>
        <v>3.077788</v>
      </c>
    </row>
    <row r="38" spans="1:23" x14ac:dyDescent="0.35">
      <c r="B38" s="242" t="s">
        <v>458</v>
      </c>
      <c r="C38" s="243"/>
      <c r="H38" s="243"/>
      <c r="M38" s="45">
        <f>($M$9+$M$10)*'ARP Timing'!B$16</f>
        <v>4.3968400000000001</v>
      </c>
      <c r="N38" s="45">
        <f>($M$9+$M$10)*'ARP Timing'!C$16</f>
        <v>4.3968400000000001</v>
      </c>
      <c r="O38" s="45">
        <f>($M$9+$M$10)*'ARP Timing'!D$16</f>
        <v>3.077788</v>
      </c>
      <c r="P38" s="45">
        <f>($M$9+$M$10)*'ARP Timing'!E$16</f>
        <v>3.077788</v>
      </c>
      <c r="Q38" s="45">
        <f>($M$9+$M$10)*'ARP Timing'!F$16</f>
        <v>3.077788</v>
      </c>
      <c r="R38" s="45">
        <f>($M$9+$M$10)*'ARP Timing'!G$16</f>
        <v>3.077788</v>
      </c>
      <c r="S38" s="45">
        <f>($M$9+$M$10)*'ARP Timing'!H$16</f>
        <v>3.077788</v>
      </c>
      <c r="T38" s="45">
        <f>($M$9+$M$10)*'ARP Timing'!I$16</f>
        <v>3.077788</v>
      </c>
      <c r="U38" s="45">
        <f>($M$9+$M$10)*'ARP Timing'!J$16</f>
        <v>3.077788</v>
      </c>
      <c r="V38" s="45">
        <f>($M$9+$M$10)*'ARP Timing'!K$16</f>
        <v>3.077788</v>
      </c>
    </row>
    <row r="39" spans="1:23" x14ac:dyDescent="0.35">
      <c r="B39" s="242" t="s">
        <v>1222</v>
      </c>
      <c r="C39" s="243"/>
      <c r="H39" s="243"/>
      <c r="N39" s="45">
        <f>($N$9+$N$10)*'ARP Timing'!B$16</f>
        <v>2.9087800000000006</v>
      </c>
      <c r="O39" s="45">
        <f>($N$9+$N$10)*'ARP Timing'!C$16</f>
        <v>2.9087800000000006</v>
      </c>
      <c r="P39" s="45">
        <f>($N$9+$N$10)*'ARP Timing'!D$16</f>
        <v>2.036146</v>
      </c>
      <c r="Q39" s="45">
        <f>($N$9+$N$10)*'ARP Timing'!E$16</f>
        <v>2.036146</v>
      </c>
      <c r="R39" s="45">
        <f>($N$9+$N$10)*'ARP Timing'!F$16</f>
        <v>2.036146</v>
      </c>
      <c r="S39" s="45">
        <f>($N$9+$N$10)*'ARP Timing'!G$16</f>
        <v>2.036146</v>
      </c>
      <c r="T39" s="45">
        <f>($N$9+$N$10)*'ARP Timing'!H$16</f>
        <v>2.036146</v>
      </c>
      <c r="U39" s="45">
        <f>($N$9+$N$10)*'ARP Timing'!I$16</f>
        <v>2.036146</v>
      </c>
      <c r="V39" s="45">
        <f>($N$9+$N$10)*'ARP Timing'!J$16</f>
        <v>2.036146</v>
      </c>
    </row>
    <row r="40" spans="1:23" x14ac:dyDescent="0.35">
      <c r="A40" s="45">
        <v>2024</v>
      </c>
      <c r="B40" s="242" t="s">
        <v>299</v>
      </c>
      <c r="C40" s="243"/>
      <c r="H40" s="243"/>
      <c r="O40" s="45">
        <f>($O$9+$O$10)*'ARP Timing'!B$16</f>
        <v>2.9087800000000006</v>
      </c>
      <c r="P40" s="45">
        <f>($O$9+$O$10)*'ARP Timing'!C$16</f>
        <v>2.9087800000000006</v>
      </c>
      <c r="Q40" s="45">
        <f>($O$9+$O$10)*'ARP Timing'!D$16</f>
        <v>2.036146</v>
      </c>
      <c r="R40" s="45">
        <f>($O$9+$O$10)*'ARP Timing'!E$16</f>
        <v>2.036146</v>
      </c>
      <c r="S40" s="45">
        <f>($O$9+$O$10)*'ARP Timing'!F$16</f>
        <v>2.036146</v>
      </c>
      <c r="T40" s="45">
        <f>($O$9+$O$10)*'ARP Timing'!G$16</f>
        <v>2.036146</v>
      </c>
      <c r="U40" s="45">
        <f>($O$9+$O$10)*'ARP Timing'!H$16</f>
        <v>2.036146</v>
      </c>
      <c r="V40" s="45">
        <f>($O$9+$O$10)*'ARP Timing'!I$16</f>
        <v>2.036146</v>
      </c>
    </row>
    <row r="41" spans="1:23" x14ac:dyDescent="0.35">
      <c r="B41" s="242" t="s">
        <v>300</v>
      </c>
      <c r="C41" s="243"/>
      <c r="H41" s="243"/>
      <c r="P41" s="45">
        <f>($P$9+$P$10)*'ARP Timing'!B$16</f>
        <v>2.9087800000000006</v>
      </c>
      <c r="Q41" s="45">
        <f>($P$9+$P$10)*'ARP Timing'!C$16</f>
        <v>2.9087800000000006</v>
      </c>
      <c r="R41" s="45">
        <f>($P$9+$P$10)*'ARP Timing'!D$16</f>
        <v>2.036146</v>
      </c>
      <c r="S41" s="45">
        <f>($P$9+$P$10)*'ARP Timing'!E$16</f>
        <v>2.036146</v>
      </c>
      <c r="T41" s="45">
        <f>($P$9+$P$10)*'ARP Timing'!F$16</f>
        <v>2.036146</v>
      </c>
      <c r="U41" s="45">
        <f>($P$9+$P$10)*'ARP Timing'!G$16</f>
        <v>2.036146</v>
      </c>
      <c r="V41" s="45">
        <f>($P$9+$P$10)*'ARP Timing'!H$16</f>
        <v>2.036146</v>
      </c>
    </row>
    <row r="42" spans="1:23" x14ac:dyDescent="0.35">
      <c r="B42" s="242" t="s">
        <v>458</v>
      </c>
      <c r="C42" s="243"/>
      <c r="H42" s="243"/>
      <c r="Q42" s="45">
        <f>($Q$9+$Q$10)*'ARP Timing'!B$16</f>
        <v>2.9087800000000006</v>
      </c>
      <c r="R42" s="45">
        <f>($Q$9+$Q$10)*'ARP Timing'!C$16</f>
        <v>2.9087800000000006</v>
      </c>
      <c r="S42" s="45">
        <f>($Q$9+$Q$10)*'ARP Timing'!D$16</f>
        <v>2.036146</v>
      </c>
      <c r="T42" s="45">
        <f>($Q$9+$Q$10)*'ARP Timing'!E$16</f>
        <v>2.036146</v>
      </c>
      <c r="U42" s="45">
        <f>($Q$9+$Q$10)*'ARP Timing'!F$16</f>
        <v>2.036146</v>
      </c>
      <c r="V42" s="45">
        <f>($Q$9+$Q$10)*'ARP Timing'!G$16</f>
        <v>2.036146</v>
      </c>
    </row>
    <row r="43" spans="1:23" x14ac:dyDescent="0.35">
      <c r="B43" s="242" t="s">
        <v>1222</v>
      </c>
      <c r="C43" s="243"/>
      <c r="H43" s="243"/>
      <c r="R43" s="45">
        <f>($R$9+$R$10)*'ARP Timing'!B$16</f>
        <v>1.9374600000000002</v>
      </c>
      <c r="S43" s="45">
        <f>($R$9+$R$10)*'ARP Timing'!C$16</f>
        <v>1.9374600000000002</v>
      </c>
      <c r="T43" s="45">
        <f>($R$9+$R$10)*'ARP Timing'!D$16</f>
        <v>1.356222</v>
      </c>
      <c r="U43" s="45">
        <f>($R$9+$R$10)*'ARP Timing'!E$16</f>
        <v>1.356222</v>
      </c>
      <c r="V43" s="45">
        <f>($R$9+$R$10)*'ARP Timing'!F$16</f>
        <v>1.356222</v>
      </c>
    </row>
    <row r="44" spans="1:23" x14ac:dyDescent="0.35">
      <c r="S44" s="45">
        <f>($S$9+$S$10)*'ARP Timing'!B$16</f>
        <v>1.9374600000000002</v>
      </c>
      <c r="T44" s="45">
        <f>($S$9+$S$10)*'ARP Timing'!C$16</f>
        <v>1.9374600000000002</v>
      </c>
      <c r="U44" s="45">
        <f>($S$9+$S$10)*'ARP Timing'!D$16</f>
        <v>1.356222</v>
      </c>
      <c r="V44" s="45">
        <f>($S$9+$S$10)*'ARP Timing'!E$16</f>
        <v>1.356222</v>
      </c>
    </row>
    <row r="46" spans="1:23" x14ac:dyDescent="0.35">
      <c r="B46" s="45" t="s">
        <v>1223</v>
      </c>
      <c r="D46" s="221" t="s">
        <v>372</v>
      </c>
      <c r="E46" s="221" t="s">
        <v>224</v>
      </c>
      <c r="F46" s="221" t="s">
        <v>225</v>
      </c>
      <c r="G46" s="221" t="s">
        <v>226</v>
      </c>
      <c r="H46" s="221" t="s">
        <v>227</v>
      </c>
      <c r="I46" s="221" t="s">
        <v>228</v>
      </c>
      <c r="J46" s="221" t="s">
        <v>229</v>
      </c>
      <c r="K46" s="221" t="s">
        <v>230</v>
      </c>
      <c r="L46" s="221" t="s">
        <v>231</v>
      </c>
      <c r="M46" s="221" t="s">
        <v>232</v>
      </c>
      <c r="N46" s="221" t="s">
        <v>233</v>
      </c>
      <c r="O46" s="221" t="s">
        <v>234</v>
      </c>
      <c r="P46" s="221" t="s">
        <v>235</v>
      </c>
      <c r="Q46" s="221" t="s">
        <v>219</v>
      </c>
      <c r="R46" s="221" t="s">
        <v>220</v>
      </c>
      <c r="S46" s="221" t="s">
        <v>221</v>
      </c>
      <c r="T46" s="221" t="s">
        <v>1211</v>
      </c>
      <c r="U46" s="221" t="s">
        <v>1212</v>
      </c>
      <c r="V46" s="221" t="s">
        <v>1213</v>
      </c>
    </row>
    <row r="47" spans="1:23" x14ac:dyDescent="0.35">
      <c r="B47" s="242"/>
      <c r="C47" s="243" t="s">
        <v>437</v>
      </c>
      <c r="D47" s="248">
        <f t="shared" ref="D47:U47" si="42">SUM(D48:D66)</f>
        <v>0</v>
      </c>
      <c r="E47" s="248">
        <f t="shared" si="42"/>
        <v>0</v>
      </c>
      <c r="F47" s="248">
        <f t="shared" si="42"/>
        <v>34.620851999999999</v>
      </c>
      <c r="G47" s="248">
        <f t="shared" si="42"/>
        <v>45.996274799999995</v>
      </c>
      <c r="H47" s="248">
        <f t="shared" si="42"/>
        <v>59.350031999999992</v>
      </c>
      <c r="I47" s="248">
        <f t="shared" si="42"/>
        <v>64.295867999999999</v>
      </c>
      <c r="J47" s="248">
        <f t="shared" si="42"/>
        <v>72.538927999999999</v>
      </c>
      <c r="K47" s="248">
        <f t="shared" si="42"/>
        <v>80.122543199999996</v>
      </c>
      <c r="L47" s="248">
        <f t="shared" si="42"/>
        <v>98.916719999999998</v>
      </c>
      <c r="M47" s="248">
        <f t="shared" si="42"/>
        <v>102.213944</v>
      </c>
      <c r="N47" s="248">
        <f t="shared" si="42"/>
        <v>102.213944</v>
      </c>
      <c r="O47" s="248">
        <f t="shared" si="42"/>
        <v>102.213944</v>
      </c>
      <c r="P47" s="248">
        <f t="shared" si="42"/>
        <v>98.916719999999998</v>
      </c>
      <c r="Q47" s="248">
        <f t="shared" si="42"/>
        <v>98.916719999999998</v>
      </c>
      <c r="R47" s="248">
        <f t="shared" si="42"/>
        <v>99.081581199999988</v>
      </c>
      <c r="S47" s="248">
        <f t="shared" si="42"/>
        <v>93.146578000000005</v>
      </c>
      <c r="T47" s="248">
        <f t="shared" si="42"/>
        <v>86.552129999999991</v>
      </c>
      <c r="U47" s="248">
        <f t="shared" si="42"/>
        <v>86.552129999999991</v>
      </c>
      <c r="V47" s="248">
        <f>SUM(V48:V66)</f>
        <v>82.265738799999994</v>
      </c>
      <c r="W47" s="45">
        <f>SUM(G47:V47)/4</f>
        <v>343.32344900000004</v>
      </c>
    </row>
    <row r="48" spans="1:23" x14ac:dyDescent="0.35">
      <c r="A48" s="45">
        <v>2021</v>
      </c>
      <c r="B48" s="242" t="s">
        <v>1221</v>
      </c>
      <c r="C48" s="243"/>
      <c r="D48" s="45">
        <f>($D$8)*'ARP Timing'!B17</f>
        <v>0</v>
      </c>
      <c r="E48" s="45">
        <f>($D$8)*'ARP Timing'!C17</f>
        <v>0</v>
      </c>
      <c r="F48" s="45">
        <f>($D$8)*'ARP Timing'!D17</f>
        <v>34.620851999999999</v>
      </c>
      <c r="G48" s="45">
        <f>($D$8)*'ARP Timing'!E17</f>
        <v>45.996274799999995</v>
      </c>
      <c r="H48" s="45">
        <f>($D$8)*'ARP Timing'!F17</f>
        <v>59.350031999999992</v>
      </c>
      <c r="I48" s="45">
        <f>($D$8)*'ARP Timing'!G17</f>
        <v>64.295867999999999</v>
      </c>
      <c r="J48" s="45">
        <f>($D$8)*'ARP Timing'!H17</f>
        <v>49.458359999999999</v>
      </c>
      <c r="K48" s="45">
        <f>($D$8)*'ARP Timing'!I17</f>
        <v>49.458359999999999</v>
      </c>
      <c r="L48" s="45">
        <f>($D$8)*'ARP Timing'!J17</f>
        <v>59.350031999999992</v>
      </c>
      <c r="M48" s="45">
        <f>($D$8)*'ARP Timing'!K17</f>
        <v>59.350031999999992</v>
      </c>
      <c r="N48" s="45">
        <f>($D$8)*'ARP Timing'!L17</f>
        <v>69.241703999999999</v>
      </c>
      <c r="O48" s="45">
        <f>($D$8)*'ARP Timing'!M17</f>
        <v>69.241703999999999</v>
      </c>
      <c r="P48" s="45">
        <f>($D$8)*'ARP Timing'!N17</f>
        <v>59.350031999999992</v>
      </c>
      <c r="Q48" s="45">
        <f>($D$8)*'ARP Timing'!O17</f>
        <v>59.350031999999992</v>
      </c>
      <c r="R48" s="45">
        <f>($D$8)*'ARP Timing'!P17</f>
        <v>52.920445199999989</v>
      </c>
      <c r="S48" s="45">
        <f>($D$8)*'ARP Timing'!Q17</f>
        <v>46.985441999999992</v>
      </c>
      <c r="T48" s="45">
        <f>($D$8)*'ARP Timing'!R17</f>
        <v>46.985441999999992</v>
      </c>
      <c r="U48" s="45">
        <f>($D$8)*'ARP Timing'!S17</f>
        <v>46.985441999999992</v>
      </c>
      <c r="V48" s="45">
        <f>($D$8)*'ARP Timing'!T17</f>
        <v>46.985441999999992</v>
      </c>
    </row>
    <row r="49" spans="1:22" x14ac:dyDescent="0.35">
      <c r="B49" s="242" t="s">
        <v>458</v>
      </c>
      <c r="C49" s="243"/>
      <c r="E49" s="45">
        <f>($E$8)*'ARP Timing'!B$17</f>
        <v>0</v>
      </c>
      <c r="F49" s="45">
        <f>($E$8)*'ARP Timing'!C$16</f>
        <v>0</v>
      </c>
      <c r="G49" s="45">
        <f>($E$8)*'ARP Timing'!D$16</f>
        <v>0</v>
      </c>
      <c r="H49" s="45">
        <f>($E$8)*'ARP Timing'!E$16</f>
        <v>0</v>
      </c>
      <c r="I49" s="45">
        <f>($E$8)*'ARP Timing'!F$16</f>
        <v>0</v>
      </c>
      <c r="J49" s="45">
        <f>($E$8)*'ARP Timing'!G$16</f>
        <v>0</v>
      </c>
      <c r="K49" s="45">
        <f>($E$8)*'ARP Timing'!H$16</f>
        <v>0</v>
      </c>
      <c r="L49" s="45">
        <f>($E$8)*'ARP Timing'!I$16</f>
        <v>0</v>
      </c>
      <c r="M49" s="45">
        <f>($E$8)*'ARP Timing'!J$16</f>
        <v>0</v>
      </c>
      <c r="N49" s="45">
        <f>($E$8)*'ARP Timing'!K$16</f>
        <v>0</v>
      </c>
      <c r="O49" s="45">
        <f>($E$8)*'ARP Timing'!L$16</f>
        <v>0</v>
      </c>
      <c r="P49" s="45">
        <f>($E$8)*'ARP Timing'!M$16</f>
        <v>0</v>
      </c>
      <c r="Q49" s="45">
        <f>($E$8)*'ARP Timing'!N$16</f>
        <v>0</v>
      </c>
      <c r="R49" s="45">
        <f>($E$8)*'ARP Timing'!O$16</f>
        <v>0</v>
      </c>
      <c r="S49" s="45">
        <f>($E$8)*'ARP Timing'!P$16</f>
        <v>0</v>
      </c>
      <c r="T49" s="45">
        <f>($E$8)*'ARP Timing'!Q$16</f>
        <v>0</v>
      </c>
      <c r="U49" s="45">
        <f>($E$8)*'ARP Timing'!R$16</f>
        <v>0</v>
      </c>
      <c r="V49" s="45">
        <f>($E$8)*'ARP Timing'!S$16</f>
        <v>0</v>
      </c>
    </row>
    <row r="50" spans="1:22" x14ac:dyDescent="0.35">
      <c r="B50" s="242" t="s">
        <v>1222</v>
      </c>
      <c r="C50" s="243"/>
      <c r="F50" s="45">
        <f>($F$8)*'ARP Timing'!C$17</f>
        <v>0</v>
      </c>
      <c r="G50" s="45">
        <f>($F$8)*'ARP Timing'!D$17</f>
        <v>0</v>
      </c>
      <c r="H50" s="45">
        <f>($F$8)*'ARP Timing'!E$17</f>
        <v>0</v>
      </c>
      <c r="I50" s="45">
        <f>($F$8)*'ARP Timing'!F$17</f>
        <v>0</v>
      </c>
      <c r="J50" s="45">
        <f>($F$8)*'ARP Timing'!G$17</f>
        <v>0</v>
      </c>
      <c r="K50" s="45">
        <f>($F$8)*'ARP Timing'!H$17</f>
        <v>0</v>
      </c>
      <c r="L50" s="45">
        <f>($F$8)*'ARP Timing'!I$17</f>
        <v>0</v>
      </c>
      <c r="M50" s="45">
        <f>($F$8)*'ARP Timing'!J$17</f>
        <v>0</v>
      </c>
      <c r="N50" s="45">
        <f>($F$8)*'ARP Timing'!K$17</f>
        <v>0</v>
      </c>
      <c r="O50" s="45">
        <f>($F$8)*'ARP Timing'!L$17</f>
        <v>0</v>
      </c>
      <c r="P50" s="45">
        <f>($F$8)*'ARP Timing'!M$17</f>
        <v>0</v>
      </c>
      <c r="Q50" s="45">
        <f>($F$8)*'ARP Timing'!N$17</f>
        <v>0</v>
      </c>
      <c r="R50" s="45">
        <f>($F$8)*'ARP Timing'!O$17</f>
        <v>0</v>
      </c>
      <c r="S50" s="45">
        <f>($F$8)*'ARP Timing'!P$17</f>
        <v>0</v>
      </c>
      <c r="T50" s="45">
        <f>($F$8)*'ARP Timing'!Q$17</f>
        <v>0</v>
      </c>
      <c r="U50" s="45">
        <f>($F$8)*'ARP Timing'!R$17</f>
        <v>0</v>
      </c>
      <c r="V50" s="45">
        <f>($F$8)*'ARP Timing'!S$17</f>
        <v>0</v>
      </c>
    </row>
    <row r="51" spans="1:22" x14ac:dyDescent="0.35">
      <c r="A51" s="45">
        <v>2022</v>
      </c>
      <c r="B51" s="242" t="s">
        <v>299</v>
      </c>
      <c r="C51" s="243"/>
      <c r="G51" s="45">
        <f>($G$8)*'ARP Timing'!D$17</f>
        <v>0</v>
      </c>
      <c r="H51" s="45">
        <f>($G$8)*'ARP Timing'!E$17</f>
        <v>0</v>
      </c>
      <c r="I51" s="45">
        <f>($G$8)*'ARP Timing'!F$17</f>
        <v>0</v>
      </c>
      <c r="J51" s="45">
        <f>($G$8)*'ARP Timing'!G$17</f>
        <v>0</v>
      </c>
      <c r="K51" s="45">
        <f>($G$8)*'ARP Timing'!H$17</f>
        <v>0</v>
      </c>
      <c r="L51" s="45">
        <f>($G$8)*'ARP Timing'!I$17</f>
        <v>0</v>
      </c>
      <c r="M51" s="45">
        <f>($G$8)*'ARP Timing'!J$17</f>
        <v>0</v>
      </c>
      <c r="N51" s="45">
        <f>($G$8)*'ARP Timing'!K$17</f>
        <v>0</v>
      </c>
      <c r="O51" s="45">
        <f>($G$8)*'ARP Timing'!L$17</f>
        <v>0</v>
      </c>
      <c r="P51" s="45">
        <f>($G$8)*'ARP Timing'!M$17</f>
        <v>0</v>
      </c>
      <c r="Q51" s="45">
        <f>($G$8)*'ARP Timing'!N$17</f>
        <v>0</v>
      </c>
      <c r="R51" s="45">
        <f>($G$8)*'ARP Timing'!O$17</f>
        <v>0</v>
      </c>
      <c r="S51" s="45">
        <f>($G$8)*'ARP Timing'!P$17</f>
        <v>0</v>
      </c>
      <c r="T51" s="45">
        <f>($G$8)*'ARP Timing'!Q$17</f>
        <v>0</v>
      </c>
      <c r="U51" s="45">
        <f>($G$8)*'ARP Timing'!R$17</f>
        <v>0</v>
      </c>
      <c r="V51" s="45">
        <f>($G$8)*'ARP Timing'!S$17</f>
        <v>0</v>
      </c>
    </row>
    <row r="52" spans="1:22" x14ac:dyDescent="0.35">
      <c r="B52" s="242" t="s">
        <v>300</v>
      </c>
      <c r="C52" s="243"/>
      <c r="H52" s="45">
        <f>($H$8)*'ARP Timing'!B$17</f>
        <v>0</v>
      </c>
      <c r="I52" s="45">
        <f>($H$8)*'ARP Timing'!C$17</f>
        <v>0</v>
      </c>
      <c r="J52" s="45">
        <f>($H$8)*'ARP Timing'!D$17</f>
        <v>23.080568000000003</v>
      </c>
      <c r="K52" s="45">
        <f>($H$8)*'ARP Timing'!E$17</f>
        <v>30.6641832</v>
      </c>
      <c r="L52" s="45">
        <f>($H$8)*'ARP Timing'!F$17</f>
        <v>39.566687999999999</v>
      </c>
      <c r="M52" s="45">
        <f>($H$8)*'ARP Timing'!G$17</f>
        <v>42.863911999999999</v>
      </c>
      <c r="N52" s="45">
        <f>($H$8)*'ARP Timing'!H$17</f>
        <v>32.972239999999999</v>
      </c>
      <c r="O52" s="45">
        <f>($H$8)*'ARP Timing'!I$17</f>
        <v>32.972239999999999</v>
      </c>
      <c r="P52" s="45">
        <f>($H$8)*'ARP Timing'!J$17</f>
        <v>39.566687999999999</v>
      </c>
      <c r="Q52" s="45">
        <f>($H$8)*'ARP Timing'!K$17</f>
        <v>39.566687999999999</v>
      </c>
      <c r="R52" s="45">
        <f>($H$8)*'ARP Timing'!L$17</f>
        <v>46.161136000000006</v>
      </c>
      <c r="S52" s="45">
        <f>($H$8)*'ARP Timing'!M$17</f>
        <v>46.161136000000006</v>
      </c>
      <c r="T52" s="45">
        <f>($H$8)*'ARP Timing'!N$17</f>
        <v>39.566687999999999</v>
      </c>
      <c r="U52" s="45">
        <f>($H$8)*'ARP Timing'!O$17</f>
        <v>39.566687999999999</v>
      </c>
      <c r="V52" s="45">
        <f>($H$8)*'ARP Timing'!P$17</f>
        <v>35.280296800000002</v>
      </c>
    </row>
    <row r="53" spans="1:22" x14ac:dyDescent="0.35">
      <c r="B53" s="242" t="s">
        <v>458</v>
      </c>
      <c r="C53" s="243"/>
      <c r="H53" s="243"/>
      <c r="I53" s="45">
        <f>($I$8)*'ARP Timing'!B$17</f>
        <v>0</v>
      </c>
      <c r="J53" s="45">
        <f>($I$8)*'ARP Timing'!C$17</f>
        <v>0</v>
      </c>
      <c r="K53" s="45">
        <f>($I$8)*'ARP Timing'!D$17</f>
        <v>0</v>
      </c>
      <c r="L53" s="45">
        <f>($I$8)*'ARP Timing'!E$17</f>
        <v>0</v>
      </c>
      <c r="M53" s="45">
        <f>($I$8)*'ARP Timing'!F$17</f>
        <v>0</v>
      </c>
      <c r="N53" s="45">
        <f>($I$8)*'ARP Timing'!G$17</f>
        <v>0</v>
      </c>
      <c r="O53" s="45">
        <f>($I$8)*'ARP Timing'!H$17</f>
        <v>0</v>
      </c>
      <c r="P53" s="45">
        <f>($I$8)*'ARP Timing'!I$17</f>
        <v>0</v>
      </c>
      <c r="Q53" s="45">
        <f>($I$8)*'ARP Timing'!J$17</f>
        <v>0</v>
      </c>
      <c r="R53" s="45">
        <f>($I$8)*'ARP Timing'!K$17</f>
        <v>0</v>
      </c>
      <c r="S53" s="45">
        <f>($I$8)*'ARP Timing'!L$17</f>
        <v>0</v>
      </c>
      <c r="T53" s="45">
        <f>($I$8)*'ARP Timing'!M$17</f>
        <v>0</v>
      </c>
      <c r="U53" s="45">
        <f>($I$8)*'ARP Timing'!N$17</f>
        <v>0</v>
      </c>
      <c r="V53" s="45">
        <f>($I$8)*'ARP Timing'!O$17</f>
        <v>0</v>
      </c>
    </row>
    <row r="54" spans="1:22" x14ac:dyDescent="0.35">
      <c r="B54" s="242" t="s">
        <v>1222</v>
      </c>
      <c r="C54" s="243"/>
      <c r="H54" s="243"/>
    </row>
    <row r="55" spans="1:22" x14ac:dyDescent="0.35">
      <c r="A55" s="45">
        <v>2023</v>
      </c>
      <c r="B55" s="242" t="s">
        <v>299</v>
      </c>
      <c r="C55" s="243"/>
      <c r="H55" s="243"/>
    </row>
    <row r="56" spans="1:22" x14ac:dyDescent="0.35">
      <c r="B56" s="242" t="s">
        <v>300</v>
      </c>
      <c r="C56" s="243"/>
      <c r="H56" s="243"/>
    </row>
    <row r="57" spans="1:22" x14ac:dyDescent="0.35">
      <c r="B57" s="242" t="s">
        <v>458</v>
      </c>
      <c r="C57" s="243"/>
      <c r="H57" s="243"/>
    </row>
    <row r="58" spans="1:22" x14ac:dyDescent="0.35">
      <c r="B58" s="242" t="s">
        <v>1222</v>
      </c>
      <c r="C58" s="243"/>
      <c r="H58" s="243"/>
    </row>
    <row r="59" spans="1:22" x14ac:dyDescent="0.35">
      <c r="A59" s="45">
        <v>2024</v>
      </c>
      <c r="B59" s="242" t="s">
        <v>299</v>
      </c>
      <c r="C59" s="243"/>
      <c r="H59" s="243"/>
    </row>
    <row r="60" spans="1:22" x14ac:dyDescent="0.35">
      <c r="B60" s="242" t="s">
        <v>300</v>
      </c>
      <c r="C60" s="243"/>
      <c r="H60" s="243"/>
    </row>
    <row r="61" spans="1:22" x14ac:dyDescent="0.35">
      <c r="B61" s="242" t="s">
        <v>458</v>
      </c>
      <c r="C61" s="243"/>
      <c r="H61" s="243"/>
    </row>
    <row r="62" spans="1:22" x14ac:dyDescent="0.35">
      <c r="B62" s="242" t="s">
        <v>1222</v>
      </c>
      <c r="C62" s="243"/>
      <c r="H62" s="243"/>
    </row>
    <row r="63" spans="1:22" x14ac:dyDescent="0.35">
      <c r="B63" s="242"/>
      <c r="C63" s="243"/>
      <c r="H63" s="243"/>
    </row>
    <row r="64" spans="1:22" x14ac:dyDescent="0.35">
      <c r="B64" s="242"/>
      <c r="C64" s="243"/>
      <c r="H64" s="243"/>
    </row>
    <row r="65" spans="2:24" x14ac:dyDescent="0.35">
      <c r="B65" s="242"/>
      <c r="C65" s="243"/>
      <c r="H65" s="243"/>
    </row>
    <row r="66" spans="2:24" x14ac:dyDescent="0.35">
      <c r="B66" s="242"/>
      <c r="C66" s="243"/>
      <c r="H66" s="243"/>
    </row>
    <row r="67" spans="2:24" x14ac:dyDescent="0.35">
      <c r="B67" s="242"/>
      <c r="C67" s="243"/>
      <c r="H67" s="243"/>
    </row>
    <row r="68" spans="2:24" x14ac:dyDescent="0.35">
      <c r="B68" s="242"/>
      <c r="C68" s="243"/>
      <c r="H68" s="243"/>
    </row>
    <row r="69" spans="2:24" x14ac:dyDescent="0.35">
      <c r="B69" s="242"/>
      <c r="C69" s="243"/>
      <c r="H69" s="243"/>
    </row>
    <row r="70" spans="2:24" x14ac:dyDescent="0.35">
      <c r="B70" s="242"/>
      <c r="C70" s="243"/>
      <c r="H70" s="243"/>
    </row>
    <row r="71" spans="2:24" x14ac:dyDescent="0.35">
      <c r="B71" s="242"/>
      <c r="C71" s="243"/>
      <c r="H71" s="243"/>
    </row>
    <row r="72" spans="2:24" x14ac:dyDescent="0.35">
      <c r="B72" s="242"/>
      <c r="C72" s="243"/>
      <c r="H72" s="243"/>
    </row>
    <row r="73" spans="2:24" x14ac:dyDescent="0.35">
      <c r="B73" s="242" t="s">
        <v>1224</v>
      </c>
      <c r="C73" s="240">
        <v>2021</v>
      </c>
      <c r="D73" s="240">
        <v>2022</v>
      </c>
      <c r="E73" s="240">
        <v>2023</v>
      </c>
      <c r="F73" s="240">
        <v>2024</v>
      </c>
      <c r="G73" s="240">
        <v>2025</v>
      </c>
      <c r="H73" s="243"/>
    </row>
    <row r="74" spans="2:24" x14ac:dyDescent="0.35">
      <c r="B74" s="242" t="s">
        <v>1121</v>
      </c>
      <c r="C74" s="249">
        <f t="shared" ref="C74:C85" si="43">SUM(C4:E4)/4</f>
        <v>0.77600000000001046</v>
      </c>
      <c r="D74" s="249">
        <f t="shared" ref="D74:D85" si="44">SUM(F4:I4)/4</f>
        <v>19.719000000000005</v>
      </c>
      <c r="E74" s="249">
        <f t="shared" ref="E74:E85" si="45">SUM(J4:M4)/4</f>
        <v>1.4159999999999999</v>
      </c>
      <c r="F74" s="249">
        <f t="shared" ref="F74:F85" si="46">SUM(N4:Q4)/4</f>
        <v>1.4790000000000001</v>
      </c>
      <c r="G74" s="249">
        <f t="shared" ref="G74:G85" si="47">SUM(R4:U4)/4</f>
        <v>1.63</v>
      </c>
    </row>
    <row r="75" spans="2:24" x14ac:dyDescent="0.35">
      <c r="B75" s="242" t="s">
        <v>1122</v>
      </c>
      <c r="C75" s="249">
        <f t="shared" si="43"/>
        <v>47.722000000000023</v>
      </c>
      <c r="D75" s="249">
        <f t="shared" si="44"/>
        <v>52.756999999999998</v>
      </c>
      <c r="E75" s="249">
        <f t="shared" si="45"/>
        <v>12</v>
      </c>
      <c r="F75" s="249">
        <f t="shared" si="46"/>
        <v>4.2219999999999995</v>
      </c>
      <c r="G75" s="249">
        <f t="shared" si="47"/>
        <v>2.3719999999999999</v>
      </c>
      <c r="H75" s="243"/>
    </row>
    <row r="76" spans="2:24" x14ac:dyDescent="0.35">
      <c r="B76" s="242" t="s">
        <v>73</v>
      </c>
      <c r="C76" s="249">
        <f t="shared" si="43"/>
        <v>81.643000000000001</v>
      </c>
      <c r="D76" s="249">
        <f t="shared" si="44"/>
        <v>110.24799999999999</v>
      </c>
      <c r="E76" s="249">
        <f t="shared" si="45"/>
        <v>12.726000000000001</v>
      </c>
      <c r="F76" s="249">
        <f t="shared" si="46"/>
        <v>1.365</v>
      </c>
      <c r="G76" s="249">
        <f t="shared" si="47"/>
        <v>-0.90100000000000025</v>
      </c>
      <c r="H76" s="243"/>
      <c r="O76" s="242"/>
      <c r="P76" s="242"/>
      <c r="Q76" s="242"/>
      <c r="R76" s="242"/>
      <c r="S76" s="250"/>
      <c r="T76" s="250"/>
      <c r="U76" s="250"/>
      <c r="V76" s="1"/>
      <c r="W76" s="242"/>
      <c r="X76" s="242"/>
    </row>
    <row r="77" spans="2:24" x14ac:dyDescent="0.35">
      <c r="B77" s="242" t="s">
        <v>174</v>
      </c>
      <c r="C77" s="249">
        <f t="shared" si="43"/>
        <v>7.798</v>
      </c>
      <c r="D77" s="249">
        <f t="shared" si="44"/>
        <v>7.9489999999999998</v>
      </c>
      <c r="E77" s="249">
        <f t="shared" si="45"/>
        <v>4.7519999999999998</v>
      </c>
      <c r="F77" s="249">
        <f t="shared" si="46"/>
        <v>4.637999999999999</v>
      </c>
      <c r="G77" s="249">
        <f t="shared" si="47"/>
        <v>1.8800000000000001</v>
      </c>
      <c r="H77" s="243"/>
    </row>
    <row r="78" spans="2:24" x14ac:dyDescent="0.35">
      <c r="B78" s="245" t="s">
        <v>480</v>
      </c>
      <c r="C78" s="249">
        <f t="shared" si="43"/>
        <v>247.29179999999997</v>
      </c>
      <c r="D78" s="249">
        <f t="shared" si="44"/>
        <v>164.8612</v>
      </c>
      <c r="E78" s="249">
        <f t="shared" si="45"/>
        <v>0</v>
      </c>
      <c r="F78" s="249">
        <f t="shared" si="46"/>
        <v>0</v>
      </c>
      <c r="G78" s="249">
        <f t="shared" si="47"/>
        <v>0</v>
      </c>
      <c r="H78" s="243"/>
      <c r="R78" s="3"/>
      <c r="S78" s="3"/>
    </row>
    <row r="79" spans="2:24" x14ac:dyDescent="0.35">
      <c r="B79" s="245" t="s">
        <v>193</v>
      </c>
      <c r="C79" s="249">
        <f t="shared" si="43"/>
        <v>12.347</v>
      </c>
      <c r="D79" s="249">
        <f t="shared" si="44"/>
        <v>46.79</v>
      </c>
      <c r="E79" s="249">
        <f t="shared" si="45"/>
        <v>38.595999999999997</v>
      </c>
      <c r="F79" s="249">
        <f t="shared" si="46"/>
        <v>31.911000000000001</v>
      </c>
      <c r="G79" s="249">
        <f t="shared" si="47"/>
        <v>23.099</v>
      </c>
      <c r="H79" s="243"/>
      <c r="R79" s="3"/>
      <c r="S79" s="3"/>
    </row>
    <row r="80" spans="2:24" x14ac:dyDescent="0.35">
      <c r="B80" s="245" t="s">
        <v>496</v>
      </c>
      <c r="C80" s="249">
        <f t="shared" si="43"/>
        <v>29.628</v>
      </c>
      <c r="D80" s="249">
        <f t="shared" si="44"/>
        <v>35.671000000000006</v>
      </c>
      <c r="E80" s="249">
        <f t="shared" si="45"/>
        <v>24.216000000000001</v>
      </c>
      <c r="F80" s="249">
        <f t="shared" si="46"/>
        <v>9.6430000000000007</v>
      </c>
      <c r="G80" s="249">
        <f t="shared" si="47"/>
        <v>4.5789999999999997</v>
      </c>
      <c r="H80" s="243"/>
      <c r="R80" s="3"/>
      <c r="S80" s="3"/>
    </row>
    <row r="81" spans="2:19" x14ac:dyDescent="0.35">
      <c r="B81" s="1" t="s">
        <v>202</v>
      </c>
      <c r="C81" s="249">
        <f t="shared" si="43"/>
        <v>25.75</v>
      </c>
      <c r="D81" s="249">
        <f t="shared" si="44"/>
        <v>0</v>
      </c>
      <c r="E81" s="249">
        <f t="shared" si="45"/>
        <v>0</v>
      </c>
      <c r="F81" s="249">
        <f t="shared" si="46"/>
        <v>0</v>
      </c>
      <c r="G81" s="249">
        <f t="shared" si="47"/>
        <v>0</v>
      </c>
      <c r="H81" s="243"/>
      <c r="R81" s="3"/>
      <c r="S81" s="3"/>
    </row>
    <row r="82" spans="2:19" x14ac:dyDescent="0.35">
      <c r="B82" s="242" t="s">
        <v>152</v>
      </c>
      <c r="C82" s="249">
        <f t="shared" si="43"/>
        <v>31.939</v>
      </c>
      <c r="D82" s="249">
        <f t="shared" si="44"/>
        <v>56.413000000000004</v>
      </c>
      <c r="E82" s="249">
        <f t="shared" si="45"/>
        <v>15.652999999999999</v>
      </c>
      <c r="F82" s="249">
        <f t="shared" si="46"/>
        <v>3.9320000000000004</v>
      </c>
      <c r="G82" s="249">
        <f t="shared" si="47"/>
        <v>-0.74299999999999988</v>
      </c>
      <c r="R82" s="3"/>
      <c r="S82" s="3"/>
    </row>
    <row r="83" spans="2:19" x14ac:dyDescent="0.35">
      <c r="B83" s="45" t="s">
        <v>1215</v>
      </c>
      <c r="C83" s="249">
        <f t="shared" si="43"/>
        <v>1.02</v>
      </c>
      <c r="D83" s="249">
        <f t="shared" si="44"/>
        <v>1.5299999999999998</v>
      </c>
      <c r="E83" s="249">
        <f t="shared" si="45"/>
        <v>0</v>
      </c>
      <c r="F83" s="249">
        <f t="shared" si="46"/>
        <v>0</v>
      </c>
      <c r="G83" s="249">
        <f t="shared" si="47"/>
        <v>0</v>
      </c>
      <c r="R83" s="3"/>
      <c r="S83" s="3"/>
    </row>
    <row r="84" spans="2:19" x14ac:dyDescent="0.35">
      <c r="B84" s="45" t="s">
        <v>1216</v>
      </c>
      <c r="C84" s="249">
        <f t="shared" si="43"/>
        <v>0.68</v>
      </c>
      <c r="D84" s="249">
        <f t="shared" si="44"/>
        <v>1.02</v>
      </c>
      <c r="E84" s="249">
        <f t="shared" si="45"/>
        <v>0</v>
      </c>
      <c r="F84" s="249">
        <f t="shared" si="46"/>
        <v>0</v>
      </c>
      <c r="G84" s="249">
        <f t="shared" si="47"/>
        <v>0</v>
      </c>
      <c r="R84" s="3"/>
      <c r="S84" s="3"/>
    </row>
    <row r="85" spans="2:19" x14ac:dyDescent="0.35">
      <c r="B85" s="45" t="s">
        <v>645</v>
      </c>
      <c r="C85" s="249">
        <f t="shared" si="43"/>
        <v>1.7</v>
      </c>
      <c r="D85" s="249">
        <f t="shared" si="44"/>
        <v>2.5499999999999998</v>
      </c>
      <c r="E85" s="249">
        <f t="shared" si="45"/>
        <v>0</v>
      </c>
      <c r="F85" s="249">
        <f t="shared" si="46"/>
        <v>0</v>
      </c>
      <c r="G85" s="249">
        <f t="shared" si="47"/>
        <v>0</v>
      </c>
      <c r="R85" s="3"/>
      <c r="S85" s="3"/>
    </row>
    <row r="86" spans="2:19" x14ac:dyDescent="0.35">
      <c r="C86" s="240">
        <v>2021</v>
      </c>
      <c r="D86" s="240">
        <v>2022</v>
      </c>
      <c r="E86" s="240">
        <v>2023</v>
      </c>
      <c r="F86" s="240">
        <v>2024</v>
      </c>
      <c r="G86" s="240">
        <v>2025</v>
      </c>
      <c r="R86" s="3"/>
      <c r="S86" s="3"/>
    </row>
    <row r="87" spans="2:19" x14ac:dyDescent="0.35">
      <c r="B87" s="45" t="s">
        <v>1225</v>
      </c>
      <c r="C87" s="248">
        <f>SUM(C83:C85)</f>
        <v>3.4000000000000004</v>
      </c>
      <c r="D87" s="248">
        <f t="shared" ref="D87:G87" si="48">SUM(D83:D85)</f>
        <v>5.0999999999999996</v>
      </c>
      <c r="E87" s="248">
        <f t="shared" si="48"/>
        <v>0</v>
      </c>
      <c r="F87" s="248">
        <f t="shared" si="48"/>
        <v>0</v>
      </c>
      <c r="G87" s="248">
        <f t="shared" si="48"/>
        <v>0</v>
      </c>
      <c r="R87" s="3"/>
      <c r="S87" s="3"/>
    </row>
    <row r="90" spans="2:19" x14ac:dyDescent="0.35">
      <c r="B90" s="45" t="s">
        <v>1121</v>
      </c>
      <c r="C90" s="249">
        <v>26.636000000000024</v>
      </c>
      <c r="D90" s="249">
        <v>98.978999999999999</v>
      </c>
      <c r="E90" s="249">
        <v>2.1159999999999997</v>
      </c>
      <c r="F90" s="249">
        <v>2.1789999999999998</v>
      </c>
      <c r="G90" s="249">
        <v>2.33</v>
      </c>
      <c r="H90" s="249"/>
      <c r="I90" s="249"/>
      <c r="J90" s="249"/>
      <c r="K90" s="249"/>
      <c r="L90" s="249"/>
      <c r="M90" s="249"/>
    </row>
    <row r="91" spans="2:19" x14ac:dyDescent="0.35">
      <c r="B91" s="45" t="s">
        <v>1122</v>
      </c>
      <c r="C91" s="249">
        <v>47.722000000000016</v>
      </c>
      <c r="D91" s="249">
        <v>52.756999999999998</v>
      </c>
      <c r="E91" s="249">
        <v>12</v>
      </c>
      <c r="F91" s="249">
        <v>4.2219999999999995</v>
      </c>
      <c r="G91" s="249">
        <v>2.3719999999999999</v>
      </c>
      <c r="H91" s="249"/>
      <c r="I91" s="249"/>
      <c r="J91" s="249"/>
      <c r="K91" s="249"/>
      <c r="L91" s="249"/>
      <c r="M91" s="249"/>
    </row>
    <row r="92" spans="2:19" x14ac:dyDescent="0.35">
      <c r="B92" s="45" t="s">
        <v>73</v>
      </c>
      <c r="C92" s="249">
        <v>81.842999999999989</v>
      </c>
      <c r="D92" s="249">
        <v>110.24799999999999</v>
      </c>
      <c r="E92" s="249">
        <v>12.726000000000001</v>
      </c>
      <c r="F92" s="249">
        <v>1.365</v>
      </c>
      <c r="G92" s="249">
        <v>-0.90100000000000025</v>
      </c>
      <c r="H92" s="249"/>
      <c r="I92" s="249"/>
      <c r="J92" s="249"/>
      <c r="K92" s="249"/>
      <c r="L92" s="249"/>
      <c r="M92" s="249"/>
    </row>
    <row r="93" spans="2:19" x14ac:dyDescent="0.35">
      <c r="B93" s="45" t="s">
        <v>174</v>
      </c>
      <c r="C93" s="249">
        <v>7.798</v>
      </c>
      <c r="D93" s="249">
        <v>7.9489999999999998</v>
      </c>
      <c r="E93" s="249">
        <v>4.7519999999999998</v>
      </c>
      <c r="F93" s="249">
        <v>4.637999999999999</v>
      </c>
      <c r="G93" s="249">
        <v>1.8800000000000001</v>
      </c>
      <c r="H93" s="249"/>
      <c r="I93" s="249"/>
      <c r="J93" s="249"/>
      <c r="K93" s="249"/>
      <c r="L93" s="249"/>
      <c r="M93" s="249"/>
    </row>
    <row r="94" spans="2:19" x14ac:dyDescent="0.35">
      <c r="B94" s="45" t="s">
        <v>480</v>
      </c>
      <c r="C94" s="249">
        <v>283.95749999999998</v>
      </c>
      <c r="D94" s="249">
        <v>77.092500000000001</v>
      </c>
      <c r="E94" s="249">
        <v>1</v>
      </c>
      <c r="F94" s="249">
        <v>0</v>
      </c>
      <c r="G94" s="249">
        <v>0</v>
      </c>
      <c r="H94" s="249"/>
      <c r="I94" s="249"/>
      <c r="J94" s="249"/>
      <c r="K94" s="249"/>
      <c r="L94" s="249"/>
      <c r="M94" s="249"/>
    </row>
    <row r="95" spans="2:19" x14ac:dyDescent="0.35">
      <c r="B95" s="45" t="s">
        <v>193</v>
      </c>
      <c r="C95" s="249">
        <v>12.347</v>
      </c>
      <c r="D95" s="249">
        <v>46.79</v>
      </c>
      <c r="E95" s="249">
        <v>38.595999999999997</v>
      </c>
      <c r="F95" s="249">
        <v>31.911000000000001</v>
      </c>
      <c r="G95" s="249">
        <v>23.099</v>
      </c>
      <c r="H95" s="249"/>
      <c r="I95" s="249"/>
      <c r="J95" s="249"/>
      <c r="K95" s="249"/>
      <c r="L95" s="249"/>
      <c r="M95" s="249"/>
    </row>
    <row r="96" spans="2:19" x14ac:dyDescent="0.35">
      <c r="B96" s="45" t="s">
        <v>496</v>
      </c>
      <c r="C96" s="249">
        <v>2.286</v>
      </c>
      <c r="D96" s="249">
        <v>4.6049999999999995</v>
      </c>
      <c r="E96" s="249">
        <v>1.349</v>
      </c>
      <c r="F96" s="249">
        <v>0.441</v>
      </c>
      <c r="G96" s="249">
        <v>0.313</v>
      </c>
      <c r="H96" s="249"/>
      <c r="I96" s="249"/>
      <c r="J96" s="249"/>
      <c r="K96" s="249"/>
      <c r="L96" s="249"/>
      <c r="M96" s="249"/>
    </row>
    <row r="97" spans="2:13" x14ac:dyDescent="0.35">
      <c r="B97" s="45" t="s">
        <v>202</v>
      </c>
      <c r="C97" s="249">
        <v>25.75</v>
      </c>
      <c r="D97" s="249">
        <v>0</v>
      </c>
      <c r="E97" s="249">
        <v>0</v>
      </c>
      <c r="F97" s="249">
        <v>0</v>
      </c>
      <c r="G97" s="249">
        <v>0</v>
      </c>
      <c r="H97" s="249"/>
      <c r="I97" s="249"/>
      <c r="J97" s="249"/>
      <c r="K97" s="249"/>
      <c r="L97" s="249"/>
      <c r="M97" s="249"/>
    </row>
    <row r="98" spans="2:13" x14ac:dyDescent="0.35">
      <c r="B98" s="45" t="s">
        <v>152</v>
      </c>
      <c r="C98" s="249">
        <v>60.441000000000003</v>
      </c>
      <c r="D98" s="249">
        <v>91.678999999999988</v>
      </c>
      <c r="E98" s="249">
        <v>41.220000000000006</v>
      </c>
      <c r="F98" s="249">
        <v>14.004000000000003</v>
      </c>
      <c r="G98" s="249">
        <v>3.8530000000000006</v>
      </c>
      <c r="H98" s="249"/>
      <c r="I98" s="249"/>
      <c r="J98" s="249"/>
      <c r="K98" s="249"/>
      <c r="L98" s="249"/>
      <c r="M98" s="249"/>
    </row>
    <row r="99" spans="2:13" x14ac:dyDescent="0.35">
      <c r="C99" s="240">
        <v>3.4</v>
      </c>
      <c r="D99" s="240">
        <v>5.0999999999999996</v>
      </c>
      <c r="E99" s="240">
        <v>0</v>
      </c>
      <c r="F99" s="240">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5" bestFit="1" customWidth="1"/>
    <col min="2" max="16384" width="10.81640625" style="45"/>
  </cols>
  <sheetData>
    <row r="1" spans="1:23" x14ac:dyDescent="0.35">
      <c r="B1" s="45" t="s">
        <v>926</v>
      </c>
      <c r="C1" s="45" t="s">
        <v>927</v>
      </c>
      <c r="D1" s="45" t="s">
        <v>368</v>
      </c>
      <c r="E1" s="45" t="s">
        <v>369</v>
      </c>
      <c r="F1" s="45" t="s">
        <v>370</v>
      </c>
      <c r="G1" s="45" t="s">
        <v>371</v>
      </c>
      <c r="H1" s="45" t="s">
        <v>372</v>
      </c>
      <c r="I1" s="45" t="s">
        <v>224</v>
      </c>
      <c r="J1" s="45" t="s">
        <v>225</v>
      </c>
      <c r="K1" s="45" t="s">
        <v>226</v>
      </c>
      <c r="L1" s="45" t="s">
        <v>227</v>
      </c>
      <c r="M1" s="45" t="s">
        <v>228</v>
      </c>
      <c r="N1" s="45" t="s">
        <v>229</v>
      </c>
      <c r="O1" s="45" t="s">
        <v>230</v>
      </c>
      <c r="P1" s="45" t="s">
        <v>231</v>
      </c>
      <c r="Q1" s="45" t="s">
        <v>232</v>
      </c>
      <c r="R1" s="45" t="s">
        <v>233</v>
      </c>
      <c r="S1" s="45" t="s">
        <v>234</v>
      </c>
      <c r="T1" s="45" t="s">
        <v>235</v>
      </c>
      <c r="U1" s="45" t="s">
        <v>219</v>
      </c>
      <c r="V1" s="45" t="s">
        <v>220</v>
      </c>
      <c r="W1" s="45" t="s">
        <v>221</v>
      </c>
    </row>
    <row r="2" spans="1:23" x14ac:dyDescent="0.35">
      <c r="A2" s="45" t="s">
        <v>136</v>
      </c>
      <c r="B2" s="188">
        <v>112.989</v>
      </c>
      <c r="C2" s="188">
        <v>113.38</v>
      </c>
      <c r="D2" s="188">
        <v>112.86</v>
      </c>
      <c r="E2" s="188">
        <v>113.83799999999999</v>
      </c>
      <c r="F2" s="188">
        <v>114.41500000000001</v>
      </c>
      <c r="G2" s="188">
        <v>115.613</v>
      </c>
      <c r="H2" s="188">
        <v>116.079929684229</v>
      </c>
      <c r="I2" s="188">
        <v>116.665860886253</v>
      </c>
      <c r="J2" s="188">
        <v>117.173130068039</v>
      </c>
      <c r="K2" s="188">
        <v>117.776205556525</v>
      </c>
      <c r="L2" s="188">
        <v>118.328856673063</v>
      </c>
      <c r="M2" s="188">
        <v>118.891592663992</v>
      </c>
      <c r="N2" s="188">
        <v>119.478532353454</v>
      </c>
      <c r="O2" s="188">
        <v>120.061438093161</v>
      </c>
      <c r="P2" s="188">
        <v>120.658462657013</v>
      </c>
      <c r="Q2" s="188">
        <v>121.265572095255</v>
      </c>
      <c r="R2" s="188">
        <v>121.88982581995801</v>
      </c>
      <c r="S2" s="188">
        <v>122.528198368807</v>
      </c>
      <c r="T2" s="188">
        <v>123.170604867411</v>
      </c>
      <c r="U2" s="188">
        <v>123.820070778088</v>
      </c>
      <c r="V2" s="188">
        <v>124.47558761339801</v>
      </c>
      <c r="W2" s="188">
        <v>125.131104448709</v>
      </c>
    </row>
    <row r="3" spans="1:23" x14ac:dyDescent="0.35">
      <c r="A3" s="45" t="s">
        <v>212</v>
      </c>
      <c r="B3" s="191">
        <v>3.4368838919380802E-3</v>
      </c>
      <c r="C3" s="191">
        <v>3.4605138553309698E-3</v>
      </c>
      <c r="D3" s="191">
        <v>-4.5863467983771099E-3</v>
      </c>
      <c r="E3" s="191">
        <v>8.6656034024454893E-3</v>
      </c>
      <c r="F3" s="191">
        <v>5.0686062650433499E-3</v>
      </c>
      <c r="G3" s="191">
        <v>1.04706550714504E-2</v>
      </c>
      <c r="H3" s="191">
        <v>4.0387299371946704E-3</v>
      </c>
      <c r="I3" s="191">
        <v>5.0476529716862997E-3</v>
      </c>
      <c r="J3" s="191">
        <v>4.3480515888107999E-3</v>
      </c>
      <c r="K3" s="191">
        <v>5.1468752958592203E-3</v>
      </c>
      <c r="L3" s="191">
        <v>4.6923834396541703E-3</v>
      </c>
      <c r="M3" s="191">
        <v>4.7556953286800301E-3</v>
      </c>
      <c r="N3" s="191">
        <v>4.9367636206325604E-3</v>
      </c>
      <c r="O3" s="191">
        <v>4.8787487444397204E-3</v>
      </c>
      <c r="P3" s="191">
        <v>4.97265877649067E-3</v>
      </c>
      <c r="Q3" s="191">
        <v>5.03163578312149E-3</v>
      </c>
      <c r="R3" s="191">
        <v>5.1478231943116199E-3</v>
      </c>
      <c r="S3" s="191">
        <v>5.23729150119134E-3</v>
      </c>
      <c r="T3" s="191">
        <v>5.2429278089169999E-3</v>
      </c>
      <c r="U3" s="191">
        <v>5.2728969820035098E-3</v>
      </c>
      <c r="V3" s="191">
        <v>5.2941080649626703E-3</v>
      </c>
      <c r="W3" s="191">
        <v>5.26622808438937E-3</v>
      </c>
    </row>
    <row r="4" spans="1:23" x14ac:dyDescent="0.35">
      <c r="A4" s="45" t="s">
        <v>139</v>
      </c>
      <c r="B4" s="188">
        <v>110.529</v>
      </c>
      <c r="C4" s="188">
        <v>110.88200000000001</v>
      </c>
      <c r="D4" s="188">
        <v>110.435</v>
      </c>
      <c r="E4" s="188">
        <v>111.431</v>
      </c>
      <c r="F4" s="188">
        <v>111.83499999999999</v>
      </c>
      <c r="G4" s="188">
        <v>112.864</v>
      </c>
      <c r="H4" s="188">
        <v>113.331748734778</v>
      </c>
      <c r="I4" s="188">
        <v>113.915555194576</v>
      </c>
      <c r="J4" s="188">
        <v>114.364746923467</v>
      </c>
      <c r="K4" s="188">
        <v>114.924235646865</v>
      </c>
      <c r="L4" s="188">
        <v>115.440791354819</v>
      </c>
      <c r="M4" s="188">
        <v>115.96851279450701</v>
      </c>
      <c r="N4" s="188">
        <v>116.52210368492899</v>
      </c>
      <c r="O4" s="188">
        <v>117.071115307263</v>
      </c>
      <c r="P4" s="188">
        <v>117.63129076657199</v>
      </c>
      <c r="Q4" s="188">
        <v>118.20059915499699</v>
      </c>
      <c r="R4" s="188">
        <v>118.776332952822</v>
      </c>
      <c r="S4" s="188">
        <v>119.374397493133</v>
      </c>
      <c r="T4" s="188">
        <v>119.981640842685</v>
      </c>
      <c r="U4" s="188">
        <v>120.594864779056</v>
      </c>
      <c r="V4" s="188">
        <v>121.219127553946</v>
      </c>
      <c r="W4" s="188">
        <v>121.837226137653</v>
      </c>
    </row>
    <row r="5" spans="1:23" x14ac:dyDescent="0.35">
      <c r="A5" s="45" t="s">
        <v>213</v>
      </c>
      <c r="B5" s="191">
        <v>3.82351872706788E-3</v>
      </c>
      <c r="C5" s="191">
        <v>3.1937319617476598E-3</v>
      </c>
      <c r="D5" s="191">
        <v>-4.0313125665121198E-3</v>
      </c>
      <c r="E5" s="191">
        <v>9.0188798840946695E-3</v>
      </c>
      <c r="F5" s="191">
        <v>3.6255620069818302E-3</v>
      </c>
      <c r="G5" s="191">
        <v>9.2010551258552304E-3</v>
      </c>
      <c r="H5" s="191">
        <v>4.1443572332882104E-3</v>
      </c>
      <c r="I5" s="191">
        <v>5.1513054930816303E-3</v>
      </c>
      <c r="J5" s="191">
        <v>3.9431992244038901E-3</v>
      </c>
      <c r="K5" s="191">
        <v>4.8921432386195302E-3</v>
      </c>
      <c r="L5" s="191">
        <v>4.49474999808697E-3</v>
      </c>
      <c r="M5" s="191">
        <v>4.5713602054786601E-3</v>
      </c>
      <c r="N5" s="191">
        <v>4.7736310234707301E-3</v>
      </c>
      <c r="O5" s="191">
        <v>4.7116521670327299E-3</v>
      </c>
      <c r="P5" s="191">
        <v>4.7849160558435201E-3</v>
      </c>
      <c r="Q5" s="191">
        <v>4.8397699686470999E-3</v>
      </c>
      <c r="R5" s="191">
        <v>4.87081962308911E-3</v>
      </c>
      <c r="S5" s="191">
        <v>5.0352164058453698E-3</v>
      </c>
      <c r="T5" s="191">
        <v>5.0868809585997701E-3</v>
      </c>
      <c r="U5" s="191">
        <v>5.11098141402422E-3</v>
      </c>
      <c r="V5" s="191">
        <v>5.1765286692269097E-3</v>
      </c>
      <c r="W5" s="191">
        <v>5.0990185804744596E-3</v>
      </c>
    </row>
    <row r="6" spans="1:23" x14ac:dyDescent="0.35">
      <c r="A6" s="45" t="s">
        <v>140</v>
      </c>
      <c r="B6" s="188">
        <v>111.28100000000001</v>
      </c>
      <c r="C6" s="188">
        <v>111.205</v>
      </c>
      <c r="D6" s="188">
        <v>110.901</v>
      </c>
      <c r="E6" s="188">
        <v>111.373</v>
      </c>
      <c r="F6" s="188">
        <v>112.102</v>
      </c>
      <c r="G6" s="188">
        <v>113.15</v>
      </c>
      <c r="H6" s="188">
        <v>113.740871678471</v>
      </c>
      <c r="I6" s="188">
        <v>114.281152336175</v>
      </c>
      <c r="J6" s="188">
        <v>114.807363360671</v>
      </c>
      <c r="K6" s="188">
        <v>115.391332330529</v>
      </c>
      <c r="L6" s="188">
        <v>115.906636484177</v>
      </c>
      <c r="M6" s="188">
        <v>116.47813120061301</v>
      </c>
      <c r="N6" s="188">
        <v>117.06948406540501</v>
      </c>
      <c r="O6" s="188">
        <v>117.660979705042</v>
      </c>
      <c r="P6" s="188">
        <v>118.263437866774</v>
      </c>
      <c r="Q6" s="188">
        <v>118.87469011020799</v>
      </c>
      <c r="R6" s="188">
        <v>119.499263080446</v>
      </c>
      <c r="S6" s="188">
        <v>120.12606865428199</v>
      </c>
      <c r="T6" s="188">
        <v>120.750798876066</v>
      </c>
      <c r="U6" s="188">
        <v>121.383984751452</v>
      </c>
      <c r="V6" s="188">
        <v>122.03331038248599</v>
      </c>
      <c r="W6" s="188">
        <v>122.676475823877</v>
      </c>
    </row>
    <row r="7" spans="1:23" x14ac:dyDescent="0.35">
      <c r="A7" s="45" t="s">
        <v>214</v>
      </c>
      <c r="B7" s="191">
        <v>3.24555314142505E-3</v>
      </c>
      <c r="C7" s="191">
        <v>-6.8295576064203401E-4</v>
      </c>
      <c r="D7" s="191">
        <v>-2.7336900319230302E-3</v>
      </c>
      <c r="E7" s="191">
        <v>4.2560481871218902E-3</v>
      </c>
      <c r="F7" s="191">
        <v>6.5455720865918998E-3</v>
      </c>
      <c r="G7" s="191">
        <v>9.3486289272271001E-3</v>
      </c>
      <c r="H7" s="191">
        <v>5.2220210205149399E-3</v>
      </c>
      <c r="I7" s="191">
        <v>4.7501012585042801E-3</v>
      </c>
      <c r="J7" s="191">
        <v>4.6045302636466001E-3</v>
      </c>
      <c r="K7" s="191">
        <v>5.08651146376282E-3</v>
      </c>
      <c r="L7" s="191">
        <v>4.4657093669009402E-3</v>
      </c>
      <c r="M7" s="191">
        <v>4.93064706017576E-3</v>
      </c>
      <c r="N7" s="191">
        <v>5.07694327421948E-3</v>
      </c>
      <c r="O7" s="191">
        <v>5.0525176937379302E-3</v>
      </c>
      <c r="P7" s="191">
        <v>5.1202885038195102E-3</v>
      </c>
      <c r="Q7" s="191">
        <v>5.1685648114068198E-3</v>
      </c>
      <c r="R7" s="191">
        <v>5.2540449919040704E-3</v>
      </c>
      <c r="S7" s="191">
        <v>5.2452672734406604E-3</v>
      </c>
      <c r="T7" s="191">
        <v>5.2006215535225202E-3</v>
      </c>
      <c r="U7" s="191">
        <v>5.2437406731884496E-3</v>
      </c>
      <c r="V7" s="191">
        <v>5.3493517482039498E-3</v>
      </c>
      <c r="W7" s="191">
        <v>5.2704088693051902E-3</v>
      </c>
    </row>
    <row r="8" spans="1:23" x14ac:dyDescent="0.35">
      <c r="A8" s="45" t="s">
        <v>141</v>
      </c>
      <c r="B8" s="188">
        <v>115.81100000000001</v>
      </c>
      <c r="C8" s="188">
        <v>116.688</v>
      </c>
      <c r="D8" s="188">
        <v>115.96899999999999</v>
      </c>
      <c r="E8" s="188">
        <v>116.889</v>
      </c>
      <c r="F8" s="188">
        <v>117.727</v>
      </c>
      <c r="G8" s="188">
        <v>119.875</v>
      </c>
      <c r="H8" s="188">
        <v>120.76873975873001</v>
      </c>
      <c r="I8" s="188">
        <v>121.552279732736</v>
      </c>
      <c r="J8" s="188">
        <v>122.340256590244</v>
      </c>
      <c r="K8" s="188">
        <v>123.25721026709</v>
      </c>
      <c r="L8" s="188">
        <v>124.206114070071</v>
      </c>
      <c r="M8" s="188">
        <v>125.17969366017699</v>
      </c>
      <c r="N8" s="188">
        <v>126.18181722618</v>
      </c>
      <c r="O8" s="188">
        <v>127.184679442917</v>
      </c>
      <c r="P8" s="188">
        <v>128.20678945908199</v>
      </c>
      <c r="Q8" s="188">
        <v>129.23804458913099</v>
      </c>
      <c r="R8" s="188">
        <v>130.283856199566</v>
      </c>
      <c r="S8" s="188">
        <v>131.336805862246</v>
      </c>
      <c r="T8" s="188">
        <v>132.40388083176001</v>
      </c>
      <c r="U8" s="188">
        <v>133.47650409411</v>
      </c>
      <c r="V8" s="188">
        <v>134.564804617167</v>
      </c>
      <c r="W8" s="188">
        <v>135.654176919939</v>
      </c>
    </row>
    <row r="9" spans="1:23" x14ac:dyDescent="0.35">
      <c r="A9" s="45" t="s">
        <v>215</v>
      </c>
      <c r="B9" s="191">
        <v>4.7630615467371103E-3</v>
      </c>
      <c r="C9" s="191">
        <v>7.57268307846393E-3</v>
      </c>
      <c r="D9" s="191">
        <v>-6.1617304264364198E-3</v>
      </c>
      <c r="E9" s="191">
        <v>7.9331545499228308E-3</v>
      </c>
      <c r="F9" s="191">
        <v>7.1691947060887901E-3</v>
      </c>
      <c r="G9" s="191">
        <v>1.8245602113363901E-2</v>
      </c>
      <c r="H9" s="191">
        <v>7.4555975702150796E-3</v>
      </c>
      <c r="I9" s="191">
        <v>6.4879369907486798E-3</v>
      </c>
      <c r="J9" s="191">
        <v>6.4826168562215304E-3</v>
      </c>
      <c r="K9" s="191">
        <v>7.4951099695452798E-3</v>
      </c>
      <c r="L9" s="191">
        <v>7.6985662820430196E-3</v>
      </c>
      <c r="M9" s="191">
        <v>7.8384192066154306E-3</v>
      </c>
      <c r="N9" s="191">
        <v>8.0054802556355203E-3</v>
      </c>
      <c r="O9" s="191">
        <v>7.9477553801552397E-3</v>
      </c>
      <c r="P9" s="191">
        <v>8.0364240460568705E-3</v>
      </c>
      <c r="Q9" s="191">
        <v>8.0436857860606299E-3</v>
      </c>
      <c r="R9" s="191">
        <v>8.0921342764015396E-3</v>
      </c>
      <c r="S9" s="191">
        <v>8.0819657430741803E-3</v>
      </c>
      <c r="T9" s="191">
        <v>8.1247214937825198E-3</v>
      </c>
      <c r="U9" s="191">
        <v>8.1011467006266696E-3</v>
      </c>
      <c r="V9" s="191">
        <v>8.1534988531763997E-3</v>
      </c>
      <c r="W9" s="191">
        <v>8.0955217515532602E-3</v>
      </c>
    </row>
    <row r="10" spans="1:23" x14ac:dyDescent="0.35">
      <c r="A10" s="45" t="s">
        <v>142</v>
      </c>
      <c r="B10" s="188">
        <v>115.65</v>
      </c>
      <c r="C10" s="188">
        <v>116.628</v>
      </c>
      <c r="D10" s="188">
        <v>115.81100000000001</v>
      </c>
      <c r="E10" s="188">
        <v>116.685</v>
      </c>
      <c r="F10" s="188">
        <v>117.64700000000001</v>
      </c>
      <c r="G10" s="188">
        <v>119.90600000000001</v>
      </c>
      <c r="H10" s="188">
        <v>120.799970882254</v>
      </c>
      <c r="I10" s="188">
        <v>121.583713481823</v>
      </c>
      <c r="J10" s="188">
        <v>122.37189411228201</v>
      </c>
      <c r="K10" s="188">
        <v>123.28908491583501</v>
      </c>
      <c r="L10" s="188">
        <v>124.23823410791201</v>
      </c>
      <c r="M10" s="188">
        <v>125.21206546833901</v>
      </c>
      <c r="N10" s="188">
        <v>126.214448186213</v>
      </c>
      <c r="O10" s="188">
        <v>127.217569745839</v>
      </c>
      <c r="P10" s="188">
        <v>128.23994408242501</v>
      </c>
      <c r="Q10" s="188">
        <v>129.27146589784601</v>
      </c>
      <c r="R10" s="188">
        <v>130.31754795799901</v>
      </c>
      <c r="S10" s="188">
        <v>131.37076991631699</v>
      </c>
      <c r="T10" s="188">
        <v>132.43812083431101</v>
      </c>
      <c r="U10" s="188">
        <v>133.51102147994499</v>
      </c>
      <c r="V10" s="188">
        <v>134.599603440468</v>
      </c>
      <c r="W10" s="188">
        <v>135.68925745787101</v>
      </c>
    </row>
    <row r="11" spans="1:23" x14ac:dyDescent="0.35">
      <c r="A11" s="45" t="s">
        <v>216</v>
      </c>
      <c r="B11" s="191">
        <v>5.5909640282765204E-3</v>
      </c>
      <c r="C11" s="191">
        <v>8.4565499351492192E-3</v>
      </c>
      <c r="D11" s="191">
        <v>-7.0051788592789804E-3</v>
      </c>
      <c r="E11" s="191">
        <v>7.5467788033951599E-3</v>
      </c>
      <c r="F11" s="191">
        <v>8.2444187341990105E-3</v>
      </c>
      <c r="G11" s="191">
        <v>1.9201509600754701E-2</v>
      </c>
      <c r="H11" s="191">
        <v>7.4555975702150796E-3</v>
      </c>
      <c r="I11" s="191">
        <v>6.4879369907486798E-3</v>
      </c>
      <c r="J11" s="191">
        <v>6.4826168562215304E-3</v>
      </c>
      <c r="K11" s="191">
        <v>7.4951099695452798E-3</v>
      </c>
      <c r="L11" s="191">
        <v>7.6985662820430196E-3</v>
      </c>
      <c r="M11" s="191">
        <v>7.8384192066154306E-3</v>
      </c>
      <c r="N11" s="191">
        <v>8.0054802556355203E-3</v>
      </c>
      <c r="O11" s="191">
        <v>7.9477553801552397E-3</v>
      </c>
      <c r="P11" s="191">
        <v>8.0364240460568705E-3</v>
      </c>
      <c r="Q11" s="191">
        <v>8.0436857860606299E-3</v>
      </c>
      <c r="R11" s="191">
        <v>8.0921342764015396E-3</v>
      </c>
      <c r="S11" s="191">
        <v>8.0819657430741803E-3</v>
      </c>
      <c r="T11" s="191">
        <v>8.1247214937825198E-3</v>
      </c>
      <c r="U11" s="191">
        <v>8.1011467006266696E-3</v>
      </c>
      <c r="V11" s="191">
        <v>8.1534988531763997E-3</v>
      </c>
      <c r="W11" s="191">
        <v>8.0955217515532602E-3</v>
      </c>
    </row>
    <row r="12" spans="1:23" x14ac:dyDescent="0.35">
      <c r="A12" s="45" t="s">
        <v>143</v>
      </c>
      <c r="B12" s="188">
        <v>116.521</v>
      </c>
      <c r="C12" s="188">
        <v>116.961</v>
      </c>
      <c r="D12" s="188">
        <v>116.655</v>
      </c>
      <c r="E12" s="188">
        <v>117.77500000000001</v>
      </c>
      <c r="F12" s="188">
        <v>118.093</v>
      </c>
      <c r="G12" s="188">
        <v>119.773</v>
      </c>
      <c r="H12" s="188">
        <v>120.66597928777701</v>
      </c>
      <c r="I12" s="188">
        <v>121.448852558323</v>
      </c>
      <c r="J12" s="188">
        <v>122.236158937087</v>
      </c>
      <c r="K12" s="188">
        <v>123.152332390575</v>
      </c>
      <c r="L12" s="188">
        <v>124.100428784272</v>
      </c>
      <c r="M12" s="188">
        <v>125.073179968804</v>
      </c>
      <c r="N12" s="188">
        <v>126.074450841554</v>
      </c>
      <c r="O12" s="188">
        <v>127.07645973653</v>
      </c>
      <c r="P12" s="188">
        <v>128.09770005324401</v>
      </c>
      <c r="Q12" s="188">
        <v>129.12807770238999</v>
      </c>
      <c r="R12" s="188">
        <v>130.172999446011</v>
      </c>
      <c r="S12" s="188">
        <v>131.22505316820701</v>
      </c>
      <c r="T12" s="188">
        <v>132.29122017820501</v>
      </c>
      <c r="U12" s="188">
        <v>133.36293076007399</v>
      </c>
      <c r="V12" s="188">
        <v>134.45030526308199</v>
      </c>
      <c r="W12" s="188">
        <v>135.53875063384299</v>
      </c>
    </row>
    <row r="13" spans="1:23" x14ac:dyDescent="0.35">
      <c r="A13" s="45" t="s">
        <v>217</v>
      </c>
      <c r="B13" s="191">
        <v>1.11692484814108E-3</v>
      </c>
      <c r="C13" s="191">
        <v>3.7761433561331898E-3</v>
      </c>
      <c r="D13" s="191">
        <v>-2.6162567009515602E-3</v>
      </c>
      <c r="E13" s="191">
        <v>9.6009600960096399E-3</v>
      </c>
      <c r="F13" s="191">
        <v>2.7000636807472701E-3</v>
      </c>
      <c r="G13" s="191">
        <v>1.42260760586994E-2</v>
      </c>
      <c r="H13" s="191">
        <v>7.4555975702150796E-3</v>
      </c>
      <c r="I13" s="191">
        <v>6.4879369907486798E-3</v>
      </c>
      <c r="J13" s="191">
        <v>6.4826168562215304E-3</v>
      </c>
      <c r="K13" s="191">
        <v>7.4951099695452798E-3</v>
      </c>
      <c r="L13" s="191">
        <v>7.6985662820430196E-3</v>
      </c>
      <c r="M13" s="191">
        <v>7.8384192066154306E-3</v>
      </c>
      <c r="N13" s="191">
        <v>8.0054802556355203E-3</v>
      </c>
      <c r="O13" s="191">
        <v>7.9477553801552397E-3</v>
      </c>
      <c r="P13" s="191">
        <v>8.0364240460568705E-3</v>
      </c>
      <c r="Q13" s="191">
        <v>8.0436857860606299E-3</v>
      </c>
      <c r="R13" s="191">
        <v>8.0921342764015396E-3</v>
      </c>
      <c r="S13" s="191">
        <v>8.0819657430741803E-3</v>
      </c>
      <c r="T13" s="191">
        <v>8.1247214937825198E-3</v>
      </c>
      <c r="U13" s="191">
        <v>8.1011467006266696E-3</v>
      </c>
      <c r="V13" s="191">
        <v>8.1534988531763997E-3</v>
      </c>
      <c r="W13" s="19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6" activePane="bottomLeft" state="frozen"/>
      <selection pane="bottomLeft" activeCell="B6" sqref="B6"/>
    </sheetView>
  </sheetViews>
  <sheetFormatPr defaultColWidth="8.54296875" defaultRowHeight="14.5" x14ac:dyDescent="0.35"/>
  <cols>
    <col min="1" max="1" width="27"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5429687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80.150000000000006" customHeight="1" x14ac:dyDescent="0.35">
      <c r="A3" s="25" t="s">
        <v>102</v>
      </c>
      <c r="B3" s="25" t="s">
        <v>51</v>
      </c>
      <c r="C3" s="25" t="s">
        <v>103</v>
      </c>
      <c r="D3" s="1" t="s">
        <v>104</v>
      </c>
    </row>
    <row r="4" spans="1:6" ht="80.150000000000006" customHeight="1" x14ac:dyDescent="0.35">
      <c r="A4" s="25" t="s">
        <v>56</v>
      </c>
      <c r="B4" s="544" t="s">
        <v>57</v>
      </c>
      <c r="C4" s="544" t="s">
        <v>58</v>
      </c>
      <c r="D4" s="1" t="s">
        <v>104</v>
      </c>
    </row>
    <row r="5" spans="1:6" ht="63.65" customHeight="1" x14ac:dyDescent="0.35">
      <c r="A5" s="1" t="s">
        <v>105</v>
      </c>
      <c r="B5" s="25" t="s">
        <v>106</v>
      </c>
      <c r="C5" s="29" t="s">
        <v>61</v>
      </c>
      <c r="E5" s="1" t="s">
        <v>107</v>
      </c>
    </row>
    <row r="6" spans="1:6" ht="148" customHeight="1" x14ac:dyDescent="0.35">
      <c r="A6" s="1" t="s">
        <v>62</v>
      </c>
      <c r="B6" s="25" t="s">
        <v>63</v>
      </c>
      <c r="C6" s="25" t="s">
        <v>1241</v>
      </c>
    </row>
    <row r="7" spans="1:6" ht="61.5" customHeight="1" x14ac:dyDescent="0.35">
      <c r="A7" s="1" t="s">
        <v>108</v>
      </c>
      <c r="B7" s="25" t="s">
        <v>109</v>
      </c>
      <c r="C7" s="25" t="s">
        <v>110</v>
      </c>
    </row>
    <row r="8" spans="1:6" ht="54" customHeight="1" x14ac:dyDescent="0.35">
      <c r="A8" s="1" t="s">
        <v>64</v>
      </c>
      <c r="B8" s="25" t="s">
        <v>65</v>
      </c>
      <c r="C8" s="1" t="s">
        <v>66</v>
      </c>
    </row>
    <row r="9" spans="1:6" ht="31" customHeight="1" x14ac:dyDescent="0.35">
      <c r="A9" s="28" t="s">
        <v>67</v>
      </c>
      <c r="B9" s="529"/>
      <c r="C9" s="26"/>
      <c r="D9" s="26"/>
      <c r="E9" s="31" t="s">
        <v>68</v>
      </c>
      <c r="F9" s="26"/>
    </row>
    <row r="10" spans="1:6" ht="77.5" customHeight="1" x14ac:dyDescent="0.35">
      <c r="A10" s="424"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424"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424"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424"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ht="64.5" customHeight="1" x14ac:dyDescent="0.35">
      <c r="A14" s="424"/>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424"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15" customHeight="1" x14ac:dyDescent="0.35">
      <c r="A16" s="424"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424"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424"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424"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424" t="s">
        <v>78</v>
      </c>
      <c r="B20" s="25"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65" customHeight="1" x14ac:dyDescent="0.35">
      <c r="A21" s="424"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511" t="s">
        <v>80</v>
      </c>
      <c r="B22" s="25" t="s">
        <v>81</v>
      </c>
    </row>
    <row r="23" spans="1:6" ht="36" customHeight="1" x14ac:dyDescent="0.35">
      <c r="A23" s="511" t="s">
        <v>82</v>
      </c>
    </row>
    <row r="24" spans="1:6" x14ac:dyDescent="0.35">
      <c r="A24" s="28" t="s">
        <v>83</v>
      </c>
      <c r="B24" s="27"/>
      <c r="C24" s="26"/>
      <c r="D24" s="26"/>
      <c r="E24" s="26"/>
      <c r="F24" s="26"/>
    </row>
    <row r="25" spans="1:6" ht="304.5" x14ac:dyDescent="0.35">
      <c r="A25" s="1" t="s">
        <v>84</v>
      </c>
      <c r="B25" s="25" t="s">
        <v>85</v>
      </c>
      <c r="C25" s="1" t="s">
        <v>86</v>
      </c>
    </row>
    <row r="26" spans="1:6" ht="43.5" x14ac:dyDescent="0.35">
      <c r="A26" s="1" t="s">
        <v>87</v>
      </c>
      <c r="B26" s="25" t="s">
        <v>88</v>
      </c>
      <c r="C26" s="1" t="s">
        <v>89</v>
      </c>
    </row>
    <row r="27" spans="1:6" x14ac:dyDescent="0.35">
      <c r="D27" s="26"/>
      <c r="E27" s="26"/>
      <c r="F27" s="26"/>
    </row>
    <row r="28" spans="1:6" x14ac:dyDescent="0.35">
      <c r="A28" s="28" t="s">
        <v>90</v>
      </c>
      <c r="B28" s="27"/>
      <c r="C28" s="26"/>
    </row>
    <row r="29" spans="1:6" ht="29" x14ac:dyDescent="0.35">
      <c r="A29" s="1" t="s">
        <v>91</v>
      </c>
      <c r="B29" s="25" t="s">
        <v>111</v>
      </c>
      <c r="C29" s="1" t="s">
        <v>92</v>
      </c>
    </row>
    <row r="30" spans="1:6" ht="72.5" x14ac:dyDescent="0.35">
      <c r="A30" s="1" t="s">
        <v>93</v>
      </c>
      <c r="B30" s="25" t="s">
        <v>94</v>
      </c>
      <c r="C30" s="1" t="s">
        <v>95</v>
      </c>
    </row>
    <row r="31" spans="1:6" ht="29" x14ac:dyDescent="0.35">
      <c r="A31" s="1" t="s">
        <v>96</v>
      </c>
      <c r="B31" s="25" t="s">
        <v>97</v>
      </c>
      <c r="C31" s="25" t="s">
        <v>98</v>
      </c>
    </row>
    <row r="32" spans="1:6" ht="101.5" x14ac:dyDescent="0.35">
      <c r="A32" s="1" t="s">
        <v>99</v>
      </c>
      <c r="B32" s="25" t="s">
        <v>100</v>
      </c>
      <c r="C32" s="1" t="s">
        <v>101</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54296875" defaultRowHeight="14.5" x14ac:dyDescent="0.35"/>
  <cols>
    <col min="1" max="1" width="23.81640625" customWidth="1"/>
    <col min="2" max="2" width="79.453125" customWidth="1"/>
    <col min="3" max="3" width="33.54296875" customWidth="1"/>
    <col min="5" max="5" width="14.81640625" customWidth="1"/>
  </cols>
  <sheetData>
    <row r="1" spans="1:5" s="30" customFormat="1" ht="47.5" customHeight="1" x14ac:dyDescent="0.35">
      <c r="A1" s="33" t="s">
        <v>112</v>
      </c>
      <c r="B1" s="33" t="s">
        <v>44</v>
      </c>
      <c r="C1" s="33" t="s">
        <v>45</v>
      </c>
      <c r="D1" s="33" t="s">
        <v>46</v>
      </c>
      <c r="E1" s="33" t="s">
        <v>47</v>
      </c>
    </row>
    <row r="2" spans="1:5" ht="79.5" customHeight="1" x14ac:dyDescent="0.35">
      <c r="A2" s="1" t="s">
        <v>113</v>
      </c>
      <c r="B2" s="1" t="s">
        <v>114</v>
      </c>
      <c r="C2" s="1" t="s">
        <v>115</v>
      </c>
    </row>
    <row r="3" spans="1:5" ht="63.65" customHeight="1" x14ac:dyDescent="0.35">
      <c r="A3" s="1" t="s">
        <v>116</v>
      </c>
      <c r="B3" s="1" t="s">
        <v>117</v>
      </c>
      <c r="C3" s="1" t="s">
        <v>118</v>
      </c>
    </row>
    <row r="4" spans="1:5" ht="63.65" customHeight="1" x14ac:dyDescent="0.35">
      <c r="A4" s="1" t="s">
        <v>119</v>
      </c>
      <c r="B4" s="544" t="s">
        <v>57</v>
      </c>
      <c r="C4" s="544" t="s">
        <v>58</v>
      </c>
    </row>
    <row r="5" spans="1:5" ht="137.15" customHeight="1" x14ac:dyDescent="0.35">
      <c r="A5" t="s">
        <v>120</v>
      </c>
      <c r="B5" s="25" t="s">
        <v>121</v>
      </c>
    </row>
    <row r="6" spans="1:5" ht="29.15" customHeight="1" x14ac:dyDescent="0.35">
      <c r="A6" t="s">
        <v>122</v>
      </c>
      <c r="B6" s="624" t="s">
        <v>123</v>
      </c>
      <c r="C6" t="s">
        <v>124</v>
      </c>
    </row>
    <row r="7" spans="1:5" ht="43.5" x14ac:dyDescent="0.35">
      <c r="A7" s="1" t="s">
        <v>125</v>
      </c>
      <c r="B7" s="624" t="s">
        <v>126</v>
      </c>
      <c r="C7" t="s">
        <v>127</v>
      </c>
    </row>
    <row r="9" spans="1:5" x14ac:dyDescent="0.35">
      <c r="B9" s="623"/>
    </row>
    <row r="10" spans="1:5" x14ac:dyDescent="0.35">
      <c r="B10" s="6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68" zoomScale="109" workbookViewId="0">
      <selection activeCell="C77" sqref="C77"/>
    </sheetView>
  </sheetViews>
  <sheetFormatPr defaultColWidth="8.54296875" defaultRowHeight="14.5" x14ac:dyDescent="0.35"/>
  <cols>
    <col min="1" max="1" width="15.1796875" style="513" customWidth="1"/>
    <col min="2" max="2" width="28.453125" style="513" customWidth="1"/>
    <col min="3" max="3" width="25.1796875" style="513" customWidth="1"/>
    <col min="4" max="4" width="11.1796875" style="513" customWidth="1"/>
    <col min="5" max="5" width="15.1796875" style="513" customWidth="1"/>
    <col min="6" max="6" width="12.453125" style="513" customWidth="1"/>
    <col min="7" max="7" width="11.81640625" style="513" bestFit="1" customWidth="1"/>
    <col min="8" max="16384" width="8.54296875" style="513"/>
  </cols>
  <sheetData>
    <row r="1" spans="1:11" s="518" customFormat="1" x14ac:dyDescent="0.35">
      <c r="A1" s="518" t="s">
        <v>128</v>
      </c>
      <c r="B1" s="518" t="s">
        <v>129</v>
      </c>
      <c r="C1" s="518" t="s">
        <v>130</v>
      </c>
      <c r="D1" s="518" t="s">
        <v>131</v>
      </c>
      <c r="E1" s="518" t="s">
        <v>132</v>
      </c>
      <c r="F1" s="518" t="s">
        <v>133</v>
      </c>
    </row>
    <row r="2" spans="1:11" x14ac:dyDescent="0.35">
      <c r="C2" s="513" t="str">
        <f>'Haver Pivoted'!A1</f>
        <v>name</v>
      </c>
      <c r="D2" s="519" t="s">
        <v>1227</v>
      </c>
      <c r="E2" s="519" t="s">
        <v>1228</v>
      </c>
      <c r="F2" s="519"/>
      <c r="H2" s="520"/>
    </row>
    <row r="3" spans="1:11" x14ac:dyDescent="0.35">
      <c r="B3" s="513" t="s">
        <v>134</v>
      </c>
      <c r="C3" s="513" t="str">
        <f>'Haver Pivoted'!A2</f>
        <v>gdp</v>
      </c>
      <c r="D3" s="513">
        <v>22741</v>
      </c>
      <c r="E3" s="513">
        <f>'Haver Pivoted'!GZ2</f>
        <v>23173.5</v>
      </c>
      <c r="F3" s="513">
        <f>E3-D3</f>
        <v>432.5</v>
      </c>
      <c r="G3" s="521">
        <f>F3/D3</f>
        <v>1.9018512818257772E-2</v>
      </c>
      <c r="H3" s="522"/>
    </row>
    <row r="4" spans="1:11" x14ac:dyDescent="0.35">
      <c r="B4" s="513" t="s">
        <v>135</v>
      </c>
      <c r="C4" s="513" t="str">
        <f>'Haver Pivoted'!A3</f>
        <v>gdph</v>
      </c>
      <c r="D4" s="513">
        <v>19368.3</v>
      </c>
      <c r="E4" s="513">
        <f>'Haver Pivoted'!GZ3</f>
        <v>19465.2</v>
      </c>
      <c r="F4" s="513">
        <f t="shared" ref="F4:F67" si="0">E4-D4</f>
        <v>96.900000000001455</v>
      </c>
      <c r="G4" s="521">
        <f t="shared" ref="G4:G67" si="1">F4/D4</f>
        <v>5.0030203993123535E-3</v>
      </c>
      <c r="H4" s="522"/>
    </row>
    <row r="5" spans="1:11" x14ac:dyDescent="0.35">
      <c r="B5" s="513" t="s">
        <v>136</v>
      </c>
      <c r="C5" s="513" t="str">
        <f>'Haver Pivoted'!A4</f>
        <v>jgdp</v>
      </c>
      <c r="D5" s="513">
        <v>117.54600000000001</v>
      </c>
      <c r="E5" s="513">
        <f>'Haver Pivoted'!GZ4</f>
        <v>119.19</v>
      </c>
      <c r="F5" s="513">
        <f t="shared" si="0"/>
        <v>1.6439999999999912</v>
      </c>
      <c r="G5" s="521">
        <f t="shared" si="1"/>
        <v>1.3986013986013911E-2</v>
      </c>
      <c r="H5" s="523"/>
    </row>
    <row r="6" spans="1:11" x14ac:dyDescent="0.35">
      <c r="B6" s="513" t="s">
        <v>137</v>
      </c>
      <c r="C6" s="513" t="str">
        <f>'Haver Pivoted'!A5</f>
        <v>c</v>
      </c>
      <c r="D6" s="513">
        <v>15681.7</v>
      </c>
      <c r="E6" s="513">
        <f>'Haver Pivoted'!GZ5</f>
        <v>15946.2</v>
      </c>
      <c r="F6" s="513">
        <f t="shared" si="0"/>
        <v>264.5</v>
      </c>
      <c r="G6" s="521">
        <f t="shared" si="1"/>
        <v>1.6866793778735723E-2</v>
      </c>
    </row>
    <row r="7" spans="1:11" x14ac:dyDescent="0.35">
      <c r="B7" s="513" t="s">
        <v>138</v>
      </c>
      <c r="C7" s="513" t="str">
        <f>'Haver Pivoted'!A6</f>
        <v>ch</v>
      </c>
      <c r="D7" s="513">
        <v>13665.6</v>
      </c>
      <c r="E7" s="513">
        <f>'Haver Pivoted'!GZ6</f>
        <v>13719.3</v>
      </c>
      <c r="F7" s="513">
        <f t="shared" si="0"/>
        <v>53.699999999998909</v>
      </c>
      <c r="G7" s="521">
        <f t="shared" si="1"/>
        <v>3.9295749912187468E-3</v>
      </c>
      <c r="K7" s="523"/>
    </row>
    <row r="8" spans="1:11" x14ac:dyDescent="0.35">
      <c r="B8" s="513" t="s">
        <v>139</v>
      </c>
      <c r="C8" s="513" t="str">
        <f>'Haver Pivoted'!A7</f>
        <v>jc</v>
      </c>
      <c r="D8" s="513">
        <v>114.77200000000001</v>
      </c>
      <c r="E8" s="513">
        <f>'Haver Pivoted'!GZ7</f>
        <v>116.252</v>
      </c>
      <c r="F8" s="513">
        <f t="shared" si="0"/>
        <v>1.4799999999999898</v>
      </c>
      <c r="G8" s="521">
        <f t="shared" si="1"/>
        <v>1.2895131216672967E-2</v>
      </c>
    </row>
    <row r="9" spans="1:11" x14ac:dyDescent="0.35">
      <c r="B9" s="513" t="s">
        <v>140</v>
      </c>
      <c r="C9" s="513" t="str">
        <f>'Haver Pivoted'!A8</f>
        <v>jgf</v>
      </c>
      <c r="D9" s="513">
        <v>115.22799999999999</v>
      </c>
      <c r="E9" s="513">
        <f>'Haver Pivoted'!GZ8</f>
        <v>116.539</v>
      </c>
      <c r="F9" s="513">
        <f t="shared" si="0"/>
        <v>1.311000000000007</v>
      </c>
      <c r="G9" s="521">
        <f t="shared" si="1"/>
        <v>1.1377442982608456E-2</v>
      </c>
    </row>
    <row r="10" spans="1:11" x14ac:dyDescent="0.35">
      <c r="B10" s="513" t="s">
        <v>141</v>
      </c>
      <c r="C10" s="513" t="str">
        <f>'Haver Pivoted'!A9</f>
        <v>jgs</v>
      </c>
      <c r="D10" s="513">
        <v>121.544</v>
      </c>
      <c r="E10" s="513">
        <f>'Haver Pivoted'!GZ9</f>
        <v>123.30500000000001</v>
      </c>
      <c r="F10" s="513">
        <f t="shared" si="0"/>
        <v>1.7610000000000099</v>
      </c>
      <c r="G10" s="521">
        <f t="shared" si="1"/>
        <v>1.448858026722841E-2</v>
      </c>
    </row>
    <row r="11" spans="1:11" x14ac:dyDescent="0.35">
      <c r="B11" s="513" t="s">
        <v>142</v>
      </c>
      <c r="C11" s="513" t="str">
        <f>'Haver Pivoted'!A10</f>
        <v>jgse</v>
      </c>
      <c r="D11" s="513">
        <v>121.425</v>
      </c>
      <c r="E11" s="513">
        <f>'Haver Pivoted'!GZ10</f>
        <v>122.996</v>
      </c>
      <c r="F11" s="513">
        <f t="shared" si="0"/>
        <v>1.570999999999998</v>
      </c>
      <c r="G11" s="521">
        <f t="shared" si="1"/>
        <v>1.2938027589046721E-2</v>
      </c>
    </row>
    <row r="12" spans="1:11" x14ac:dyDescent="0.35">
      <c r="B12" s="513" t="s">
        <v>143</v>
      </c>
      <c r="C12" s="513" t="str">
        <f>'Haver Pivoted'!A11</f>
        <v>jgsi</v>
      </c>
      <c r="D12" s="513">
        <v>122.101</v>
      </c>
      <c r="E12" s="513">
        <f>'Haver Pivoted'!GZ11</f>
        <v>124.76</v>
      </c>
      <c r="F12" s="513">
        <f t="shared" si="0"/>
        <v>2.659000000000006</v>
      </c>
      <c r="G12" s="521">
        <f t="shared" si="1"/>
        <v>2.1777053422985939E-2</v>
      </c>
    </row>
    <row r="13" spans="1:11" x14ac:dyDescent="0.35">
      <c r="A13" s="513" t="s">
        <v>76</v>
      </c>
      <c r="B13" s="513" t="s">
        <v>76</v>
      </c>
      <c r="C13" s="513" t="str">
        <f>'Haver Pivoted'!A12</f>
        <v>yptmr</v>
      </c>
      <c r="D13" s="513">
        <v>815.3</v>
      </c>
      <c r="E13" s="513">
        <f>'Haver Pivoted'!GZ12</f>
        <v>826.5</v>
      </c>
      <c r="F13" s="513">
        <f t="shared" si="0"/>
        <v>11.200000000000045</v>
      </c>
      <c r="G13" s="521">
        <f t="shared" si="1"/>
        <v>1.3737274622838276E-2</v>
      </c>
      <c r="I13" s="524"/>
    </row>
    <row r="14" spans="1:11" x14ac:dyDescent="0.35">
      <c r="A14" s="513" t="s">
        <v>75</v>
      </c>
      <c r="B14" s="513" t="s">
        <v>144</v>
      </c>
      <c r="C14" s="513" t="str">
        <f>'Haver Pivoted'!A13</f>
        <v>yptmd</v>
      </c>
      <c r="D14" s="513">
        <v>730.5</v>
      </c>
      <c r="E14" s="513">
        <f>'Haver Pivoted'!GZ13</f>
        <v>740</v>
      </c>
      <c r="F14" s="513">
        <f t="shared" si="0"/>
        <v>9.5</v>
      </c>
      <c r="G14" s="521">
        <f t="shared" si="1"/>
        <v>1.3004791238877482E-2</v>
      </c>
    </row>
    <row r="15" spans="1:11" x14ac:dyDescent="0.35">
      <c r="A15" s="513" t="s">
        <v>74</v>
      </c>
      <c r="B15" s="513" t="s">
        <v>145</v>
      </c>
      <c r="C15" s="513" t="str">
        <f>'Haver Pivoted'!A14</f>
        <v>yptu</v>
      </c>
      <c r="D15" s="513">
        <v>480.4</v>
      </c>
      <c r="E15" s="513">
        <f>'Haver Pivoted'!GZ14</f>
        <v>272.60000000000002</v>
      </c>
      <c r="F15" s="513">
        <f t="shared" si="0"/>
        <v>-207.79999999999995</v>
      </c>
      <c r="G15" s="521">
        <f t="shared" si="1"/>
        <v>-0.43255620316402987</v>
      </c>
    </row>
    <row r="16" spans="1:11" x14ac:dyDescent="0.35">
      <c r="B16" s="513" t="s">
        <v>78</v>
      </c>
      <c r="C16" s="513" t="str">
        <f>'Haver Pivoted'!A15</f>
        <v>gtfp</v>
      </c>
      <c r="D16" s="513">
        <v>4257.8</v>
      </c>
      <c r="E16" s="513">
        <f>'Haver Pivoted'!GZ15</f>
        <v>4038.8</v>
      </c>
      <c r="F16" s="513">
        <f t="shared" si="0"/>
        <v>-219</v>
      </c>
      <c r="G16" s="521">
        <f t="shared" si="1"/>
        <v>-5.1435013387195264E-2</v>
      </c>
    </row>
    <row r="17" spans="1:7" x14ac:dyDescent="0.35">
      <c r="B17" s="513" t="s">
        <v>146</v>
      </c>
      <c r="C17" s="513" t="str">
        <f>'Haver Pivoted'!A16</f>
        <v>ypog</v>
      </c>
      <c r="D17" s="513">
        <v>116</v>
      </c>
      <c r="E17" s="513">
        <f>'Haver Pivoted'!GZ16</f>
        <v>116.8</v>
      </c>
      <c r="F17" s="513">
        <f t="shared" si="0"/>
        <v>0.79999999999999716</v>
      </c>
      <c r="G17" s="521">
        <f t="shared" si="1"/>
        <v>6.8965517241379067E-3</v>
      </c>
    </row>
    <row r="18" spans="1:7" x14ac:dyDescent="0.35">
      <c r="B18" s="513" t="s">
        <v>147</v>
      </c>
      <c r="C18" s="513" t="str">
        <f>'Haver Pivoted'!A17</f>
        <v>yptx</v>
      </c>
      <c r="D18" s="513">
        <v>2514.8000000000002</v>
      </c>
      <c r="E18" s="513">
        <f>'Haver Pivoted'!GZ17</f>
        <v>2592.1</v>
      </c>
      <c r="F18" s="513">
        <f t="shared" si="0"/>
        <v>77.299999999999727</v>
      </c>
      <c r="G18" s="521">
        <f t="shared" si="1"/>
        <v>3.0738030857324527E-2</v>
      </c>
    </row>
    <row r="19" spans="1:7" x14ac:dyDescent="0.35">
      <c r="B19" s="513" t="s">
        <v>148</v>
      </c>
      <c r="C19" s="513" t="str">
        <f>'Haver Pivoted'!A18</f>
        <v>ytpi</v>
      </c>
      <c r="D19" s="513">
        <v>1636.3</v>
      </c>
      <c r="E19" s="513">
        <f>'Haver Pivoted'!GZ18</f>
        <v>1658.9</v>
      </c>
      <c r="F19" s="513">
        <f t="shared" si="0"/>
        <v>22.600000000000136</v>
      </c>
      <c r="G19" s="521">
        <f t="shared" si="1"/>
        <v>1.3811648230764613E-2</v>
      </c>
    </row>
    <row r="20" spans="1:7" x14ac:dyDescent="0.35">
      <c r="B20" s="513" t="s">
        <v>149</v>
      </c>
      <c r="C20" s="513" t="str">
        <f>'Haver Pivoted'!A19</f>
        <v>yctlg</v>
      </c>
      <c r="D20" s="513">
        <v>366.9</v>
      </c>
      <c r="E20" s="513">
        <f>'Haver Pivoted'!GZ19</f>
        <v>334.26666666666699</v>
      </c>
      <c r="F20" s="513">
        <f t="shared" si="0"/>
        <v>-32.633333333332985</v>
      </c>
      <c r="G20" s="521">
        <f t="shared" si="1"/>
        <v>-8.8943399654764208E-2</v>
      </c>
    </row>
    <row r="21" spans="1:7" x14ac:dyDescent="0.35">
      <c r="B21" s="513" t="s">
        <v>150</v>
      </c>
      <c r="C21" s="513" t="str">
        <f>'Haver Pivoted'!A20</f>
        <v>g</v>
      </c>
      <c r="D21" s="513">
        <v>4015.9</v>
      </c>
      <c r="E21" s="513">
        <f>'Haver Pivoted'!GZ20</f>
        <v>4077</v>
      </c>
      <c r="F21" s="513">
        <f t="shared" si="0"/>
        <v>61.099999999999909</v>
      </c>
      <c r="G21" s="521">
        <f t="shared" si="1"/>
        <v>1.5214522273960982E-2</v>
      </c>
    </row>
    <row r="22" spans="1:7" x14ac:dyDescent="0.35">
      <c r="B22" s="513" t="s">
        <v>151</v>
      </c>
      <c r="C22" s="513" t="str">
        <f>'Haver Pivoted'!A21</f>
        <v>grcsi</v>
      </c>
      <c r="D22" s="513">
        <v>1564.2</v>
      </c>
      <c r="E22" s="513">
        <f>'Haver Pivoted'!GZ21</f>
        <v>1594.5</v>
      </c>
      <c r="F22" s="513">
        <f t="shared" si="0"/>
        <v>30.299999999999955</v>
      </c>
      <c r="G22" s="521">
        <f t="shared" si="1"/>
        <v>1.9370924434215543E-2</v>
      </c>
    </row>
    <row r="23" spans="1:7" x14ac:dyDescent="0.35">
      <c r="B23" s="513" t="s">
        <v>139</v>
      </c>
      <c r="C23" s="513" t="str">
        <f>'Haver Pivoted'!A22</f>
        <v>dc</v>
      </c>
      <c r="D23" s="513">
        <v>114.753</v>
      </c>
      <c r="E23" s="513">
        <f>'Haver Pivoted'!GZ22</f>
        <v>116.232</v>
      </c>
      <c r="F23" s="513">
        <f t="shared" si="0"/>
        <v>1.4789999999999992</v>
      </c>
      <c r="G23" s="521">
        <f t="shared" si="1"/>
        <v>1.2888551933282782E-2</v>
      </c>
    </row>
    <row r="24" spans="1:7" x14ac:dyDescent="0.35">
      <c r="A24" s="513" t="s">
        <v>152</v>
      </c>
      <c r="B24" s="513" t="s">
        <v>153</v>
      </c>
      <c r="C24" s="513" t="str">
        <f>'Haver Pivoted'!A23</f>
        <v>gf</v>
      </c>
      <c r="D24" s="513">
        <v>1563.3</v>
      </c>
      <c r="E24" s="513">
        <f>'Haver Pivoted'!GZ23</f>
        <v>1562.1</v>
      </c>
      <c r="F24" s="513">
        <f t="shared" si="0"/>
        <v>-1.2000000000000455</v>
      </c>
      <c r="G24" s="521">
        <f t="shared" si="1"/>
        <v>-7.6760698522359465E-4</v>
      </c>
    </row>
    <row r="25" spans="1:7" x14ac:dyDescent="0.35">
      <c r="A25" s="513" t="s">
        <v>152</v>
      </c>
      <c r="B25" s="513" t="s">
        <v>154</v>
      </c>
      <c r="C25" s="513" t="str">
        <f>'Haver Pivoted'!A24</f>
        <v>gs</v>
      </c>
      <c r="D25" s="513">
        <v>2452.6</v>
      </c>
      <c r="E25" s="513">
        <f>'Haver Pivoted'!GZ24</f>
        <v>2514.9</v>
      </c>
      <c r="F25" s="513">
        <f t="shared" si="0"/>
        <v>62.300000000000182</v>
      </c>
      <c r="G25" s="521">
        <f t="shared" si="1"/>
        <v>2.5401614613063762E-2</v>
      </c>
    </row>
    <row r="26" spans="1:7" x14ac:dyDescent="0.35">
      <c r="B26" s="513" t="s">
        <v>155</v>
      </c>
      <c r="C26" s="513" t="str">
        <f>'Haver Pivoted'!A25</f>
        <v>gfh</v>
      </c>
      <c r="D26" s="513">
        <v>1356.7</v>
      </c>
      <c r="E26" s="513">
        <f>'Haver Pivoted'!GZ25</f>
        <v>1340.4</v>
      </c>
      <c r="F26" s="513">
        <f t="shared" si="0"/>
        <v>-16.299999999999955</v>
      </c>
      <c r="G26" s="521">
        <f t="shared" si="1"/>
        <v>-1.201444681948843E-2</v>
      </c>
    </row>
    <row r="27" spans="1:7" x14ac:dyDescent="0.35">
      <c r="B27" s="513" t="s">
        <v>156</v>
      </c>
      <c r="C27" s="513" t="str">
        <f>'Haver Pivoted'!A26</f>
        <v>gsh</v>
      </c>
      <c r="D27" s="513">
        <v>2017.9</v>
      </c>
      <c r="E27" s="513">
        <f>'Haver Pivoted'!GZ26</f>
        <v>2039.6</v>
      </c>
      <c r="F27" s="513">
        <f t="shared" si="0"/>
        <v>21.699999999999818</v>
      </c>
      <c r="G27" s="521">
        <f t="shared" si="1"/>
        <v>1.075375390257189E-2</v>
      </c>
    </row>
    <row r="28" spans="1:7" x14ac:dyDescent="0.35">
      <c r="A28" s="513" t="s">
        <v>79</v>
      </c>
      <c r="B28" s="513" t="s">
        <v>157</v>
      </c>
      <c r="C28" s="513" t="s">
        <v>158</v>
      </c>
      <c r="D28" s="513">
        <v>1928.3</v>
      </c>
      <c r="E28" s="513">
        <f>'Haver Pivoted'!GZ27</f>
        <v>1994.3</v>
      </c>
      <c r="F28" s="513">
        <f t="shared" si="0"/>
        <v>66</v>
      </c>
      <c r="G28" s="521">
        <f t="shared" si="1"/>
        <v>3.4227039361095266E-2</v>
      </c>
    </row>
    <row r="29" spans="1:7" x14ac:dyDescent="0.35">
      <c r="A29" s="513" t="s">
        <v>79</v>
      </c>
      <c r="B29" s="513" t="s">
        <v>159</v>
      </c>
      <c r="C29" s="513" t="s">
        <v>160</v>
      </c>
      <c r="D29" s="513">
        <v>177.8</v>
      </c>
      <c r="E29" s="513">
        <f>'Haver Pivoted'!GZ28</f>
        <v>173.1</v>
      </c>
      <c r="F29" s="513">
        <f t="shared" si="0"/>
        <v>-4.7000000000000171</v>
      </c>
      <c r="G29" s="521">
        <f t="shared" si="1"/>
        <v>-2.6434195725534404E-2</v>
      </c>
    </row>
    <row r="30" spans="1:7" x14ac:dyDescent="0.35">
      <c r="A30" s="513" t="s">
        <v>79</v>
      </c>
      <c r="B30" s="513" t="s">
        <v>161</v>
      </c>
      <c r="C30" s="513" t="s">
        <v>162</v>
      </c>
      <c r="D30" s="513">
        <v>275.10000000000002</v>
      </c>
      <c r="E30" s="513">
        <f>'Haver Pivoted'!GZ29</f>
        <v>248.86666666666699</v>
      </c>
      <c r="F30" s="513">
        <f t="shared" si="0"/>
        <v>-26.233333333333036</v>
      </c>
      <c r="G30" s="521">
        <f t="shared" si="1"/>
        <v>-9.5359263298193511E-2</v>
      </c>
    </row>
    <row r="31" spans="1:7" x14ac:dyDescent="0.35">
      <c r="A31" s="513" t="s">
        <v>79</v>
      </c>
      <c r="B31" s="513" t="s">
        <v>163</v>
      </c>
      <c r="C31" s="513" t="s">
        <v>164</v>
      </c>
      <c r="D31" s="513">
        <v>1542.2</v>
      </c>
      <c r="E31" s="513">
        <f>'Haver Pivoted'!GZ30</f>
        <v>1572.1</v>
      </c>
      <c r="F31" s="513">
        <f t="shared" si="0"/>
        <v>29.899999999999864</v>
      </c>
      <c r="G31" s="521">
        <f t="shared" si="1"/>
        <v>1.9387887433536418E-2</v>
      </c>
    </row>
    <row r="32" spans="1:7" x14ac:dyDescent="0.35">
      <c r="A32" s="513" t="s">
        <v>165</v>
      </c>
      <c r="B32" s="513" t="s">
        <v>166</v>
      </c>
      <c r="C32" s="513" t="str">
        <f>'Haver Pivoted'!A31</f>
        <v>gftfp</v>
      </c>
      <c r="D32" s="513">
        <v>3372.3</v>
      </c>
      <c r="E32" s="513">
        <f>'Haver Pivoted'!GZ31</f>
        <v>3141.4</v>
      </c>
      <c r="F32" s="513">
        <f t="shared" si="0"/>
        <v>-230.90000000000009</v>
      </c>
      <c r="G32" s="521">
        <f t="shared" si="1"/>
        <v>-6.8469590487204607E-2</v>
      </c>
    </row>
    <row r="33" spans="1:10" x14ac:dyDescent="0.35">
      <c r="A33" s="513" t="s">
        <v>71</v>
      </c>
      <c r="B33" s="512" t="s">
        <v>167</v>
      </c>
      <c r="C33" s="513" t="str">
        <f>'Haver Pivoted'!A32</f>
        <v>gfeg</v>
      </c>
      <c r="D33" s="513">
        <v>1632.2</v>
      </c>
      <c r="E33" s="513">
        <f>'Haver Pivoted'!GZ32</f>
        <v>1057.0999999999999</v>
      </c>
      <c r="F33" s="513">
        <f t="shared" si="0"/>
        <v>-575.10000000000014</v>
      </c>
      <c r="G33" s="521">
        <f t="shared" si="1"/>
        <v>-0.35234652616100975</v>
      </c>
    </row>
    <row r="34" spans="1:10" x14ac:dyDescent="0.35">
      <c r="A34" s="513" t="s">
        <v>79</v>
      </c>
      <c r="B34" s="513" t="s">
        <v>168</v>
      </c>
      <c r="C34" s="513" t="str">
        <f>'Haver Pivoted'!A33</f>
        <v>gsrpt</v>
      </c>
      <c r="D34" s="513">
        <v>586.4</v>
      </c>
      <c r="E34" s="513">
        <f>'Haver Pivoted'!GZ33</f>
        <v>597.70000000000005</v>
      </c>
      <c r="F34" s="513">
        <f t="shared" si="0"/>
        <v>11.300000000000068</v>
      </c>
      <c r="G34" s="521">
        <f t="shared" si="1"/>
        <v>1.9270122783083338E-2</v>
      </c>
    </row>
    <row r="35" spans="1:10" x14ac:dyDescent="0.35">
      <c r="A35" s="513" t="s">
        <v>79</v>
      </c>
      <c r="B35" s="513" t="s">
        <v>169</v>
      </c>
      <c r="C35" s="513" t="str">
        <f>'Haver Pivoted'!A34</f>
        <v>gsrpri</v>
      </c>
      <c r="D35" s="513">
        <v>1458.5</v>
      </c>
      <c r="E35" s="513">
        <f>'Haver Pivoted'!GZ34</f>
        <v>1485.8</v>
      </c>
      <c r="F35" s="513">
        <f t="shared" si="0"/>
        <v>27.299999999999955</v>
      </c>
      <c r="G35" s="521">
        <f t="shared" si="1"/>
        <v>1.8717860815906723E-2</v>
      </c>
    </row>
    <row r="36" spans="1:10" x14ac:dyDescent="0.35">
      <c r="A36" s="513" t="s">
        <v>79</v>
      </c>
      <c r="B36" s="513" t="s">
        <v>170</v>
      </c>
      <c r="C36" s="513" t="str">
        <f>'Haver Pivoted'!A35</f>
        <v>gsrcp</v>
      </c>
      <c r="D36" s="513">
        <v>91.9</v>
      </c>
      <c r="E36" s="513">
        <f>'Haver Pivoted'!GZ35</f>
        <v>85.4</v>
      </c>
      <c r="F36" s="513">
        <f t="shared" si="0"/>
        <v>-6.5</v>
      </c>
      <c r="G36" s="521">
        <f t="shared" si="1"/>
        <v>-7.07290533188248E-2</v>
      </c>
    </row>
    <row r="37" spans="1:10" x14ac:dyDescent="0.35">
      <c r="A37" s="513" t="s">
        <v>79</v>
      </c>
      <c r="B37" s="513" t="s">
        <v>171</v>
      </c>
      <c r="C37" s="513" t="str">
        <f>'Haver Pivoted'!A36</f>
        <v>gsrs</v>
      </c>
      <c r="D37" s="513">
        <v>21.9</v>
      </c>
      <c r="E37" s="513">
        <f>'Haver Pivoted'!GZ36</f>
        <v>22.4</v>
      </c>
      <c r="F37" s="513">
        <f t="shared" si="0"/>
        <v>0.5</v>
      </c>
      <c r="G37" s="521">
        <f t="shared" si="1"/>
        <v>2.2831050228310504E-2</v>
      </c>
    </row>
    <row r="38" spans="1:10" x14ac:dyDescent="0.35">
      <c r="A38" s="513" t="s">
        <v>78</v>
      </c>
      <c r="B38" s="513" t="s">
        <v>172</v>
      </c>
      <c r="C38" s="513" t="str">
        <f>'Haver Pivoted'!A37</f>
        <v>gstfp</v>
      </c>
      <c r="D38" s="513">
        <v>885.5</v>
      </c>
      <c r="E38" s="513">
        <f>'Haver Pivoted'!GZ37</f>
        <v>897.4</v>
      </c>
      <c r="F38" s="513">
        <f t="shared" si="0"/>
        <v>11.899999999999977</v>
      </c>
      <c r="G38" s="521">
        <f t="shared" si="1"/>
        <v>1.3438735177865587E-2</v>
      </c>
    </row>
    <row r="39" spans="1:10" x14ac:dyDescent="0.35">
      <c r="B39" s="513" t="s">
        <v>173</v>
      </c>
      <c r="C39" s="513" t="str">
        <f>'Haver Pivoted'!A38</f>
        <v>gset</v>
      </c>
      <c r="D39" s="513">
        <v>3337.6</v>
      </c>
      <c r="E39" s="513">
        <f>'Haver Pivoted'!GZ38</f>
        <v>3394.2</v>
      </c>
      <c r="F39" s="513">
        <f t="shared" si="0"/>
        <v>56.599999999999909</v>
      </c>
      <c r="G39" s="521">
        <f t="shared" si="1"/>
        <v>1.6958293384467853E-2</v>
      </c>
    </row>
    <row r="40" spans="1:10" x14ac:dyDescent="0.35">
      <c r="B40" s="513" t="s">
        <v>174</v>
      </c>
      <c r="C40" s="513" t="str">
        <f>'Haver Pivoted'!A39</f>
        <v>gfeghhx</v>
      </c>
      <c r="D40" s="513">
        <v>553.56399999999996</v>
      </c>
      <c r="E40" s="513">
        <f>'Haver Pivoted'!GZ39</f>
        <v>569.60599999999999</v>
      </c>
      <c r="F40" s="513">
        <f t="shared" si="0"/>
        <v>16.04200000000003</v>
      </c>
      <c r="G40" s="521">
        <f t="shared" si="1"/>
        <v>2.8979485660194721E-2</v>
      </c>
    </row>
    <row r="41" spans="1:10" x14ac:dyDescent="0.35">
      <c r="A41" s="513" t="s">
        <v>175</v>
      </c>
      <c r="B41" s="513" t="s">
        <v>176</v>
      </c>
      <c r="C41" s="513" t="str">
        <f>'Haver Pivoted'!A40</f>
        <v>gfeghdx</v>
      </c>
      <c r="D41" s="513">
        <v>520.72900000000004</v>
      </c>
      <c r="E41" s="513">
        <f>'Haver Pivoted'!GZ40</f>
        <v>530.82100000000003</v>
      </c>
      <c r="F41" s="513">
        <f t="shared" si="0"/>
        <v>10.091999999999985</v>
      </c>
      <c r="G41" s="521">
        <f t="shared" si="1"/>
        <v>1.9380522306228352E-2</v>
      </c>
    </row>
    <row r="42" spans="1:10" x14ac:dyDescent="0.35">
      <c r="A42" s="513" t="s">
        <v>71</v>
      </c>
      <c r="B42" s="513" t="s">
        <v>177</v>
      </c>
      <c r="C42" s="513" t="str">
        <f>'Haver Pivoted'!A41</f>
        <v>gfeigx</v>
      </c>
      <c r="D42" s="513">
        <v>77.703999999999994</v>
      </c>
      <c r="E42" s="513">
        <f>'Haver Pivoted'!GZ41</f>
        <v>72.766999999999996</v>
      </c>
      <c r="F42" s="513">
        <f t="shared" si="0"/>
        <v>-4.9369999999999976</v>
      </c>
      <c r="G42" s="521">
        <f t="shared" si="1"/>
        <v>-6.3535982703593091E-2</v>
      </c>
    </row>
    <row r="43" spans="1:10" x14ac:dyDescent="0.35">
      <c r="B43" s="513" t="s">
        <v>178</v>
      </c>
      <c r="C43" s="513" t="str">
        <f>'Haver Pivoted'!A42</f>
        <v>gfsub</v>
      </c>
      <c r="D43" s="513">
        <v>697</v>
      </c>
      <c r="E43" s="513">
        <f>'Haver Pivoted'!GZ42</f>
        <v>554.5</v>
      </c>
      <c r="F43" s="513">
        <f t="shared" si="0"/>
        <v>-142.5</v>
      </c>
      <c r="G43" s="521">
        <f t="shared" si="1"/>
        <v>-0.20444763271162122</v>
      </c>
      <c r="I43" s="525"/>
      <c r="J43" s="522"/>
    </row>
    <row r="44" spans="1:10" x14ac:dyDescent="0.35">
      <c r="B44" s="513" t="s">
        <v>179</v>
      </c>
      <c r="C44" s="513" t="str">
        <f>'Haver Pivoted'!A43</f>
        <v>gssub</v>
      </c>
      <c r="D44" s="513">
        <v>8.6</v>
      </c>
      <c r="E44" s="513">
        <f>'Haver Pivoted'!GZ43</f>
        <v>0.6</v>
      </c>
      <c r="F44" s="513">
        <f t="shared" si="0"/>
        <v>-8</v>
      </c>
      <c r="G44" s="521">
        <f t="shared" si="1"/>
        <v>-0.93023255813953487</v>
      </c>
      <c r="I44" s="514"/>
      <c r="J44" s="522"/>
    </row>
    <row r="45" spans="1:10" x14ac:dyDescent="0.35">
      <c r="B45" s="513" t="s">
        <v>73</v>
      </c>
      <c r="C45" s="513" t="str">
        <f>'Haver Pivoted'!A44</f>
        <v>gsub</v>
      </c>
      <c r="D45" s="513">
        <v>705.6</v>
      </c>
      <c r="E45" s="513">
        <f>'Haver Pivoted'!GZ44</f>
        <v>555.1</v>
      </c>
      <c r="F45" s="513">
        <f t="shared" si="0"/>
        <v>-150.5</v>
      </c>
      <c r="G45" s="521">
        <f t="shared" si="1"/>
        <v>-0.21329365079365079</v>
      </c>
      <c r="I45" s="514"/>
      <c r="J45" s="523"/>
    </row>
    <row r="46" spans="1:10" x14ac:dyDescent="0.35">
      <c r="A46" s="513" t="s">
        <v>77</v>
      </c>
      <c r="B46" s="513" t="s">
        <v>77</v>
      </c>
      <c r="C46" s="513" t="str">
        <f>'Haver Pivoted'!A45</f>
        <v>gftfpe</v>
      </c>
      <c r="D46" s="513">
        <v>290.10000000000002</v>
      </c>
      <c r="E46" s="513">
        <f>'Haver Pivoted'!GZ45</f>
        <v>38.9</v>
      </c>
      <c r="F46" s="513">
        <f t="shared" si="0"/>
        <v>-251.20000000000002</v>
      </c>
      <c r="G46" s="521">
        <f t="shared" si="1"/>
        <v>-0.86590830748017922</v>
      </c>
      <c r="I46" s="514"/>
      <c r="J46" s="523"/>
    </row>
    <row r="47" spans="1:10" x14ac:dyDescent="0.35">
      <c r="B47" s="513" t="s">
        <v>180</v>
      </c>
      <c r="C47" s="513" t="str">
        <f>'Haver Pivoted'!A46</f>
        <v>gftfpr</v>
      </c>
      <c r="D47" s="513">
        <v>14.1</v>
      </c>
      <c r="E47" s="513">
        <f>'Haver Pivoted'!GZ46</f>
        <v>15</v>
      </c>
      <c r="F47" s="513">
        <f t="shared" si="0"/>
        <v>0.90000000000000036</v>
      </c>
      <c r="G47" s="521">
        <f t="shared" si="1"/>
        <v>6.3829787234042576E-2</v>
      </c>
      <c r="I47" s="514"/>
      <c r="J47" s="523"/>
    </row>
    <row r="48" spans="1:10" x14ac:dyDescent="0.35">
      <c r="A48" s="513" t="s">
        <v>70</v>
      </c>
      <c r="B48" s="513" t="s">
        <v>181</v>
      </c>
      <c r="C48" s="513" t="str">
        <f>'Haver Pivoted'!A47</f>
        <v>gftfpp</v>
      </c>
      <c r="D48" s="513">
        <v>24.7</v>
      </c>
      <c r="E48" s="513">
        <f>'Haver Pivoted'!GZ47</f>
        <v>14</v>
      </c>
      <c r="F48" s="513">
        <f t="shared" si="0"/>
        <v>-10.7</v>
      </c>
      <c r="G48" s="521">
        <f t="shared" si="1"/>
        <v>-0.4331983805668016</v>
      </c>
      <c r="J48" s="523"/>
    </row>
    <row r="49" spans="1:9" x14ac:dyDescent="0.35">
      <c r="A49" s="513" t="s">
        <v>69</v>
      </c>
      <c r="B49" s="513" t="s">
        <v>182</v>
      </c>
      <c r="C49" s="513" t="str">
        <f>'Haver Pivoted'!A48</f>
        <v>gftfpv</v>
      </c>
      <c r="D49" s="513">
        <v>26.6</v>
      </c>
      <c r="E49" s="513">
        <f>'Haver Pivoted'!GZ48</f>
        <v>37.4</v>
      </c>
      <c r="F49" s="513">
        <f t="shared" si="0"/>
        <v>10.799999999999997</v>
      </c>
      <c r="G49" s="521">
        <f t="shared" si="1"/>
        <v>0.40601503759398483</v>
      </c>
      <c r="H49" s="515"/>
      <c r="I49" s="515"/>
    </row>
    <row r="50" spans="1:9" x14ac:dyDescent="0.35">
      <c r="A50" s="513" t="s">
        <v>183</v>
      </c>
      <c r="B50" s="283" t="s">
        <v>184</v>
      </c>
      <c r="C50" s="513" t="str">
        <f>'Haver Pivoted'!A49</f>
        <v>gfsubp</v>
      </c>
      <c r="D50" s="513">
        <v>427.2</v>
      </c>
      <c r="E50" s="513">
        <f>'Haver Pivoted'!GZ49</f>
        <v>265</v>
      </c>
      <c r="F50" s="513">
        <f t="shared" si="0"/>
        <v>-162.19999999999999</v>
      </c>
      <c r="G50" s="521">
        <f t="shared" si="1"/>
        <v>-0.37968164794007486</v>
      </c>
      <c r="H50" s="97"/>
      <c r="I50" s="108"/>
    </row>
    <row r="51" spans="1:9" x14ac:dyDescent="0.35">
      <c r="A51" s="513" t="s">
        <v>73</v>
      </c>
      <c r="B51" s="283" t="s">
        <v>185</v>
      </c>
      <c r="C51" s="513" t="str">
        <f>'Haver Pivoted'!A50</f>
        <v>gfsubg</v>
      </c>
      <c r="D51" s="513">
        <v>47.3</v>
      </c>
      <c r="E51" s="513">
        <f>'Haver Pivoted'!GZ50</f>
        <v>0.7</v>
      </c>
      <c r="F51" s="513">
        <f t="shared" si="0"/>
        <v>-46.599999999999994</v>
      </c>
      <c r="G51" s="521">
        <f t="shared" si="1"/>
        <v>-0.98520084566596189</v>
      </c>
      <c r="H51" s="96"/>
      <c r="I51" s="563"/>
    </row>
    <row r="52" spans="1:9" x14ac:dyDescent="0.35">
      <c r="A52" s="513" t="s">
        <v>73</v>
      </c>
      <c r="B52" s="283" t="s">
        <v>186</v>
      </c>
      <c r="C52" s="513" t="str">
        <f>'Haver Pivoted'!A51</f>
        <v>gfsube</v>
      </c>
      <c r="D52" s="513">
        <v>62.9</v>
      </c>
      <c r="E52" s="513">
        <f>'Haver Pivoted'!GZ51</f>
        <v>62.9</v>
      </c>
      <c r="F52" s="513">
        <f t="shared" si="0"/>
        <v>0</v>
      </c>
      <c r="G52" s="521">
        <f t="shared" si="1"/>
        <v>0</v>
      </c>
      <c r="H52" s="261"/>
      <c r="I52" s="108"/>
    </row>
    <row r="53" spans="1:9" x14ac:dyDescent="0.35">
      <c r="A53" s="513" t="s">
        <v>73</v>
      </c>
      <c r="B53" s="283" t="s">
        <v>187</v>
      </c>
      <c r="C53" s="513" t="str">
        <f>'Haver Pivoted'!A52</f>
        <v>gfsubs</v>
      </c>
      <c r="D53" s="513">
        <v>12.3</v>
      </c>
      <c r="E53" s="513">
        <f>'Haver Pivoted'!GZ52</f>
        <v>18.5</v>
      </c>
      <c r="F53" s="513">
        <f t="shared" si="0"/>
        <v>6.1999999999999993</v>
      </c>
      <c r="G53" s="521">
        <f t="shared" si="1"/>
        <v>0.50406504065040647</v>
      </c>
      <c r="H53" s="261"/>
      <c r="I53" s="108"/>
    </row>
    <row r="54" spans="1:9" x14ac:dyDescent="0.35">
      <c r="A54" s="513" t="s">
        <v>73</v>
      </c>
      <c r="B54" s="283" t="s">
        <v>188</v>
      </c>
      <c r="C54" s="513" t="str">
        <f>'Haver Pivoted'!A53</f>
        <v>gfsubf</v>
      </c>
      <c r="D54" s="513">
        <v>14.3</v>
      </c>
      <c r="E54" s="513">
        <f>'Haver Pivoted'!GZ53</f>
        <v>8.6999999999999993</v>
      </c>
      <c r="F54" s="513">
        <f t="shared" si="0"/>
        <v>-5.6000000000000014</v>
      </c>
      <c r="G54" s="521">
        <f t="shared" si="1"/>
        <v>-0.39160839160839167</v>
      </c>
      <c r="H54" s="97"/>
      <c r="I54" s="108"/>
    </row>
    <row r="55" spans="1:9" x14ac:dyDescent="0.35">
      <c r="A55" s="513" t="s">
        <v>189</v>
      </c>
      <c r="B55" s="283" t="s">
        <v>190</v>
      </c>
      <c r="C55" s="513" t="str">
        <f>'Haver Pivoted'!A54</f>
        <v>gfsubv</v>
      </c>
      <c r="D55" s="513">
        <v>16</v>
      </c>
      <c r="E55" s="513">
        <f>'Haver Pivoted'!GZ54</f>
        <v>22.4</v>
      </c>
      <c r="F55" s="513">
        <f t="shared" si="0"/>
        <v>6.3999999999999986</v>
      </c>
      <c r="G55" s="521">
        <f t="shared" si="1"/>
        <v>0.39999999999999991</v>
      </c>
      <c r="H55"/>
      <c r="I55"/>
    </row>
    <row r="56" spans="1:9" x14ac:dyDescent="0.35">
      <c r="A56" s="513" t="s">
        <v>73</v>
      </c>
      <c r="B56" s="283" t="s">
        <v>191</v>
      </c>
      <c r="C56" s="513" t="str">
        <f>'Haver Pivoted'!A55</f>
        <v>gfsubk</v>
      </c>
      <c r="D56" s="513">
        <v>8</v>
      </c>
      <c r="E56" s="513">
        <f>'Haver Pivoted'!GZ55</f>
        <v>8</v>
      </c>
      <c r="F56" s="513">
        <f t="shared" si="0"/>
        <v>0</v>
      </c>
      <c r="G56" s="521">
        <f t="shared" si="1"/>
        <v>0</v>
      </c>
      <c r="H56" s="97"/>
      <c r="I56" s="108"/>
    </row>
    <row r="57" spans="1:9" x14ac:dyDescent="0.35">
      <c r="A57" s="513" t="s">
        <v>71</v>
      </c>
      <c r="B57" s="512" t="s">
        <v>192</v>
      </c>
      <c r="C57" s="513" t="str">
        <f>'Haver Pivoted'!A56</f>
        <v>gfegc</v>
      </c>
      <c r="D57" s="513">
        <v>785.9</v>
      </c>
      <c r="E57" s="513">
        <f>'Haver Pivoted'!GZ56</f>
        <v>187.9</v>
      </c>
      <c r="F57" s="513">
        <f t="shared" si="0"/>
        <v>-598</v>
      </c>
      <c r="G57" s="521"/>
      <c r="H57" s="97"/>
      <c r="I57" s="108"/>
    </row>
    <row r="58" spans="1:9" x14ac:dyDescent="0.35">
      <c r="A58" s="513" t="s">
        <v>71</v>
      </c>
      <c r="B58" s="512" t="s">
        <v>193</v>
      </c>
      <c r="C58" s="513" t="str">
        <f>'Haver Pivoted'!A57</f>
        <v>gfege</v>
      </c>
      <c r="D58" s="513">
        <v>67.599999999999994</v>
      </c>
      <c r="E58" s="513">
        <f>'Haver Pivoted'!GZ57</f>
        <v>80.7</v>
      </c>
      <c r="F58" s="513">
        <f t="shared" si="0"/>
        <v>13.100000000000009</v>
      </c>
      <c r="G58" s="521">
        <f t="shared" si="1"/>
        <v>0.19378698224852084</v>
      </c>
      <c r="H58" s="97"/>
      <c r="I58" s="108"/>
    </row>
    <row r="59" spans="1:9" x14ac:dyDescent="0.35">
      <c r="A59" s="513" t="s">
        <v>194</v>
      </c>
      <c r="B59" s="512" t="s">
        <v>195</v>
      </c>
      <c r="C59" s="513" t="str">
        <f>'Haver Pivoted'!A58</f>
        <v>gfegv</v>
      </c>
      <c r="D59" s="513">
        <v>10.6</v>
      </c>
      <c r="E59" s="513">
        <f>'Haver Pivoted'!GZ58</f>
        <v>15</v>
      </c>
      <c r="F59" s="513">
        <f t="shared" si="0"/>
        <v>4.4000000000000004</v>
      </c>
      <c r="G59" s="521">
        <f t="shared" si="1"/>
        <v>0.41509433962264158</v>
      </c>
    </row>
    <row r="60" spans="1:9" x14ac:dyDescent="0.35">
      <c r="A60" s="513" t="s">
        <v>74</v>
      </c>
      <c r="B60" s="513" t="s">
        <v>196</v>
      </c>
      <c r="C60" s="513" t="str">
        <f>'Haver Pivoted'!A59</f>
        <v>yptue</v>
      </c>
      <c r="D60" s="513">
        <v>104.5</v>
      </c>
      <c r="E60" s="513">
        <f>'Haver Pivoted'!GZ59</f>
        <v>61.6</v>
      </c>
      <c r="F60" s="513">
        <f t="shared" si="0"/>
        <v>-42.9</v>
      </c>
      <c r="G60" s="521">
        <f t="shared" si="1"/>
        <v>-0.41052631578947368</v>
      </c>
    </row>
    <row r="61" spans="1:9" x14ac:dyDescent="0.35">
      <c r="A61" s="513" t="s">
        <v>74</v>
      </c>
      <c r="B61" s="513" t="s">
        <v>197</v>
      </c>
      <c r="C61" s="513" t="str">
        <f>'Haver Pivoted'!A60</f>
        <v>yptup</v>
      </c>
      <c r="D61" s="513">
        <v>82.1</v>
      </c>
      <c r="E61" s="513">
        <f>'Haver Pivoted'!GZ60</f>
        <v>50.1</v>
      </c>
      <c r="F61" s="513">
        <f t="shared" si="0"/>
        <v>-31.999999999999993</v>
      </c>
      <c r="G61" s="521">
        <f t="shared" si="1"/>
        <v>-0.38976857490864791</v>
      </c>
    </row>
    <row r="62" spans="1:9" x14ac:dyDescent="0.35">
      <c r="A62" s="513" t="s">
        <v>74</v>
      </c>
      <c r="B62" s="513" t="s">
        <v>198</v>
      </c>
      <c r="C62" s="513" t="str">
        <f>'Haver Pivoted'!A61</f>
        <v>yptuc</v>
      </c>
      <c r="D62" s="513">
        <v>237.2</v>
      </c>
      <c r="E62" s="513">
        <f>'Haver Pivoted'!GZ61</f>
        <v>113.2</v>
      </c>
      <c r="F62" s="513">
        <f t="shared" si="0"/>
        <v>-123.99999999999999</v>
      </c>
      <c r="G62" s="521">
        <f t="shared" si="1"/>
        <v>-0.52276559865092742</v>
      </c>
    </row>
    <row r="63" spans="1:9" x14ac:dyDescent="0.35">
      <c r="B63" s="513" t="s">
        <v>199</v>
      </c>
      <c r="C63" s="513" t="str">
        <f>'Haver Pivoted'!A62</f>
        <v>gftfpu</v>
      </c>
      <c r="D63" s="513">
        <v>429.7</v>
      </c>
      <c r="E63" s="513">
        <f>'Haver Pivoted'!GZ62</f>
        <v>230.6</v>
      </c>
      <c r="F63" s="513">
        <f t="shared" si="0"/>
        <v>-199.1</v>
      </c>
      <c r="G63" s="521">
        <f t="shared" si="1"/>
        <v>-0.46334652082848499</v>
      </c>
      <c r="H63" s="512"/>
      <c r="I63" s="512"/>
    </row>
    <row r="64" spans="1:9" x14ac:dyDescent="0.35">
      <c r="A64" s="513" t="s">
        <v>74</v>
      </c>
      <c r="B64" s="516" t="s">
        <v>200</v>
      </c>
      <c r="C64" s="513" t="str">
        <f>'Haver Pivoted'!A63</f>
        <v>yptub</v>
      </c>
      <c r="D64" s="513">
        <v>5.8</v>
      </c>
      <c r="E64" s="513">
        <f>'Haver Pivoted'!GZ63</f>
        <v>5.8</v>
      </c>
      <c r="F64" s="513">
        <f t="shared" si="0"/>
        <v>0</v>
      </c>
      <c r="G64" s="521">
        <f t="shared" si="1"/>
        <v>0</v>
      </c>
      <c r="H64" s="512"/>
      <c r="I64" s="512"/>
    </row>
    <row r="65" spans="1:9" x14ac:dyDescent="0.35">
      <c r="A65" s="513" t="s">
        <v>74</v>
      </c>
      <c r="B65" s="513" t="s">
        <v>201</v>
      </c>
      <c r="C65" s="513" t="str">
        <f>'Haver Pivoted'!A64</f>
        <v>yptol</v>
      </c>
      <c r="D65" s="513">
        <v>0.6</v>
      </c>
      <c r="E65" s="513">
        <f>'Haver Pivoted'!GZ64</f>
        <v>0.1</v>
      </c>
      <c r="F65" s="513">
        <f t="shared" si="0"/>
        <v>-0.5</v>
      </c>
      <c r="G65" s="521">
        <f t="shared" si="1"/>
        <v>-0.83333333333333337</v>
      </c>
      <c r="H65" s="512"/>
      <c r="I65" s="512"/>
    </row>
    <row r="66" spans="1:9" x14ac:dyDescent="0.35">
      <c r="B66" s="513" t="s">
        <v>202</v>
      </c>
      <c r="C66" s="513" t="str">
        <f>'Haver Pivoted'!A65</f>
        <v>gfctp</v>
      </c>
      <c r="D66" s="513">
        <v>89.9</v>
      </c>
      <c r="E66" s="513">
        <f>'Haver Pivoted'!GZ65</f>
        <v>100.9</v>
      </c>
      <c r="F66" s="513">
        <f t="shared" si="0"/>
        <v>11</v>
      </c>
      <c r="G66" s="521">
        <f t="shared" si="1"/>
        <v>0.12235817575083426</v>
      </c>
      <c r="H66" s="517"/>
      <c r="I66" s="517"/>
    </row>
    <row r="67" spans="1:9" x14ac:dyDescent="0.35">
      <c r="A67" s="513" t="s">
        <v>78</v>
      </c>
      <c r="B67" s="462" t="s">
        <v>203</v>
      </c>
      <c r="C67" s="513" t="str">
        <f>'Haver Pivoted'!A66</f>
        <v>gftffx</v>
      </c>
      <c r="D67" s="513">
        <v>128.93899999999999</v>
      </c>
      <c r="E67" s="513">
        <f>'Haver Pivoted'!GZ66</f>
        <v>140.09399999999999</v>
      </c>
      <c r="F67" s="513">
        <f t="shared" si="0"/>
        <v>11.155000000000001</v>
      </c>
      <c r="G67" s="521">
        <f t="shared" si="1"/>
        <v>8.6513777832928768E-2</v>
      </c>
      <c r="H67" s="517"/>
      <c r="I67" s="517"/>
    </row>
    <row r="68" spans="1:9" x14ac:dyDescent="0.35">
      <c r="B68" s="513" t="s">
        <v>204</v>
      </c>
      <c r="C68" s="513" t="str">
        <f>'Haver Pivoted'!A67</f>
        <v>cpiu</v>
      </c>
      <c r="D68" s="513">
        <v>268.78800000000001</v>
      </c>
      <c r="E68" s="513">
        <f>'Haver Pivoted'!GZ67</f>
        <v>273.13833333333298</v>
      </c>
      <c r="F68" s="513">
        <f t="shared" ref="F68:F81" si="2">E68-D68</f>
        <v>4.3503333333329692</v>
      </c>
      <c r="G68" s="521">
        <f t="shared" ref="G68:G81" si="3">F68/D68</f>
        <v>1.6184998338218109E-2</v>
      </c>
      <c r="H68" s="517"/>
      <c r="I68" s="517"/>
    </row>
    <row r="69" spans="1:9" x14ac:dyDescent="0.35">
      <c r="C69" s="513" t="str">
        <f>'Haver Pivoted'!A68</f>
        <v>pcw</v>
      </c>
      <c r="D69" s="513">
        <v>263.125333333333</v>
      </c>
      <c r="E69" s="513">
        <f>'Haver Pivoted'!GZ68</f>
        <v>267.85533333333302</v>
      </c>
      <c r="F69" s="513">
        <f t="shared" si="2"/>
        <v>4.7300000000000182</v>
      </c>
      <c r="G69" s="521">
        <f t="shared" si="3"/>
        <v>1.79762242581483E-2</v>
      </c>
    </row>
    <row r="70" spans="1:9" x14ac:dyDescent="0.35">
      <c r="B70" s="513" t="s">
        <v>205</v>
      </c>
      <c r="C70" s="513" t="str">
        <f>'Haver Pivoted'!A69</f>
        <v>gdppothq</v>
      </c>
      <c r="D70" s="513">
        <v>19697.400000000001</v>
      </c>
      <c r="E70" s="513">
        <f>'Haver Pivoted'!GZ69</f>
        <v>19795.8</v>
      </c>
      <c r="F70" s="513">
        <f t="shared" si="2"/>
        <v>98.399999999997817</v>
      </c>
      <c r="G70" s="521">
        <f t="shared" si="3"/>
        <v>4.995583173413639E-3</v>
      </c>
    </row>
    <row r="71" spans="1:9" x14ac:dyDescent="0.35">
      <c r="B71" s="513" t="s">
        <v>206</v>
      </c>
      <c r="C71" s="513" t="str">
        <f>'Haver Pivoted'!A70</f>
        <v>gdppotq</v>
      </c>
      <c r="D71" s="513">
        <v>22983.3</v>
      </c>
      <c r="E71" s="513">
        <f>'Haver Pivoted'!GZ70</f>
        <v>23233.1</v>
      </c>
      <c r="F71" s="513">
        <f t="shared" si="2"/>
        <v>249.79999999999927</v>
      </c>
      <c r="G71" s="521">
        <f t="shared" si="3"/>
        <v>1.0868761230980723E-2</v>
      </c>
    </row>
    <row r="72" spans="1:9" x14ac:dyDescent="0.35">
      <c r="B72" s="513" t="s">
        <v>207</v>
      </c>
      <c r="C72" s="513" t="str">
        <f>'Haver Pivoted'!A71</f>
        <v>recessq</v>
      </c>
      <c r="D72" s="513">
        <v>-1</v>
      </c>
      <c r="E72" s="513">
        <f>'Haver Pivoted'!GZ71</f>
        <v>-1</v>
      </c>
      <c r="F72" s="513">
        <f t="shared" si="2"/>
        <v>0</v>
      </c>
      <c r="G72" s="521">
        <f t="shared" si="3"/>
        <v>0</v>
      </c>
    </row>
    <row r="73" spans="1:9" x14ac:dyDescent="0.35">
      <c r="A73" s="513" t="s">
        <v>208</v>
      </c>
      <c r="B73" s="513" t="s">
        <v>209</v>
      </c>
      <c r="C73" s="513" t="str">
        <f>'Haver Pivoted'!A72</f>
        <v>lasgova</v>
      </c>
      <c r="D73" s="513">
        <v>5023</v>
      </c>
      <c r="E73" s="513">
        <f>'Haver Pivoted'!GZ72</f>
        <v>5062.6666666666697</v>
      </c>
      <c r="F73" s="513">
        <f t="shared" si="2"/>
        <v>39.666666666669698</v>
      </c>
      <c r="G73" s="521">
        <f t="shared" si="3"/>
        <v>7.8970071006708529E-3</v>
      </c>
    </row>
    <row r="74" spans="1:9" x14ac:dyDescent="0.35">
      <c r="A74" s="513" t="s">
        <v>208</v>
      </c>
      <c r="B74" s="513" t="s">
        <v>210</v>
      </c>
      <c r="C74" s="513" t="str">
        <f>'Haver Pivoted'!A73</f>
        <v>lalgova</v>
      </c>
      <c r="D74" s="513">
        <v>13769.333333333299</v>
      </c>
      <c r="E74" s="513">
        <f>'Haver Pivoted'!GZ73</f>
        <v>14107</v>
      </c>
      <c r="F74" s="513">
        <f t="shared" si="2"/>
        <v>337.66666666670062</v>
      </c>
      <c r="G74" s="521">
        <f t="shared" si="3"/>
        <v>2.4523094800041261E-2</v>
      </c>
    </row>
    <row r="75" spans="1:9" x14ac:dyDescent="0.35">
      <c r="A75" s="513" t="s">
        <v>208</v>
      </c>
      <c r="B75" s="513" t="s">
        <v>211</v>
      </c>
      <c r="C75" s="513" t="str">
        <f>'Haver Pivoted'!A74</f>
        <v>cpgs</v>
      </c>
      <c r="D75" s="513">
        <v>317506.66666666698</v>
      </c>
      <c r="E75" s="513">
        <f>'Haver Pivoted'!GZ74</f>
        <v>323230.55555555603</v>
      </c>
      <c r="F75" s="513">
        <f t="shared" si="2"/>
        <v>5723.8888888890506</v>
      </c>
      <c r="G75" s="521">
        <f t="shared" si="3"/>
        <v>1.8027617967777198E-2</v>
      </c>
    </row>
    <row r="76" spans="1:9" x14ac:dyDescent="0.35">
      <c r="B76" s="513" t="s">
        <v>212</v>
      </c>
      <c r="C76" s="513" t="str">
        <f>'Haver Pivoted'!A75</f>
        <v>jgdp_growth</v>
      </c>
      <c r="D76" s="513">
        <v>1.48498609983942E-2</v>
      </c>
      <c r="E76" s="513">
        <f>'Haver Pivoted'!GZ75</f>
        <v>1.3986013986014E-2</v>
      </c>
      <c r="F76" s="513">
        <f t="shared" si="2"/>
        <v>-8.6384701238020022E-4</v>
      </c>
      <c r="G76" s="521">
        <f t="shared" si="3"/>
        <v>-5.8172060497644583E-2</v>
      </c>
    </row>
    <row r="77" spans="1:9" x14ac:dyDescent="0.35">
      <c r="B77" s="513" t="s">
        <v>213</v>
      </c>
      <c r="C77" s="513" t="str">
        <f>'Haver Pivoted'!A76</f>
        <v>jc_growth</v>
      </c>
      <c r="D77" s="513">
        <v>1.5780297197072201E-2</v>
      </c>
      <c r="E77" s="513">
        <f>'Haver Pivoted'!GZ76</f>
        <v>1.2895131216673E-2</v>
      </c>
      <c r="F77" s="513">
        <f t="shared" si="2"/>
        <v>-2.8851659803992014E-3</v>
      </c>
      <c r="G77" s="521">
        <f t="shared" si="3"/>
        <v>-0.18283343744213518</v>
      </c>
    </row>
    <row r="78" spans="1:9" x14ac:dyDescent="0.35">
      <c r="B78" s="513" t="s">
        <v>214</v>
      </c>
      <c r="C78" s="513" t="str">
        <f>'Haver Pivoted'!A77</f>
        <v>jgf_growth</v>
      </c>
      <c r="D78" s="513">
        <v>1.0195940910884001E-2</v>
      </c>
      <c r="E78" s="513">
        <f>'Haver Pivoted'!GZ77</f>
        <v>1.13774429826086E-2</v>
      </c>
      <c r="F78" s="513">
        <f t="shared" si="2"/>
        <v>1.1815020717245994E-3</v>
      </c>
      <c r="G78" s="521">
        <f t="shared" si="3"/>
        <v>0.11587965074055748</v>
      </c>
    </row>
    <row r="79" spans="1:9" x14ac:dyDescent="0.35">
      <c r="B79" s="513" t="s">
        <v>215</v>
      </c>
      <c r="C79" s="513" t="str">
        <f>'Haver Pivoted'!A78</f>
        <v>jgs_growth</v>
      </c>
      <c r="D79" s="513">
        <v>1.78200576137202E-2</v>
      </c>
      <c r="E79" s="513">
        <f>'Haver Pivoted'!GZ78</f>
        <v>1.4488580267228299E-2</v>
      </c>
      <c r="F79" s="513">
        <f t="shared" si="2"/>
        <v>-3.3314773464919005E-3</v>
      </c>
      <c r="G79" s="521">
        <f t="shared" si="3"/>
        <v>-0.18695098628227191</v>
      </c>
    </row>
    <row r="80" spans="1:9" x14ac:dyDescent="0.35">
      <c r="B80" s="513" t="s">
        <v>216</v>
      </c>
      <c r="C80" s="513" t="str">
        <f>'Haver Pivoted'!A79</f>
        <v>jgse_growth</v>
      </c>
      <c r="D80" s="513">
        <v>1.6797996968656699E-2</v>
      </c>
      <c r="E80" s="513">
        <f>'Haver Pivoted'!GZ79</f>
        <v>1.29380275890467E-2</v>
      </c>
      <c r="F80" s="513">
        <f t="shared" si="2"/>
        <v>-3.8599693796099992E-3</v>
      </c>
      <c r="G80" s="521">
        <f t="shared" si="3"/>
        <v>-0.22978747923411924</v>
      </c>
    </row>
    <row r="81" spans="2:7" x14ac:dyDescent="0.35">
      <c r="B81" s="513" t="s">
        <v>217</v>
      </c>
      <c r="C81" s="513" t="str">
        <f>'Haver Pivoted'!A80</f>
        <v>jgsi_growth</v>
      </c>
      <c r="D81" s="513">
        <v>2.24844241977624E-2</v>
      </c>
      <c r="E81" s="513">
        <f>'Haver Pivoted'!GZ80</f>
        <v>2.1777053422986001E-2</v>
      </c>
      <c r="F81" s="513">
        <f t="shared" si="2"/>
        <v>-7.0737077477639812E-4</v>
      </c>
      <c r="G81" s="521">
        <f t="shared" si="3"/>
        <v>-3.1460479866181945E-2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A85" zoomScale="102" workbookViewId="0">
      <selection activeCell="I100" sqref="I100"/>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039" t="s">
        <v>218</v>
      </c>
      <c r="C2" s="1039"/>
      <c r="D2" s="1039"/>
      <c r="E2" s="1039"/>
      <c r="F2" s="1039"/>
      <c r="G2" s="1039"/>
      <c r="H2" s="1039"/>
      <c r="I2" s="1039"/>
      <c r="J2" s="1039"/>
      <c r="K2" s="1039"/>
      <c r="L2" s="1039"/>
      <c r="M2" s="1039"/>
      <c r="N2" s="1039"/>
      <c r="O2" s="1039"/>
      <c r="P2" s="1039"/>
      <c r="Q2" s="1039"/>
      <c r="R2" s="1039"/>
    </row>
    <row r="3" spans="2:18" x14ac:dyDescent="0.35">
      <c r="B3" t="str">
        <f>forecast!A1</f>
        <v>name</v>
      </c>
      <c r="C3" t="str">
        <f>forecast!B1</f>
        <v>variable</v>
      </c>
      <c r="D3" t="str">
        <f>forecast!C1</f>
        <v>2021 Q3</v>
      </c>
      <c r="E3" t="str">
        <f>forecast!D1</f>
        <v>2021 Q4</v>
      </c>
      <c r="F3" t="str">
        <f>forecast!E1</f>
        <v>2022 Q1</v>
      </c>
      <c r="G3" t="str">
        <f>forecast!F1</f>
        <v>2022 Q2</v>
      </c>
      <c r="H3" t="str">
        <f>forecast!G1</f>
        <v>2022 Q3</v>
      </c>
      <c r="I3" t="str">
        <f>forecast!H1</f>
        <v>2022 Q4</v>
      </c>
      <c r="J3" t="str">
        <f>forecast!I1</f>
        <v>2023 Q1</v>
      </c>
      <c r="K3" t="str">
        <f>forecast!J1</f>
        <v>2023 Q2</v>
      </c>
      <c r="L3" t="str">
        <f>forecast!K1</f>
        <v>2023 Q3</v>
      </c>
      <c r="M3" t="str">
        <f>forecast!L1</f>
        <v>2023 Q4</v>
      </c>
      <c r="N3" t="str">
        <f>forecast!M1</f>
        <v>2024 Q1</v>
      </c>
      <c r="O3" t="str">
        <f>forecast!N1</f>
        <v>2024 Q2</v>
      </c>
      <c r="P3" t="s">
        <v>219</v>
      </c>
      <c r="Q3" t="s">
        <v>220</v>
      </c>
      <c r="R3" t="s">
        <v>221</v>
      </c>
    </row>
    <row r="4" spans="2:18" x14ac:dyDescent="0.35">
      <c r="B4" t="str">
        <f>forecast!A2</f>
        <v>Consumption Grants</v>
      </c>
      <c r="C4" t="str">
        <f>forecast!B2</f>
        <v>consumption_grants</v>
      </c>
      <c r="D4" s="216">
        <f>forecast!C2</f>
        <v>384.12299999999988</v>
      </c>
      <c r="E4" s="216">
        <f>forecast!D2</f>
        <v>379.1028067950088</v>
      </c>
      <c r="F4" s="216">
        <f>forecast!E2</f>
        <v>382.98756493333315</v>
      </c>
      <c r="G4" s="216">
        <f>forecast!F2</f>
        <v>404.11069713866652</v>
      </c>
      <c r="H4" s="216">
        <f>forecast!G2</f>
        <v>422.17505958421322</v>
      </c>
      <c r="I4" s="216">
        <f>forecast!H2</f>
        <v>442.52433352758169</v>
      </c>
      <c r="J4" s="216">
        <f>forecast!I2</f>
        <v>462.59180486868502</v>
      </c>
      <c r="K4" s="216">
        <f>forecast!J2</f>
        <v>454.67521469543243</v>
      </c>
      <c r="L4" s="216">
        <f>forecast!K2</f>
        <v>461.67012952324978</v>
      </c>
      <c r="M4" s="216">
        <f>forecast!L2</f>
        <v>474.30455646417977</v>
      </c>
      <c r="N4" s="216">
        <f>forecast!M2</f>
        <v>462.38077136274694</v>
      </c>
      <c r="O4" s="216">
        <f>forecast!N2</f>
        <v>453.93971473725685</v>
      </c>
      <c r="P4" s="216">
        <f>forecast!O2</f>
        <v>468.27371996674719</v>
      </c>
      <c r="Q4" s="216">
        <f>forecast!P2</f>
        <v>482.30045126541711</v>
      </c>
      <c r="R4" s="216">
        <f>forecast!Q2</f>
        <v>488.80668758803381</v>
      </c>
    </row>
    <row r="5" spans="2:18" x14ac:dyDescent="0.35">
      <c r="B5" t="str">
        <f>forecast!A3</f>
        <v>Investment Grants</v>
      </c>
      <c r="C5" t="str">
        <f>forecast!B3</f>
        <v>investment_grants</v>
      </c>
      <c r="D5" s="216">
        <f>forecast!C3</f>
        <v>72.766999999999996</v>
      </c>
      <c r="E5" s="216">
        <f>forecast!D3</f>
        <v>75.34842857142857</v>
      </c>
      <c r="F5" s="216">
        <f>forecast!E3</f>
        <v>75.34842857142857</v>
      </c>
      <c r="G5" s="216">
        <f>forecast!F3</f>
        <v>75.34842857142857</v>
      </c>
      <c r="H5" s="216">
        <f>forecast!G3</f>
        <v>75.34842857142857</v>
      </c>
      <c r="I5" s="216">
        <f>forecast!H3</f>
        <v>75.34842857142857</v>
      </c>
      <c r="J5" s="216">
        <f>forecast!I3</f>
        <v>75.34842857142857</v>
      </c>
      <c r="K5" s="216">
        <f>forecast!J3</f>
        <v>75.34842857142857</v>
      </c>
      <c r="L5" s="216">
        <f>forecast!K3</f>
        <v>75.34842857142857</v>
      </c>
      <c r="M5" s="216">
        <f>forecast!L3</f>
        <v>75.34842857142857</v>
      </c>
      <c r="N5" s="216">
        <f>forecast!M3</f>
        <v>75.34842857142857</v>
      </c>
      <c r="O5" s="216">
        <f>forecast!N3</f>
        <v>75.34842857142857</v>
      </c>
      <c r="P5" s="216">
        <f>forecast!O3</f>
        <v>75.34842857142857</v>
      </c>
      <c r="Q5" s="216">
        <f>forecast!P3</f>
        <v>75.34842857142857</v>
      </c>
      <c r="R5" s="216">
        <f>forecast!Q3</f>
        <v>75.34842857142857</v>
      </c>
    </row>
    <row r="6" spans="2:18" x14ac:dyDescent="0.35">
      <c r="B6" t="str">
        <f>forecast!A4</f>
        <v>Federal Purchases (NIPA Consistent)</v>
      </c>
      <c r="C6" t="str">
        <f>forecast!B4</f>
        <v>federal_purchases</v>
      </c>
      <c r="D6" s="216">
        <f>forecast!C4</f>
        <v>1562.1</v>
      </c>
      <c r="E6" s="216">
        <f>forecast!D4</f>
        <v>1573.9267891323836</v>
      </c>
      <c r="F6" s="216">
        <f>forecast!E4</f>
        <v>1585.9354345503814</v>
      </c>
      <c r="G6" s="216">
        <f>forecast!F4</f>
        <v>1587.9101975616902</v>
      </c>
      <c r="H6" s="216">
        <f>forecast!G4</f>
        <v>1587.2547789253952</v>
      </c>
      <c r="I6" s="216">
        <f>forecast!H4</f>
        <v>1587.4214144343857</v>
      </c>
      <c r="J6" s="216">
        <f>forecast!I4</f>
        <v>1591.6665815728984</v>
      </c>
      <c r="K6" s="216">
        <f>forecast!J4</f>
        <v>1597.5981128204228</v>
      </c>
      <c r="L6" s="216">
        <f>forecast!K4</f>
        <v>1605.1922935912212</v>
      </c>
      <c r="M6" s="216">
        <f>forecast!L4</f>
        <v>1614.118674329608</v>
      </c>
      <c r="N6" s="216">
        <f>forecast!M4</f>
        <v>1622.9240123392974</v>
      </c>
      <c r="O6" s="216">
        <f>forecast!N4</f>
        <v>1631.7773852169912</v>
      </c>
      <c r="P6" s="216">
        <f>forecast!O4</f>
        <v>1641.0802481012545</v>
      </c>
      <c r="Q6" s="216">
        <f>forecast!P4</f>
        <v>1650.0326668517271</v>
      </c>
      <c r="R6" s="216">
        <f>forecast!Q4</f>
        <v>1660.2500755702192</v>
      </c>
    </row>
    <row r="7" spans="2:18" x14ac:dyDescent="0.35">
      <c r="B7" t="str">
        <f>forecast!A5</f>
        <v>State Purchases (NIPA Consistent)</v>
      </c>
      <c r="C7" t="str">
        <f>forecast!B5</f>
        <v>state_purchases</v>
      </c>
      <c r="D7" s="216">
        <f>forecast!C5</f>
        <v>2514.9</v>
      </c>
      <c r="E7" s="216">
        <f>forecast!D5</f>
        <v>2575.543516678471</v>
      </c>
      <c r="F7" s="216">
        <f>forecast!E5</f>
        <v>2631.6341692094484</v>
      </c>
      <c r="G7" s="216">
        <f>forecast!F5</f>
        <v>2682.757733843011</v>
      </c>
      <c r="H7" s="216">
        <f>forecast!G5</f>
        <v>2728.521623719575</v>
      </c>
      <c r="I7" s="216">
        <f>forecast!H5</f>
        <v>2765.2889285658985</v>
      </c>
      <c r="J7" s="216">
        <f>forecast!I5</f>
        <v>2799.2252025612861</v>
      </c>
      <c r="K7" s="216">
        <f>forecast!J5</f>
        <v>2833.5779504667935</v>
      </c>
      <c r="L7" s="216">
        <f>forecast!K5</f>
        <v>2868.3522833478787</v>
      </c>
      <c r="M7" s="216">
        <f>forecast!L5</f>
        <v>2903.5533749941942</v>
      </c>
      <c r="N7" s="216">
        <f>forecast!M5</f>
        <v>2939.1864626893512</v>
      </c>
      <c r="O7" s="216">
        <f>forecast!N5</f>
        <v>2939.1864626893512</v>
      </c>
      <c r="P7" s="216">
        <f>forecast!O5</f>
        <v>2939.1864626893512</v>
      </c>
      <c r="Q7" s="216">
        <f>forecast!P5</f>
        <v>2939.1864626893512</v>
      </c>
      <c r="R7" s="216">
        <f>forecast!Q5</f>
        <v>2939.1864626893512</v>
      </c>
    </row>
    <row r="8" spans="2:18" x14ac:dyDescent="0.35">
      <c r="B8" t="str">
        <f>forecast!A6</f>
        <v>Non-ARP Subsidies + ARP Provider Relief and PPP</v>
      </c>
      <c r="C8" t="str">
        <f>forecast!B6</f>
        <v>federal_subsidies</v>
      </c>
      <c r="D8" s="216">
        <f>forecast!C6</f>
        <v>286.71096</v>
      </c>
      <c r="E8" s="216">
        <f>forecast!D6</f>
        <v>53.095732406535092</v>
      </c>
      <c r="F8" s="216">
        <f>forecast!E6</f>
        <v>13.64100000000002</v>
      </c>
      <c r="G8" s="216">
        <f>forecast!F6</f>
        <v>13.64100000000002</v>
      </c>
      <c r="H8" s="216">
        <f>forecast!G6</f>
        <v>13.64100000000002</v>
      </c>
      <c r="I8" s="216">
        <f>forecast!H6</f>
        <v>83.572500000000019</v>
      </c>
      <c r="J8" s="216">
        <f>forecast!I6</f>
        <v>83.572500000000019</v>
      </c>
      <c r="K8" s="216">
        <f>forecast!J6</f>
        <v>83.572500000000019</v>
      </c>
      <c r="L8" s="216">
        <f>forecast!K6</f>
        <v>83.572500000000019</v>
      </c>
      <c r="M8" s="216">
        <f>forecast!L6</f>
        <v>84.935000000000016</v>
      </c>
      <c r="N8" s="216">
        <f>forecast!M6</f>
        <v>84.935000000000016</v>
      </c>
      <c r="O8" s="216">
        <f>forecast!N6</f>
        <v>84.935000000000016</v>
      </c>
      <c r="P8" s="216">
        <f>forecast!O6</f>
        <v>84.935000000000016</v>
      </c>
      <c r="Q8" s="216">
        <f>forecast!P6</f>
        <v>77.001000000000005</v>
      </c>
      <c r="R8" s="216">
        <f>forecast!Q6</f>
        <v>77.001000000000005</v>
      </c>
    </row>
    <row r="9" spans="2:18" x14ac:dyDescent="0.35">
      <c r="B9" t="str">
        <f>forecast!A7</f>
        <v>ARP Subsidies less Provider Relief and PPP</v>
      </c>
      <c r="C9" t="str">
        <f>forecast!B7</f>
        <v>federal_aid_to_small_businesses_arp</v>
      </c>
      <c r="D9" s="216">
        <f>forecast!C7</f>
        <v>267.78904</v>
      </c>
      <c r="E9" s="216">
        <f>forecast!D7</f>
        <v>110.24799999999999</v>
      </c>
      <c r="F9" s="216">
        <f>forecast!E7</f>
        <v>110.24799999999999</v>
      </c>
      <c r="G9" s="216">
        <f>forecast!F7</f>
        <v>110.24799999999999</v>
      </c>
      <c r="H9" s="216">
        <f>forecast!G7</f>
        <v>110.24799999999999</v>
      </c>
      <c r="I9" s="216">
        <f>forecast!H7</f>
        <v>12.726000000000001</v>
      </c>
      <c r="J9" s="216">
        <f>forecast!I7</f>
        <v>12.726000000000001</v>
      </c>
      <c r="K9" s="216">
        <f>forecast!J7</f>
        <v>12.726000000000001</v>
      </c>
      <c r="L9" s="216">
        <f>forecast!K7</f>
        <v>12.726000000000001</v>
      </c>
      <c r="M9" s="216">
        <f>forecast!L7</f>
        <v>1.365</v>
      </c>
      <c r="N9" s="216">
        <f>forecast!M7</f>
        <v>1.365</v>
      </c>
      <c r="O9" s="216">
        <f>forecast!N7</f>
        <v>1.365</v>
      </c>
      <c r="P9" s="216">
        <f>forecast!O7</f>
        <v>1.365</v>
      </c>
      <c r="Q9" s="216">
        <f>forecast!P7</f>
        <v>-0.90100000000000025</v>
      </c>
      <c r="R9" s="216">
        <f>forecast!Q7</f>
        <v>-0.90100000000000025</v>
      </c>
    </row>
    <row r="10" spans="2:18" x14ac:dyDescent="0.35">
      <c r="B10" t="str">
        <f>forecast!A8</f>
        <v>Federal UI</v>
      </c>
      <c r="C10" t="str">
        <f>forecast!B8</f>
        <v>federal_ui</v>
      </c>
      <c r="D10" s="216">
        <f>forecast!C8</f>
        <v>236.5</v>
      </c>
      <c r="E10" s="216">
        <f>forecast!D8</f>
        <v>0</v>
      </c>
      <c r="F10" s="216">
        <f>forecast!E8</f>
        <v>0</v>
      </c>
      <c r="G10" s="216">
        <f>forecast!F8</f>
        <v>0</v>
      </c>
      <c r="H10" s="216">
        <f>forecast!G8</f>
        <v>0</v>
      </c>
      <c r="I10" s="216">
        <f>forecast!H8</f>
        <v>0</v>
      </c>
      <c r="J10" s="216">
        <f>forecast!I8</f>
        <v>0</v>
      </c>
      <c r="K10" s="216">
        <f>forecast!J8</f>
        <v>0</v>
      </c>
      <c r="L10" s="216">
        <f>forecast!K8</f>
        <v>0</v>
      </c>
      <c r="M10" s="216">
        <f>forecast!L8</f>
        <v>0</v>
      </c>
      <c r="N10" s="216">
        <f>forecast!M8</f>
        <v>0</v>
      </c>
      <c r="O10" s="216">
        <f>forecast!N8</f>
        <v>0</v>
      </c>
      <c r="P10" s="216">
        <f>forecast!O8</f>
        <v>0</v>
      </c>
      <c r="Q10" s="216">
        <f>forecast!P8</f>
        <v>0</v>
      </c>
      <c r="R10" s="216">
        <f>forecast!Q8</f>
        <v>0</v>
      </c>
    </row>
    <row r="11" spans="2:18" x14ac:dyDescent="0.35">
      <c r="B11" t="str">
        <f>forecast!A9</f>
        <v>State UI</v>
      </c>
      <c r="C11" t="str">
        <f>forecast!B9</f>
        <v>state_ui</v>
      </c>
      <c r="D11" s="216">
        <f>forecast!C9</f>
        <v>36.100000000000023</v>
      </c>
      <c r="E11" s="216">
        <f>forecast!D9</f>
        <v>32.412642857142878</v>
      </c>
      <c r="F11" s="216">
        <f>forecast!E9</f>
        <v>28.861246753246771</v>
      </c>
      <c r="G11" s="216">
        <f>forecast!F9</f>
        <v>26.856993506493524</v>
      </c>
      <c r="H11" s="216">
        <f>forecast!G9</f>
        <v>25.893545454545471</v>
      </c>
      <c r="I11" s="216">
        <f>forecast!H9</f>
        <v>25.57708441558443</v>
      </c>
      <c r="J11" s="216">
        <f>forecast!I9</f>
        <v>25.752896103896116</v>
      </c>
      <c r="K11" s="216">
        <f>forecast!J9</f>
        <v>26.1467142857143</v>
      </c>
      <c r="L11" s="216">
        <f>forecast!K9</f>
        <v>26.547564935064948</v>
      </c>
      <c r="M11" s="216">
        <f>forecast!L9</f>
        <v>26.969512987013001</v>
      </c>
      <c r="N11" s="216">
        <f>forecast!M9</f>
        <v>27.496948051948067</v>
      </c>
      <c r="O11" s="216">
        <f>forecast!N9</f>
        <v>27.932961038961054</v>
      </c>
      <c r="P11" s="216">
        <f>forecast!O9</f>
        <v>28.277551948051961</v>
      </c>
      <c r="Q11" s="216">
        <f>forecast!P9</f>
        <v>28.706532467532483</v>
      </c>
      <c r="R11" s="216">
        <f>forecast!Q9</f>
        <v>29.121448051948068</v>
      </c>
    </row>
    <row r="12" spans="2:18" x14ac:dyDescent="0.35">
      <c r="B12" t="str">
        <f>forecast!A10</f>
        <v>Federal Medicaid</v>
      </c>
      <c r="C12" t="str">
        <f>forecast!B10</f>
        <v>medicaid_grants</v>
      </c>
      <c r="D12" s="216">
        <f>forecast!C10</f>
        <v>530.82100000000003</v>
      </c>
      <c r="E12" s="216">
        <f>forecast!D10</f>
        <v>538.14001996493334</v>
      </c>
      <c r="F12" s="216">
        <f>forecast!E10</f>
        <v>570.27040489328328</v>
      </c>
      <c r="G12" s="216">
        <f>forecast!F10</f>
        <v>578.13335771320669</v>
      </c>
      <c r="H12" s="216">
        <f>forecast!G10</f>
        <v>532.12913303510197</v>
      </c>
      <c r="I12" s="216">
        <f>forecast!H10</f>
        <v>531.19254142829129</v>
      </c>
      <c r="J12" s="216">
        <f>forecast!I10</f>
        <v>532.8055920209647</v>
      </c>
      <c r="K12" s="216">
        <f>forecast!J10</f>
        <v>534.42354089818025</v>
      </c>
      <c r="L12" s="216">
        <f>forecast!K10</f>
        <v>536.0464029343575</v>
      </c>
      <c r="M12" s="216">
        <f>forecast!L10</f>
        <v>558.00706656737646</v>
      </c>
      <c r="N12" s="216">
        <f>forecast!M10</f>
        <v>580.86741116936116</v>
      </c>
      <c r="O12" s="216">
        <f>forecast!N10</f>
        <v>604.66429472691186</v>
      </c>
      <c r="P12" s="216">
        <f>forecast!O10</f>
        <v>629.43608521875183</v>
      </c>
      <c r="Q12" s="216">
        <f>forecast!P10</f>
        <v>655.22272247684373</v>
      </c>
      <c r="R12" s="216">
        <f>forecast!Q10</f>
        <v>682.06578258182287</v>
      </c>
    </row>
    <row r="13" spans="2:18" x14ac:dyDescent="0.35">
      <c r="B13" t="str">
        <f>forecast!A11</f>
        <v>Total Medicaid</v>
      </c>
      <c r="C13" t="str">
        <f>forecast!B11</f>
        <v>medicaid</v>
      </c>
      <c r="D13" s="216">
        <f>forecast!C11</f>
        <v>740</v>
      </c>
      <c r="E13" s="216">
        <f>forecast!D11</f>
        <v>750.20320366762178</v>
      </c>
      <c r="F13" s="216">
        <f>forecast!E11</f>
        <v>760.54709026103137</v>
      </c>
      <c r="G13" s="216">
        <f>forecast!F11</f>
        <v>771.03359953231575</v>
      </c>
      <c r="H13" s="216">
        <f>forecast!G11</f>
        <v>781.66469797908303</v>
      </c>
      <c r="I13" s="216">
        <f>forecast!H11</f>
        <v>784.03834709124271</v>
      </c>
      <c r="J13" s="216">
        <f>forecast!I11</f>
        <v>786.4192041662568</v>
      </c>
      <c r="K13" s="216">
        <f>forecast!J11</f>
        <v>788.80729109225035</v>
      </c>
      <c r="L13" s="216">
        <f>forecast!K11</f>
        <v>791.20262982381519</v>
      </c>
      <c r="M13" s="216">
        <f>forecast!L11</f>
        <v>823.6164931087975</v>
      </c>
      <c r="N13" s="216">
        <f>forecast!M11</f>
        <v>857.35828238069348</v>
      </c>
      <c r="O13" s="216">
        <f>forecast!N11</f>
        <v>892.48239989977117</v>
      </c>
      <c r="P13" s="216">
        <f>forecast!O11</f>
        <v>929.04547666942995</v>
      </c>
      <c r="Q13" s="216">
        <f>forecast!P11</f>
        <v>967.10646374299392</v>
      </c>
      <c r="R13" s="216">
        <f>forecast!Q11</f>
        <v>1006.726727271148</v>
      </c>
    </row>
    <row r="14" spans="2:18" x14ac:dyDescent="0.35">
      <c r="B14" t="str">
        <f>forecast!A12</f>
        <v>Medicare</v>
      </c>
      <c r="C14" t="str">
        <f>forecast!B12</f>
        <v>medicare</v>
      </c>
      <c r="D14" s="216">
        <f>forecast!C12</f>
        <v>826.5</v>
      </c>
      <c r="E14" s="216">
        <f>forecast!D12</f>
        <v>840.90322653846329</v>
      </c>
      <c r="F14" s="216">
        <f>forecast!E12</f>
        <v>840.36452608091781</v>
      </c>
      <c r="G14" s="216">
        <f>forecast!F12</f>
        <v>856.11491844085015</v>
      </c>
      <c r="H14" s="216">
        <f>forecast!G12</f>
        <v>858.15980902786953</v>
      </c>
      <c r="I14" s="216">
        <f>forecast!H12</f>
        <v>874.5047043210385</v>
      </c>
      <c r="J14" s="216">
        <f>forecast!I12</f>
        <v>891.12996993440447</v>
      </c>
      <c r="K14" s="216">
        <f>forecast!J12</f>
        <v>908.06562072077816</v>
      </c>
      <c r="L14" s="216">
        <f>forecast!K12</f>
        <v>925.31745141197712</v>
      </c>
      <c r="M14" s="216">
        <f>forecast!L12</f>
        <v>942.89136492448665</v>
      </c>
      <c r="N14" s="216">
        <f>forecast!M12</f>
        <v>960.53728015007744</v>
      </c>
      <c r="O14" s="216">
        <f>forecast!N12</f>
        <v>978.50792280104577</v>
      </c>
      <c r="P14" s="216">
        <f>forecast!O12</f>
        <v>996.8092686456896</v>
      </c>
      <c r="Q14" s="216">
        <f>forecast!P12</f>
        <v>1015.4474034208649</v>
      </c>
      <c r="R14" s="216">
        <f>forecast!Q12</f>
        <v>1034.4285248556728</v>
      </c>
    </row>
    <row r="15" spans="2:18" x14ac:dyDescent="0.35">
      <c r="B15" t="str">
        <f>forecast!A13</f>
        <v>Non-ARP Rebate Checks</v>
      </c>
      <c r="C15" t="str">
        <f>forecast!B13</f>
        <v>rebate_checks</v>
      </c>
      <c r="D15" s="216">
        <f>forecast!C13</f>
        <v>0</v>
      </c>
      <c r="E15" s="216">
        <f>forecast!D13</f>
        <v>0</v>
      </c>
      <c r="F15" s="216">
        <f>forecast!E13</f>
        <v>0</v>
      </c>
      <c r="G15" s="216">
        <f>forecast!F13</f>
        <v>0</v>
      </c>
      <c r="H15" s="216">
        <f>forecast!G13</f>
        <v>0</v>
      </c>
      <c r="I15" s="216">
        <f>forecast!H13</f>
        <v>0</v>
      </c>
      <c r="J15" s="216">
        <f>forecast!I13</f>
        <v>0</v>
      </c>
      <c r="K15" s="216">
        <f>forecast!J13</f>
        <v>0</v>
      </c>
      <c r="L15" s="216">
        <f>forecast!K13</f>
        <v>0</v>
      </c>
      <c r="M15" s="216">
        <f>forecast!L13</f>
        <v>0</v>
      </c>
      <c r="N15" s="216">
        <f>forecast!M13</f>
        <v>0</v>
      </c>
      <c r="O15" s="216">
        <f>forecast!N13</f>
        <v>0</v>
      </c>
      <c r="P15" s="216">
        <f>forecast!O13</f>
        <v>0</v>
      </c>
      <c r="Q15" s="216">
        <f>forecast!P13</f>
        <v>0</v>
      </c>
      <c r="R15" s="216">
        <f>forecast!Q13</f>
        <v>0</v>
      </c>
    </row>
    <row r="16" spans="2:18" x14ac:dyDescent="0.35">
      <c r="B16" t="str">
        <f>forecast!A14</f>
        <v>ARP Rebate Checks</v>
      </c>
      <c r="C16" t="str">
        <f>forecast!B14</f>
        <v>rebate_checks_arp</v>
      </c>
      <c r="D16" s="216">
        <f>forecast!C14</f>
        <v>38.9</v>
      </c>
      <c r="E16" s="216">
        <f>forecast!D14</f>
        <v>0</v>
      </c>
      <c r="F16" s="216">
        <f>forecast!E14</f>
        <v>14.93</v>
      </c>
      <c r="G16" s="216">
        <f>forecast!F14</f>
        <v>14.93</v>
      </c>
      <c r="H16" s="216">
        <f>forecast!G14</f>
        <v>0</v>
      </c>
      <c r="I16" s="216">
        <f>forecast!H14</f>
        <v>0</v>
      </c>
      <c r="J16" s="216">
        <f>forecast!I14</f>
        <v>0</v>
      </c>
      <c r="K16" s="216">
        <f>forecast!J14</f>
        <v>0</v>
      </c>
      <c r="L16" s="216">
        <f>forecast!K14</f>
        <v>0</v>
      </c>
      <c r="M16" s="216">
        <f>forecast!L14</f>
        <v>0</v>
      </c>
      <c r="N16" s="216">
        <f>forecast!M14</f>
        <v>0</v>
      </c>
      <c r="O16" s="216">
        <f>forecast!N14</f>
        <v>0</v>
      </c>
      <c r="P16" s="216">
        <f>forecast!O14</f>
        <v>0</v>
      </c>
      <c r="Q16" s="216">
        <f>forecast!P14</f>
        <v>0</v>
      </c>
      <c r="R16" s="216">
        <f>forecast!Q14</f>
        <v>0</v>
      </c>
    </row>
    <row r="17" spans="2:18" x14ac:dyDescent="0.35">
      <c r="B17" t="str">
        <f>forecast!A15</f>
        <v>ARP Other Vulnerable</v>
      </c>
      <c r="C17" t="str">
        <f>forecast!B15</f>
        <v>federal_other_vulnerable_arp</v>
      </c>
      <c r="D17" s="216">
        <f>forecast!C15</f>
        <v>137.43936000000005</v>
      </c>
      <c r="E17" s="216">
        <f>forecast!D15</f>
        <v>52.756999999999998</v>
      </c>
      <c r="F17" s="216">
        <f>forecast!E15</f>
        <v>52.756999999999998</v>
      </c>
      <c r="G17" s="216">
        <f>forecast!F15</f>
        <v>52.756999999999998</v>
      </c>
      <c r="H17" s="216">
        <f>forecast!G15</f>
        <v>52.756999999999998</v>
      </c>
      <c r="I17" s="216">
        <f>forecast!H15</f>
        <v>12</v>
      </c>
      <c r="J17" s="216">
        <f>forecast!I15</f>
        <v>12</v>
      </c>
      <c r="K17" s="216">
        <f>forecast!J15</f>
        <v>12</v>
      </c>
      <c r="L17" s="216">
        <f>forecast!K15</f>
        <v>12</v>
      </c>
      <c r="M17" s="216">
        <f>forecast!L15</f>
        <v>4.2219999999999995</v>
      </c>
      <c r="N17" s="216">
        <f>forecast!M15</f>
        <v>4.2219999999999995</v>
      </c>
      <c r="O17" s="216">
        <f>forecast!N15</f>
        <v>4.2219999999999995</v>
      </c>
      <c r="P17" s="216">
        <f>forecast!O15</f>
        <v>4.2219999999999995</v>
      </c>
      <c r="Q17" s="216">
        <f>forecast!P15</f>
        <v>2.3719999999999999</v>
      </c>
      <c r="R17" s="216">
        <f>forecast!Q15</f>
        <v>2.3719999999999999</v>
      </c>
    </row>
    <row r="18" spans="2:18" x14ac:dyDescent="0.35">
      <c r="B18" t="str">
        <f>forecast!A16</f>
        <v xml:space="preserve">ARP Other Direct Aid plus Provider Relief </v>
      </c>
      <c r="C18" t="str">
        <f>forecast!B16</f>
        <v>federal_other_direct_aid_arp</v>
      </c>
      <c r="D18" s="216">
        <f>forecast!C16</f>
        <v>40.50400000000004</v>
      </c>
      <c r="E18" s="216">
        <f>forecast!D16</f>
        <v>31.919000000000004</v>
      </c>
      <c r="F18" s="216">
        <f>forecast!E16</f>
        <v>19.719000000000005</v>
      </c>
      <c r="G18" s="216">
        <f>forecast!F16</f>
        <v>19.719000000000005</v>
      </c>
      <c r="H18" s="216">
        <f>forecast!G16</f>
        <v>19.719000000000005</v>
      </c>
      <c r="I18" s="216">
        <f>forecast!H16</f>
        <v>1.4159999999999999</v>
      </c>
      <c r="J18" s="216">
        <f>forecast!I16</f>
        <v>1.4159999999999999</v>
      </c>
      <c r="K18" s="216">
        <f>forecast!J16</f>
        <v>1.4159999999999999</v>
      </c>
      <c r="L18" s="216">
        <f>forecast!K16</f>
        <v>1.4159999999999999</v>
      </c>
      <c r="M18" s="216">
        <f>forecast!L16</f>
        <v>1.4790000000000001</v>
      </c>
      <c r="N18" s="216">
        <f>forecast!M16</f>
        <v>1.4790000000000001</v>
      </c>
      <c r="O18" s="216">
        <f>forecast!N16</f>
        <v>1.4790000000000001</v>
      </c>
      <c r="P18" s="216">
        <f>forecast!O16</f>
        <v>1.4790000000000001</v>
      </c>
      <c r="Q18" s="216">
        <f>forecast!P16</f>
        <v>1.63</v>
      </c>
      <c r="R18" s="216">
        <f>forecast!Q16</f>
        <v>1.63</v>
      </c>
    </row>
    <row r="19" spans="2:18" x14ac:dyDescent="0.35">
      <c r="B19" t="str">
        <f>forecast!A17</f>
        <v>Other Federal Social Benefits (including all SNAP)</v>
      </c>
      <c r="C19" t="str">
        <f>forecast!B17</f>
        <v>federal_social_benefits</v>
      </c>
      <c r="D19" s="216">
        <f>forecast!C17</f>
        <v>1819.8643900000011</v>
      </c>
      <c r="E19" s="216">
        <f>forecast!D17</f>
        <v>1814.3550133112776</v>
      </c>
      <c r="F19" s="216">
        <f>forecast!E17</f>
        <v>1846.9743107398242</v>
      </c>
      <c r="G19" s="216">
        <f>forecast!F17</f>
        <v>1849.0743107398243</v>
      </c>
      <c r="H19" s="216">
        <f>forecast!G17</f>
        <v>1809.1743107398245</v>
      </c>
      <c r="I19" s="216">
        <f>forecast!H17</f>
        <v>1811.2743107398246</v>
      </c>
      <c r="J19" s="216">
        <f>forecast!I17</f>
        <v>1892.7621102189325</v>
      </c>
      <c r="K19" s="216">
        <f>forecast!J17</f>
        <v>1899.8621102189327</v>
      </c>
      <c r="L19" s="216">
        <f>forecast!K17</f>
        <v>1906.9621102189328</v>
      </c>
      <c r="M19" s="216">
        <f>forecast!L17</f>
        <v>1914.062110218933</v>
      </c>
      <c r="N19" s="216">
        <f>forecast!M17</f>
        <v>1991.4556144275864</v>
      </c>
      <c r="O19" s="216">
        <f>forecast!N17</f>
        <v>1998.5556144275865</v>
      </c>
      <c r="P19" s="216">
        <f>forecast!O17</f>
        <v>2005.6556144275867</v>
      </c>
      <c r="Q19" s="216">
        <f>forecast!P17</f>
        <v>2012.7556144275868</v>
      </c>
      <c r="R19" s="216">
        <f>forecast!Q17</f>
        <v>2019.8556144275869</v>
      </c>
    </row>
    <row r="20" spans="2:18" x14ac:dyDescent="0.35">
      <c r="B20" t="str">
        <f>forecast!A18</f>
        <v>State Social Benefits ex Medicaid</v>
      </c>
      <c r="C20" t="str">
        <f>forecast!B18</f>
        <v>state_social_benefits</v>
      </c>
      <c r="D20" s="216">
        <f>forecast!C18</f>
        <v>157.39999999999998</v>
      </c>
      <c r="E20" s="216">
        <f>forecast!D18</f>
        <v>159.29290606014339</v>
      </c>
      <c r="F20" s="216">
        <f>forecast!E18</f>
        <v>161.20857637284416</v>
      </c>
      <c r="G20" s="216">
        <f>forecast!F18</f>
        <v>163.14728470297916</v>
      </c>
      <c r="H20" s="216">
        <f>forecast!G18</f>
        <v>165.10930810774545</v>
      </c>
      <c r="I20" s="216">
        <f>forecast!H18</f>
        <v>167.09492697625396</v>
      </c>
      <c r="J20" s="216">
        <f>forecast!I18</f>
        <v>169.10442506959942</v>
      </c>
      <c r="K20" s="216">
        <f>forecast!J18</f>
        <v>171.13808956141207</v>
      </c>
      <c r="L20" s="216">
        <f>forecast!K18</f>
        <v>173.19621107889725</v>
      </c>
      <c r="M20" s="216">
        <f>forecast!L18</f>
        <v>175.27908374436817</v>
      </c>
      <c r="N20" s="216">
        <f>forecast!M18</f>
        <v>177.38700521727858</v>
      </c>
      <c r="O20" s="216">
        <f>forecast!N18</f>
        <v>179.52027673676068</v>
      </c>
      <c r="P20" s="216">
        <f>forecast!O18</f>
        <v>181.6792031646745</v>
      </c>
      <c r="Q20" s="216">
        <f>forecast!P18</f>
        <v>183.86409302917539</v>
      </c>
      <c r="R20" s="216">
        <f>forecast!Q18</f>
        <v>186.075258568805</v>
      </c>
    </row>
    <row r="21" spans="2:18" x14ac:dyDescent="0.35">
      <c r="B21" t="str">
        <f>forecast!A19</f>
        <v>Federal Non-Corporate Taxes</v>
      </c>
      <c r="C21" t="str">
        <f>forecast!B19</f>
        <v>federal_non_corporate_taxes</v>
      </c>
      <c r="D21" s="216">
        <f>forecast!C19</f>
        <v>3739.4999999999995</v>
      </c>
      <c r="E21" s="216">
        <f>forecast!D19</f>
        <v>3790.3567636578086</v>
      </c>
      <c r="F21" s="216">
        <f>forecast!E19</f>
        <v>3785.9222713714485</v>
      </c>
      <c r="G21" s="216">
        <f>forecast!F19</f>
        <v>3836.0261744822378</v>
      </c>
      <c r="H21" s="216">
        <f>forecast!G19</f>
        <v>3882.096262937343</v>
      </c>
      <c r="I21" s="216">
        <f>forecast!H19</f>
        <v>3925.0470587742493</v>
      </c>
      <c r="J21" s="216">
        <f>forecast!I19</f>
        <v>3959.4970733399186</v>
      </c>
      <c r="K21" s="216">
        <f>forecast!J19</f>
        <v>3998.2650613759206</v>
      </c>
      <c r="L21" s="216">
        <f>forecast!K19</f>
        <v>4036.7059599652966</v>
      </c>
      <c r="M21" s="216">
        <f>forecast!L19</f>
        <v>4074.3305460849683</v>
      </c>
      <c r="N21" s="216">
        <f>forecast!M19</f>
        <v>4110.6880372649321</v>
      </c>
      <c r="O21" s="216">
        <f>forecast!N19</f>
        <v>4146.6966412214333</v>
      </c>
      <c r="P21" s="216">
        <f>forecast!O19</f>
        <v>4184.3468116836821</v>
      </c>
      <c r="Q21" s="216">
        <f>forecast!P19</f>
        <v>4222.0255613752315</v>
      </c>
      <c r="R21" s="216">
        <f>forecast!Q19</f>
        <v>4260.7927835440778</v>
      </c>
    </row>
    <row r="22" spans="2:18" x14ac:dyDescent="0.35">
      <c r="B22" t="str">
        <f>forecast!A20</f>
        <v>State Non-Corporate Taxes</v>
      </c>
      <c r="C22" t="str">
        <f>forecast!B20</f>
        <v>state_non_corporate_taxes</v>
      </c>
      <c r="D22" s="216">
        <f>forecast!C20</f>
        <v>2105.9</v>
      </c>
      <c r="E22" s="216">
        <f>forecast!D20</f>
        <v>2120.9227646076561</v>
      </c>
      <c r="F22" s="216">
        <f>forecast!E20</f>
        <v>2150.1214626082142</v>
      </c>
      <c r="G22" s="216">
        <f>forecast!F20</f>
        <v>2178.3025304043881</v>
      </c>
      <c r="H22" s="216">
        <f>forecast!G20</f>
        <v>2207.6291426343887</v>
      </c>
      <c r="I22" s="216">
        <f>forecast!H20</f>
        <v>2234.5192049980928</v>
      </c>
      <c r="J22" s="216">
        <f>forecast!I20</f>
        <v>2258.6479016494136</v>
      </c>
      <c r="K22" s="216">
        <f>forecast!J20</f>
        <v>2281.4446722707116</v>
      </c>
      <c r="L22" s="216">
        <f>forecast!K20</f>
        <v>2304.1429547281373</v>
      </c>
      <c r="M22" s="216">
        <f>forecast!L20</f>
        <v>2325.6941437487076</v>
      </c>
      <c r="N22" s="216">
        <f>forecast!M20</f>
        <v>2346.2482634367179</v>
      </c>
      <c r="O22" s="216">
        <f>forecast!N20</f>
        <v>2366.7752749938418</v>
      </c>
      <c r="P22" s="216">
        <f>forecast!O20</f>
        <v>2388.1951121347661</v>
      </c>
      <c r="Q22" s="216">
        <f>forecast!P20</f>
        <v>2408.6962876467583</v>
      </c>
      <c r="R22" s="216">
        <f>forecast!Q20</f>
        <v>2430.550117671296</v>
      </c>
    </row>
    <row r="23" spans="2:18" x14ac:dyDescent="0.35">
      <c r="B23" t="str">
        <f>forecast!A21</f>
        <v>Federal Corporate Taxes</v>
      </c>
      <c r="C23" t="str">
        <f>forecast!B21</f>
        <v>federal_corporate_taxes</v>
      </c>
      <c r="D23" s="216">
        <f>forecast!C21</f>
        <v>290.01506024096392</v>
      </c>
      <c r="E23" s="216">
        <f>forecast!D21</f>
        <v>293.3295180722892</v>
      </c>
      <c r="F23" s="216">
        <f>forecast!E21</f>
        <v>344.48724035608313</v>
      </c>
      <c r="G23" s="216">
        <f>forecast!F21</f>
        <v>350.43471810089022</v>
      </c>
      <c r="H23" s="216">
        <f>forecast!G21</f>
        <v>352.06735905044513</v>
      </c>
      <c r="I23" s="216">
        <f>forecast!H21</f>
        <v>351.83412462908012</v>
      </c>
      <c r="J23" s="216">
        <f>forecast!I21</f>
        <v>350.08486646884273</v>
      </c>
      <c r="K23" s="216">
        <f>forecast!J21</f>
        <v>347.05281899109792</v>
      </c>
      <c r="L23" s="216">
        <f>forecast!K21</f>
        <v>345.18694362017806</v>
      </c>
      <c r="M23" s="216">
        <f>forecast!L21</f>
        <v>345.18694362017806</v>
      </c>
      <c r="N23" s="216">
        <f>forecast!M21</f>
        <v>344.67382789317509</v>
      </c>
      <c r="O23" s="216">
        <f>forecast!N21</f>
        <v>346.36477744807127</v>
      </c>
      <c r="P23" s="216">
        <f>forecast!O21</f>
        <v>347.79916913946596</v>
      </c>
      <c r="Q23" s="216">
        <f>forecast!P21</f>
        <v>349.7700000000001</v>
      </c>
      <c r="R23" s="216">
        <f>forecast!Q21</f>
        <v>350.71459940652824</v>
      </c>
    </row>
    <row r="24" spans="2:18" x14ac:dyDescent="0.35">
      <c r="B24" t="str">
        <f>forecast!A22</f>
        <v>State Corporate Taxes</v>
      </c>
      <c r="C24" t="str">
        <f>forecast!B22</f>
        <v>state_corporate_taxes</v>
      </c>
      <c r="D24" s="216">
        <f>forecast!C22</f>
        <v>119.87954743783622</v>
      </c>
      <c r="E24" s="216">
        <f>forecast!D22</f>
        <v>169.23178899387719</v>
      </c>
      <c r="F24" s="216">
        <f>forecast!E22</f>
        <v>166.13848610432476</v>
      </c>
      <c r="G24" s="216">
        <f>forecast!F22</f>
        <v>169.00682151100062</v>
      </c>
      <c r="H24" s="216">
        <f>forecast!G22</f>
        <v>169.79420770106853</v>
      </c>
      <c r="I24" s="216">
        <f>forecast!H22</f>
        <v>169.68172395963026</v>
      </c>
      <c r="J24" s="216">
        <f>forecast!I22</f>
        <v>168.83809589884322</v>
      </c>
      <c r="K24" s="216">
        <f>forecast!J22</f>
        <v>167.37580726014573</v>
      </c>
      <c r="L24" s="216">
        <f>forecast!K22</f>
        <v>166.47593732863956</v>
      </c>
      <c r="M24" s="216">
        <f>forecast!L22</f>
        <v>166.47593732863956</v>
      </c>
      <c r="N24" s="216">
        <f>forecast!M22</f>
        <v>166.22847309747536</v>
      </c>
      <c r="O24" s="216">
        <f>forecast!N22</f>
        <v>167.04398022290283</v>
      </c>
      <c r="P24" s="216">
        <f>forecast!O22</f>
        <v>167.7357552327482</v>
      </c>
      <c r="Q24" s="216">
        <f>forecast!P22</f>
        <v>168.68624284790158</v>
      </c>
      <c r="R24" s="216">
        <f>forecast!Q22</f>
        <v>169.14180200072656</v>
      </c>
    </row>
    <row r="27" spans="2:18" x14ac:dyDescent="0.35">
      <c r="B27" s="1039" t="s">
        <v>1230</v>
      </c>
      <c r="C27" s="1039"/>
      <c r="D27" s="1039"/>
      <c r="E27" s="1039"/>
      <c r="F27" s="1039"/>
      <c r="G27" s="1039"/>
      <c r="H27" s="1039"/>
      <c r="I27" s="1039"/>
      <c r="J27" s="1039"/>
      <c r="K27" s="1039"/>
      <c r="L27" s="1039"/>
      <c r="M27" s="1039"/>
      <c r="N27" s="1039"/>
      <c r="O27" s="1039"/>
      <c r="P27" s="1039"/>
      <c r="Q27" s="1039"/>
      <c r="R27" s="1039"/>
    </row>
    <row r="28" spans="2:18" x14ac:dyDescent="0.35">
      <c r="B28" t="s">
        <v>222</v>
      </c>
      <c r="C28" t="s">
        <v>223</v>
      </c>
      <c r="D28" t="s">
        <v>224</v>
      </c>
      <c r="E28" t="s">
        <v>225</v>
      </c>
      <c r="F28" t="s">
        <v>226</v>
      </c>
      <c r="G28" t="s">
        <v>227</v>
      </c>
      <c r="H28" t="s">
        <v>228</v>
      </c>
      <c r="I28" t="s">
        <v>229</v>
      </c>
      <c r="J28" t="s">
        <v>230</v>
      </c>
      <c r="K28" t="s">
        <v>231</v>
      </c>
      <c r="L28" t="s">
        <v>232</v>
      </c>
      <c r="M28" t="s">
        <v>233</v>
      </c>
      <c r="N28" t="s">
        <v>234</v>
      </c>
      <c r="O28" t="s">
        <v>235</v>
      </c>
      <c r="P28" t="s">
        <v>219</v>
      </c>
      <c r="Q28" t="s">
        <v>220</v>
      </c>
      <c r="R28" t="s">
        <v>221</v>
      </c>
    </row>
    <row r="29" spans="2:18" x14ac:dyDescent="0.35">
      <c r="B29" t="s">
        <v>236</v>
      </c>
      <c r="C29" t="s">
        <v>237</v>
      </c>
      <c r="D29" s="216">
        <v>367.47505614035089</v>
      </c>
      <c r="E29" s="216">
        <v>393.13708782957406</v>
      </c>
      <c r="F29" s="216">
        <v>401.59684440561404</v>
      </c>
      <c r="G29" s="216">
        <v>419.69377636126723</v>
      </c>
      <c r="H29" s="216">
        <v>438.34081535917659</v>
      </c>
      <c r="I29" s="216">
        <v>458.27990750346845</v>
      </c>
      <c r="J29" s="216">
        <v>478.97760180360723</v>
      </c>
      <c r="K29" s="216">
        <v>471.71644350775153</v>
      </c>
      <c r="L29" s="216">
        <v>479.39300748806158</v>
      </c>
      <c r="M29" s="216">
        <v>492.73634954758404</v>
      </c>
      <c r="N29" s="216">
        <v>481.54983616948743</v>
      </c>
      <c r="O29" s="727">
        <v>473.87554213626697</v>
      </c>
      <c r="P29" s="727">
        <v>489.00698046171772</v>
      </c>
      <c r="Q29" s="727">
        <v>503.86304218018643</v>
      </c>
      <c r="R29" s="727">
        <v>511.23178213939389</v>
      </c>
    </row>
    <row r="30" spans="2:18" x14ac:dyDescent="0.35">
      <c r="B30" t="s">
        <v>177</v>
      </c>
      <c r="C30" t="s">
        <v>238</v>
      </c>
      <c r="D30" s="216">
        <v>75.34842857142857</v>
      </c>
      <c r="E30" s="216">
        <v>75.34842857142857</v>
      </c>
      <c r="F30" s="216">
        <v>75.34842857142857</v>
      </c>
      <c r="G30" s="216">
        <v>75.34842857142857</v>
      </c>
      <c r="H30" s="216">
        <v>75.34842857142857</v>
      </c>
      <c r="I30" s="216">
        <v>75.34842857142857</v>
      </c>
      <c r="J30" s="216">
        <v>75.34842857142857</v>
      </c>
      <c r="K30" s="216">
        <v>75.34842857142857</v>
      </c>
      <c r="L30" s="216">
        <v>75.34842857142857</v>
      </c>
      <c r="M30" s="216">
        <v>75.34842857142857</v>
      </c>
      <c r="N30" s="216">
        <v>75.34842857142857</v>
      </c>
      <c r="O30" s="727">
        <v>75.34842857142857</v>
      </c>
      <c r="P30" s="727">
        <v>75.34842857142857</v>
      </c>
      <c r="Q30" s="727">
        <v>75.34842857142857</v>
      </c>
      <c r="R30" s="727">
        <v>75.34842857142857</v>
      </c>
    </row>
    <row r="31" spans="2:18" x14ac:dyDescent="0.35">
      <c r="B31" t="s">
        <v>239</v>
      </c>
      <c r="C31" t="s">
        <v>240</v>
      </c>
      <c r="D31" s="216">
        <v>1574.4706324651618</v>
      </c>
      <c r="E31" s="216">
        <v>1586.3910806856957</v>
      </c>
      <c r="F31" s="216">
        <v>1598.4948253539787</v>
      </c>
      <c r="G31" s="216">
        <v>1600.4852269719188</v>
      </c>
      <c r="H31" s="216">
        <v>1599.8246179233195</v>
      </c>
      <c r="I31" s="216">
        <v>1599.9925730575819</v>
      </c>
      <c r="J31" s="216">
        <v>1604.2713586599725</v>
      </c>
      <c r="K31" s="216">
        <v>1610.249863080161</v>
      </c>
      <c r="L31" s="216">
        <v>1617.9041839311014</v>
      </c>
      <c r="M31" s="216">
        <v>1626.9012547503785</v>
      </c>
      <c r="N31" s="216">
        <v>1635.7763242754954</v>
      </c>
      <c r="O31" s="727">
        <v>1644.6998090678856</v>
      </c>
      <c r="P31" s="727">
        <v>1654.0763434825342</v>
      </c>
      <c r="Q31" s="727">
        <v>1663.0996585149583</v>
      </c>
      <c r="R31" s="727">
        <v>1673.3979812645641</v>
      </c>
    </row>
    <row r="32" spans="2:18" x14ac:dyDescent="0.35">
      <c r="B32" t="s">
        <v>241</v>
      </c>
      <c r="C32" t="s">
        <v>242</v>
      </c>
      <c r="D32" s="216">
        <v>2511.7412338485101</v>
      </c>
      <c r="E32" s="216">
        <v>2572.3085810221137</v>
      </c>
      <c r="F32" s="216">
        <v>2628.3287825392817</v>
      </c>
      <c r="G32" s="216">
        <v>2679.3881349236467</v>
      </c>
      <c r="H32" s="216">
        <v>2725.0945444127983</v>
      </c>
      <c r="I32" s="216">
        <v>2761.8156687676387</v>
      </c>
      <c r="J32" s="216">
        <v>2795.7093181045493</v>
      </c>
      <c r="K32" s="216">
        <v>2830.0189182517779</v>
      </c>
      <c r="L32" s="216">
        <v>2864.7495738551802</v>
      </c>
      <c r="M32" s="216">
        <v>2899.9064522060216</v>
      </c>
      <c r="N32" s="216">
        <v>2935.494784009778</v>
      </c>
      <c r="O32" s="727">
        <v>2935.494784009778</v>
      </c>
      <c r="P32" s="727">
        <v>2935.494784009778</v>
      </c>
      <c r="Q32" s="727">
        <v>2935.494784009778</v>
      </c>
      <c r="R32" s="727">
        <v>2935.494784009778</v>
      </c>
    </row>
    <row r="33" spans="2:18" x14ac:dyDescent="0.35">
      <c r="B33" t="s">
        <v>243</v>
      </c>
      <c r="C33" t="s">
        <v>244</v>
      </c>
      <c r="D33" s="216">
        <v>595.75266818970692</v>
      </c>
      <c r="E33" s="216">
        <v>116.33678854309755</v>
      </c>
      <c r="F33" s="216">
        <v>83.047368421052624</v>
      </c>
      <c r="G33" s="216">
        <v>77.633834586466179</v>
      </c>
      <c r="H33" s="216">
        <v>77.633834586466179</v>
      </c>
      <c r="I33" s="216">
        <v>75.736000000000004</v>
      </c>
      <c r="J33" s="216">
        <v>75.736000000000004</v>
      </c>
      <c r="K33" s="216">
        <v>75.736000000000004</v>
      </c>
      <c r="L33" s="216">
        <v>75.736000000000004</v>
      </c>
      <c r="M33" s="216">
        <v>74.060000000000016</v>
      </c>
      <c r="N33" s="216">
        <v>74.060000000000016</v>
      </c>
      <c r="O33" s="727">
        <v>74.060000000000016</v>
      </c>
      <c r="P33" s="727">
        <v>74.060000000000016</v>
      </c>
      <c r="Q33" s="727">
        <v>77.001000000000005</v>
      </c>
      <c r="R33" s="727">
        <v>77.001000000000005</v>
      </c>
    </row>
    <row r="34" spans="2:18" x14ac:dyDescent="0.35">
      <c r="B34" t="s">
        <v>245</v>
      </c>
      <c r="C34" t="s">
        <v>246</v>
      </c>
      <c r="D34" s="216">
        <v>267.78904</v>
      </c>
      <c r="E34" s="216">
        <v>110.24799999999999</v>
      </c>
      <c r="F34" s="216">
        <v>110.24799999999999</v>
      </c>
      <c r="G34" s="216">
        <v>110.24799999999999</v>
      </c>
      <c r="H34" s="216">
        <v>110.24799999999999</v>
      </c>
      <c r="I34" s="216">
        <v>12.726000000000001</v>
      </c>
      <c r="J34" s="216">
        <v>12.726000000000001</v>
      </c>
      <c r="K34" s="216">
        <v>12.726000000000001</v>
      </c>
      <c r="L34" s="216">
        <v>12.726000000000001</v>
      </c>
      <c r="M34" s="216">
        <v>1.365</v>
      </c>
      <c r="N34" s="216">
        <v>1.365</v>
      </c>
      <c r="O34" s="727">
        <v>1.365</v>
      </c>
      <c r="P34" s="727">
        <v>1.365</v>
      </c>
      <c r="Q34" s="727">
        <v>-0.90100000000000025</v>
      </c>
      <c r="R34" s="727">
        <v>-0.90100000000000025</v>
      </c>
    </row>
    <row r="35" spans="2:18" x14ac:dyDescent="0.35">
      <c r="B35" t="s">
        <v>247</v>
      </c>
      <c r="C35" t="s">
        <v>248</v>
      </c>
      <c r="D35" s="216">
        <v>274.93781665755427</v>
      </c>
      <c r="E35" s="216">
        <v>0</v>
      </c>
      <c r="F35" s="216">
        <v>0</v>
      </c>
      <c r="G35" s="216">
        <v>0</v>
      </c>
      <c r="H35" s="216">
        <v>0</v>
      </c>
      <c r="I35" s="216">
        <v>0</v>
      </c>
      <c r="J35" s="216">
        <v>0</v>
      </c>
      <c r="K35" s="216">
        <v>0</v>
      </c>
      <c r="L35" s="216">
        <v>0</v>
      </c>
      <c r="M35" s="216">
        <v>0</v>
      </c>
      <c r="N35" s="216">
        <v>0</v>
      </c>
      <c r="O35" s="727">
        <v>0</v>
      </c>
      <c r="P35" s="727">
        <v>0</v>
      </c>
      <c r="Q35" s="727">
        <v>0</v>
      </c>
      <c r="R35" s="727">
        <v>0</v>
      </c>
    </row>
    <row r="36" spans="2:18" x14ac:dyDescent="0.35">
      <c r="B36" t="s">
        <v>249</v>
      </c>
      <c r="C36" t="s">
        <v>250</v>
      </c>
      <c r="D36" s="216">
        <v>31.028850009112375</v>
      </c>
      <c r="E36" s="216">
        <v>26.993576763306706</v>
      </c>
      <c r="F36" s="216">
        <v>24.035938172404151</v>
      </c>
      <c r="G36" s="216">
        <v>22.366775799320529</v>
      </c>
      <c r="H36" s="216">
        <v>21.564406518224189</v>
      </c>
      <c r="I36" s="216">
        <v>21.300854564579407</v>
      </c>
      <c r="J36" s="216">
        <v>21.447272316604284</v>
      </c>
      <c r="K36" s="216">
        <v>21.775248081140013</v>
      </c>
      <c r="L36" s="216">
        <v>22.109080555756737</v>
      </c>
      <c r="M36" s="216">
        <v>22.460483160616448</v>
      </c>
      <c r="N36" s="216">
        <v>22.899736416691088</v>
      </c>
      <c r="O36" s="727">
        <v>23.262852441712788</v>
      </c>
      <c r="P36" s="727">
        <v>23.549831235681548</v>
      </c>
      <c r="Q36" s="727">
        <v>23.90709055062225</v>
      </c>
      <c r="R36" s="727">
        <v>24.252636445400967</v>
      </c>
    </row>
    <row r="37" spans="2:18" x14ac:dyDescent="0.35">
      <c r="B37" t="s">
        <v>251</v>
      </c>
      <c r="C37" t="s">
        <v>252</v>
      </c>
      <c r="D37" s="216">
        <v>547.57595207590032</v>
      </c>
      <c r="E37" s="216">
        <v>556.28542243630216</v>
      </c>
      <c r="F37" s="216">
        <v>586.49810473345599</v>
      </c>
      <c r="G37" s="216">
        <v>595.82665146791862</v>
      </c>
      <c r="H37" s="216">
        <v>549.54190449377256</v>
      </c>
      <c r="I37" s="216">
        <v>548.64497088822941</v>
      </c>
      <c r="J37" s="216">
        <v>550.31101855727047</v>
      </c>
      <c r="K37" s="216">
        <v>551.98212544490059</v>
      </c>
      <c r="L37" s="216">
        <v>553.65830691424128</v>
      </c>
      <c r="M37" s="216">
        <v>576.34049222359647</v>
      </c>
      <c r="N37" s="216">
        <v>599.95191768700158</v>
      </c>
      <c r="O37" s="727">
        <v>624.53065226704177</v>
      </c>
      <c r="P37" s="727">
        <v>650.11632452949686</v>
      </c>
      <c r="Q37" s="727">
        <v>676.75018653691563</v>
      </c>
      <c r="R37" s="727">
        <v>704.47518035977316</v>
      </c>
    </row>
    <row r="38" spans="2:18" x14ac:dyDescent="0.35">
      <c r="B38" t="s">
        <v>253</v>
      </c>
      <c r="C38" t="s">
        <v>254</v>
      </c>
      <c r="D38" s="216">
        <v>758.13333333333333</v>
      </c>
      <c r="E38" s="216">
        <v>770.19182452686925</v>
      </c>
      <c r="F38" s="216">
        <v>782.4421120753093</v>
      </c>
      <c r="G38" s="216">
        <v>794.88724659594573</v>
      </c>
      <c r="H38" s="216">
        <v>807.53032722767</v>
      </c>
      <c r="I38" s="216">
        <v>809.98252143475349</v>
      </c>
      <c r="J38" s="216">
        <v>812.44216211935804</v>
      </c>
      <c r="K38" s="216">
        <v>814.90927189389629</v>
      </c>
      <c r="L38" s="216">
        <v>817.38387343944726</v>
      </c>
      <c r="M38" s="216">
        <v>850.87032574170428</v>
      </c>
      <c r="N38" s="216">
        <v>885.72864568685088</v>
      </c>
      <c r="O38" s="727">
        <v>922.01503572991635</v>
      </c>
      <c r="P38" s="727">
        <v>959.78800081915347</v>
      </c>
      <c r="Q38" s="727">
        <v>999.10844272421411</v>
      </c>
      <c r="R38" s="727">
        <v>1040.0397582287465</v>
      </c>
    </row>
    <row r="39" spans="2:18" x14ac:dyDescent="0.35">
      <c r="B39" t="s">
        <v>76</v>
      </c>
      <c r="C39" t="s">
        <v>255</v>
      </c>
      <c r="D39" s="216">
        <v>826.23333333333323</v>
      </c>
      <c r="E39" s="216">
        <v>840.63183265898397</v>
      </c>
      <c r="F39" s="216">
        <v>840.08805772363996</v>
      </c>
      <c r="G39" s="216">
        <v>855.83328072402855</v>
      </c>
      <c r="H39" s="216">
        <v>857.87290529567576</v>
      </c>
      <c r="I39" s="216">
        <v>874.21243611038949</v>
      </c>
      <c r="J39" s="216">
        <v>890.83224522632338</v>
      </c>
      <c r="K39" s="216">
        <v>907.76233764525955</v>
      </c>
      <c r="L39" s="216">
        <v>925.00850619715482</v>
      </c>
      <c r="M39" s="216">
        <v>942.57665186112683</v>
      </c>
      <c r="N39" s="216">
        <v>960.21677560684873</v>
      </c>
      <c r="O39" s="727">
        <v>978.18152020074194</v>
      </c>
      <c r="P39" s="727">
        <v>996.47685944982652</v>
      </c>
      <c r="Q39" s="727">
        <v>1015.1088770935885</v>
      </c>
      <c r="R39" s="727">
        <v>1034.0837688270024</v>
      </c>
    </row>
    <row r="40" spans="2:18" x14ac:dyDescent="0.35">
      <c r="B40" t="s">
        <v>256</v>
      </c>
      <c r="C40" t="s">
        <v>257</v>
      </c>
      <c r="D40" s="216">
        <v>0</v>
      </c>
      <c r="E40" s="216">
        <v>0</v>
      </c>
      <c r="F40" s="216">
        <v>0</v>
      </c>
      <c r="G40" s="216">
        <v>0</v>
      </c>
      <c r="H40" s="216">
        <v>0</v>
      </c>
      <c r="I40" s="216">
        <v>0</v>
      </c>
      <c r="J40" s="216">
        <v>0</v>
      </c>
      <c r="K40" s="216">
        <v>0</v>
      </c>
      <c r="L40" s="216">
        <v>0</v>
      </c>
      <c r="M40" s="216">
        <v>0</v>
      </c>
      <c r="N40" s="216">
        <v>0</v>
      </c>
      <c r="O40" s="727">
        <v>0</v>
      </c>
      <c r="P40" s="727">
        <v>0</v>
      </c>
      <c r="Q40" s="727">
        <v>0</v>
      </c>
      <c r="R40" s="727">
        <v>0</v>
      </c>
    </row>
    <row r="41" spans="2:18" x14ac:dyDescent="0.35">
      <c r="B41" t="s">
        <v>258</v>
      </c>
      <c r="C41" t="s">
        <v>259</v>
      </c>
      <c r="D41" s="216">
        <v>38.699999999999996</v>
      </c>
      <c r="E41" s="216">
        <v>0</v>
      </c>
      <c r="F41" s="216">
        <v>14.93</v>
      </c>
      <c r="G41" s="216">
        <v>14.93</v>
      </c>
      <c r="H41" s="216">
        <v>0</v>
      </c>
      <c r="I41" s="216">
        <v>0</v>
      </c>
      <c r="J41" s="216">
        <v>0</v>
      </c>
      <c r="K41" s="216">
        <v>0</v>
      </c>
      <c r="L41" s="216">
        <v>0</v>
      </c>
      <c r="M41" s="216">
        <v>0</v>
      </c>
      <c r="N41" s="216">
        <v>0</v>
      </c>
      <c r="O41" s="727">
        <v>0</v>
      </c>
      <c r="P41" s="727">
        <v>0</v>
      </c>
      <c r="Q41" s="727">
        <v>0</v>
      </c>
      <c r="R41" s="727">
        <v>0</v>
      </c>
    </row>
    <row r="42" spans="2:18" x14ac:dyDescent="0.35">
      <c r="B42" t="s">
        <v>260</v>
      </c>
      <c r="C42" t="s">
        <v>261</v>
      </c>
      <c r="D42" s="216">
        <v>137.43936000000005</v>
      </c>
      <c r="E42" s="216">
        <v>52.756999999999998</v>
      </c>
      <c r="F42" s="216">
        <v>52.756999999999998</v>
      </c>
      <c r="G42" s="216">
        <v>52.756999999999998</v>
      </c>
      <c r="H42" s="216">
        <v>52.756999999999998</v>
      </c>
      <c r="I42" s="216">
        <v>12</v>
      </c>
      <c r="J42" s="216">
        <v>12</v>
      </c>
      <c r="K42" s="216">
        <v>12</v>
      </c>
      <c r="L42" s="216">
        <v>12</v>
      </c>
      <c r="M42" s="216">
        <v>4.2219999999999995</v>
      </c>
      <c r="N42" s="216">
        <v>4.2219999999999995</v>
      </c>
      <c r="O42" s="727">
        <v>4.2219999999999995</v>
      </c>
      <c r="P42" s="727">
        <v>4.2219999999999995</v>
      </c>
      <c r="Q42" s="727">
        <v>2.3719999999999999</v>
      </c>
      <c r="R42" s="727">
        <v>2.3719999999999999</v>
      </c>
    </row>
    <row r="43" spans="2:18" x14ac:dyDescent="0.35">
      <c r="B43" t="s">
        <v>262</v>
      </c>
      <c r="C43" t="s">
        <v>263</v>
      </c>
      <c r="D43" s="216">
        <v>203.10400000000004</v>
      </c>
      <c r="E43" s="216">
        <v>74.718999999999994</v>
      </c>
      <c r="F43" s="216">
        <v>74.718999999999994</v>
      </c>
      <c r="G43" s="216">
        <v>74.718999999999994</v>
      </c>
      <c r="H43" s="216">
        <v>74.718999999999994</v>
      </c>
      <c r="I43" s="216">
        <v>2.1159999999999997</v>
      </c>
      <c r="J43" s="216">
        <v>2.1159999999999997</v>
      </c>
      <c r="K43" s="216">
        <v>2.1159999999999997</v>
      </c>
      <c r="L43" s="216">
        <v>2.1159999999999997</v>
      </c>
      <c r="M43" s="216">
        <v>2.1789999999999998</v>
      </c>
      <c r="N43" s="216">
        <v>2.1789999999999998</v>
      </c>
      <c r="O43" s="727">
        <v>2.1789999999999998</v>
      </c>
      <c r="P43" s="727">
        <v>2.1789999999999998</v>
      </c>
      <c r="Q43" s="727">
        <v>2.33</v>
      </c>
      <c r="R43" s="727">
        <v>2.33</v>
      </c>
    </row>
    <row r="44" spans="2:18" x14ac:dyDescent="0.35">
      <c r="B44" t="s">
        <v>264</v>
      </c>
      <c r="C44" t="s">
        <v>265</v>
      </c>
      <c r="D44" s="216">
        <v>1692.5000000000009</v>
      </c>
      <c r="E44" s="216">
        <v>1669.600000000001</v>
      </c>
      <c r="F44" s="216">
        <v>1710.3262120071224</v>
      </c>
      <c r="G44" s="216">
        <v>1712.4262120071226</v>
      </c>
      <c r="H44" s="216">
        <v>1704.5262120071227</v>
      </c>
      <c r="I44" s="216">
        <v>1706.6262120071228</v>
      </c>
      <c r="J44" s="216">
        <v>1783.9785508694649</v>
      </c>
      <c r="K44" s="216">
        <v>1791.0785508694651</v>
      </c>
      <c r="L44" s="216">
        <v>1798.1785508694652</v>
      </c>
      <c r="M44" s="216">
        <v>1805.2785508694653</v>
      </c>
      <c r="N44" s="216">
        <v>1878.701320206336</v>
      </c>
      <c r="O44" s="727">
        <v>1885.8013202063362</v>
      </c>
      <c r="P44" s="727">
        <v>1892.9013202063363</v>
      </c>
      <c r="Q44" s="727">
        <v>1900.0013202063365</v>
      </c>
      <c r="R44" s="727">
        <v>1907.1013202063366</v>
      </c>
    </row>
    <row r="45" spans="2:18" x14ac:dyDescent="0.35">
      <c r="B45" t="s">
        <v>266</v>
      </c>
      <c r="C45" t="s">
        <v>267</v>
      </c>
      <c r="D45" s="216">
        <v>156.86404345185662</v>
      </c>
      <c r="E45" s="216">
        <v>158.75050405203845</v>
      </c>
      <c r="F45" s="216">
        <v>160.65965139111677</v>
      </c>
      <c r="G45" s="216">
        <v>162.59175830178242</v>
      </c>
      <c r="H45" s="216">
        <v>164.54710089783592</v>
      </c>
      <c r="I45" s="216">
        <v>166.52595861364625</v>
      </c>
      <c r="J45" s="216">
        <v>168.52861424408439</v>
      </c>
      <c r="K45" s="216">
        <v>170.555353984937</v>
      </c>
      <c r="L45" s="216">
        <v>172.60646747380608</v>
      </c>
      <c r="M45" s="216">
        <v>174.68224783150058</v>
      </c>
      <c r="N45" s="216">
        <v>176.78299170392575</v>
      </c>
      <c r="O45" s="727">
        <v>178.90899930447623</v>
      </c>
      <c r="P45" s="727">
        <v>181.06057445693898</v>
      </c>
      <c r="Q45" s="727">
        <v>183.23802463891224</v>
      </c>
      <c r="R45" s="727">
        <v>185.44166102574647</v>
      </c>
    </row>
    <row r="46" spans="2:18" x14ac:dyDescent="0.35">
      <c r="B46" t="s">
        <v>268</v>
      </c>
      <c r="C46" t="s">
        <v>269</v>
      </c>
      <c r="D46" s="216">
        <v>3704.1438722113307</v>
      </c>
      <c r="E46" s="216">
        <v>3754.6321989772041</v>
      </c>
      <c r="F46" s="216">
        <v>3790.7238057954069</v>
      </c>
      <c r="G46" s="216">
        <v>3840.889887743801</v>
      </c>
      <c r="H46" s="216">
        <v>3887.0163916019224</v>
      </c>
      <c r="I46" s="216">
        <v>3930.0199767154968</v>
      </c>
      <c r="J46" s="216">
        <v>3964.5192614697726</v>
      </c>
      <c r="K46" s="216">
        <v>4003.335054718309</v>
      </c>
      <c r="L46" s="216">
        <v>4041.8237980896938</v>
      </c>
      <c r="M46" s="216">
        <v>4079.4959409347007</v>
      </c>
      <c r="N46" s="216">
        <v>4115.8988989802419</v>
      </c>
      <c r="O46" s="727">
        <v>4151.9534136676202</v>
      </c>
      <c r="P46" s="727">
        <v>4189.6512564334271</v>
      </c>
      <c r="Q46" s="727">
        <v>4227.3775725223713</v>
      </c>
      <c r="R46" s="727">
        <v>4266.1932043264842</v>
      </c>
    </row>
    <row r="47" spans="2:18" x14ac:dyDescent="0.35">
      <c r="B47" t="s">
        <v>270</v>
      </c>
      <c r="C47" t="s">
        <v>271</v>
      </c>
      <c r="D47" s="216">
        <v>2125.9726076311817</v>
      </c>
      <c r="E47" s="216">
        <v>2155.3942314510159</v>
      </c>
      <c r="F47" s="216">
        <v>2185.0603841266534</v>
      </c>
      <c r="G47" s="216">
        <v>2213.6875316758305</v>
      </c>
      <c r="H47" s="216">
        <v>2243.5053638699783</v>
      </c>
      <c r="I47" s="216">
        <v>2270.8433255262512</v>
      </c>
      <c r="J47" s="216">
        <v>2295.3654949409201</v>
      </c>
      <c r="K47" s="216">
        <v>2318.5295905437215</v>
      </c>
      <c r="L47" s="216">
        <v>2341.597501311111</v>
      </c>
      <c r="M47" s="216">
        <v>2363.4986926863667</v>
      </c>
      <c r="N47" s="216">
        <v>2384.3808408298901</v>
      </c>
      <c r="O47" s="727">
        <v>2405.2430563405842</v>
      </c>
      <c r="P47" s="727">
        <v>2427.0100235556151</v>
      </c>
      <c r="Q47" s="727">
        <v>2447.834048340645</v>
      </c>
      <c r="R47" s="727">
        <v>2470.0355853205438</v>
      </c>
    </row>
    <row r="48" spans="2:18" x14ac:dyDescent="0.35">
      <c r="B48" t="s">
        <v>272</v>
      </c>
      <c r="C48" t="s">
        <v>273</v>
      </c>
      <c r="D48" s="216">
        <v>290.01506024096392</v>
      </c>
      <c r="E48" s="216">
        <v>293.3295180722892</v>
      </c>
      <c r="F48" s="216">
        <v>331.9957125021694</v>
      </c>
      <c r="G48" s="216">
        <v>337.72752744381148</v>
      </c>
      <c r="H48" s="216">
        <v>339.30096683955634</v>
      </c>
      <c r="I48" s="216">
        <v>339.07618978302133</v>
      </c>
      <c r="J48" s="216">
        <v>337.39036185900898</v>
      </c>
      <c r="K48" s="216">
        <v>334.46826012405421</v>
      </c>
      <c r="L48" s="216">
        <v>332.67004367177435</v>
      </c>
      <c r="M48" s="216">
        <v>332.67004367177435</v>
      </c>
      <c r="N48" s="216">
        <v>332.1755341473974</v>
      </c>
      <c r="O48" s="727">
        <v>333.80516780727601</v>
      </c>
      <c r="P48" s="727">
        <v>335.18754670496617</v>
      </c>
      <c r="Q48" s="727">
        <v>337.08691283268678</v>
      </c>
      <c r="R48" s="727">
        <v>337.99725991165343</v>
      </c>
    </row>
    <row r="49" spans="2:18" x14ac:dyDescent="0.35">
      <c r="B49" t="s">
        <v>274</v>
      </c>
      <c r="C49" t="s">
        <v>275</v>
      </c>
      <c r="D49" s="216">
        <v>119.87954743783622</v>
      </c>
      <c r="E49" s="216">
        <v>121.24959940855436</v>
      </c>
      <c r="F49" s="216">
        <v>119.03333886768679</v>
      </c>
      <c r="G49" s="216">
        <v>121.08841682376399</v>
      </c>
      <c r="H49" s="216">
        <v>121.65255587053028</v>
      </c>
      <c r="I49" s="216">
        <v>121.57196457813509</v>
      </c>
      <c r="J49" s="216">
        <v>120.96752988517122</v>
      </c>
      <c r="K49" s="216">
        <v>119.91984308403381</v>
      </c>
      <c r="L49" s="216">
        <v>119.27511274487235</v>
      </c>
      <c r="M49" s="216">
        <v>119.27511274487235</v>
      </c>
      <c r="N49" s="216">
        <v>119.09781190160294</v>
      </c>
      <c r="O49" s="727">
        <v>119.68209877146802</v>
      </c>
      <c r="P49" s="727">
        <v>120.17773521969842</v>
      </c>
      <c r="Q49" s="727">
        <v>120.85873164043772</v>
      </c>
      <c r="R49" s="727">
        <v>121.18512637463822</v>
      </c>
    </row>
    <row r="52" spans="2:18" x14ac:dyDescent="0.35">
      <c r="B52" s="1039" t="s">
        <v>276</v>
      </c>
      <c r="C52" s="1039"/>
      <c r="D52" s="1039"/>
      <c r="E52" s="1039"/>
      <c r="F52" s="1039"/>
      <c r="G52" s="1039"/>
      <c r="H52" s="1039"/>
      <c r="I52" s="1039"/>
      <c r="J52" s="1039"/>
      <c r="K52" s="1039"/>
      <c r="L52" s="1039"/>
      <c r="M52" s="1039"/>
      <c r="N52" s="1039"/>
      <c r="O52" s="1039"/>
      <c r="P52" s="1039"/>
      <c r="Q52" s="1039"/>
      <c r="R52" s="1039"/>
    </row>
    <row r="53" spans="2:18" x14ac:dyDescent="0.35">
      <c r="B53" t="s">
        <v>222</v>
      </c>
      <c r="C53" t="s">
        <v>223</v>
      </c>
      <c r="D53" t="s">
        <v>224</v>
      </c>
      <c r="E53" t="s">
        <v>225</v>
      </c>
      <c r="F53" t="s">
        <v>226</v>
      </c>
      <c r="G53" t="s">
        <v>227</v>
      </c>
      <c r="H53" t="s">
        <v>228</v>
      </c>
      <c r="I53" t="s">
        <v>229</v>
      </c>
      <c r="J53" t="s">
        <v>230</v>
      </c>
      <c r="K53" t="s">
        <v>231</v>
      </c>
      <c r="L53" t="s">
        <v>232</v>
      </c>
      <c r="M53" t="s">
        <v>233</v>
      </c>
      <c r="N53" t="s">
        <v>234</v>
      </c>
      <c r="O53" t="s">
        <v>235</v>
      </c>
      <c r="P53" t="s">
        <v>219</v>
      </c>
      <c r="Q53" t="s">
        <v>220</v>
      </c>
      <c r="R53" t="s">
        <v>221</v>
      </c>
    </row>
    <row r="54" spans="2:18" x14ac:dyDescent="0.35">
      <c r="B54" t="s">
        <v>236</v>
      </c>
      <c r="C54" t="s">
        <v>237</v>
      </c>
      <c r="D54" s="216">
        <f t="shared" ref="D54:N54" si="0">D4-D29</f>
        <v>16.64794385964899</v>
      </c>
      <c r="E54" s="216">
        <f t="shared" si="0"/>
        <v>-14.034281034565254</v>
      </c>
      <c r="F54" s="216">
        <f t="shared" si="0"/>
        <v>-18.609279472280889</v>
      </c>
      <c r="G54" s="216">
        <f t="shared" si="0"/>
        <v>-15.583079222600702</v>
      </c>
      <c r="H54" s="216">
        <f t="shared" si="0"/>
        <v>-16.165755774963372</v>
      </c>
      <c r="I54" s="216">
        <f t="shared" si="0"/>
        <v>-15.755573975886762</v>
      </c>
      <c r="J54" s="216">
        <f t="shared" si="0"/>
        <v>-16.385796934922212</v>
      </c>
      <c r="K54" s="216">
        <f t="shared" si="0"/>
        <v>-17.041228812319105</v>
      </c>
      <c r="L54" s="216">
        <f t="shared" si="0"/>
        <v>-17.722877964811801</v>
      </c>
      <c r="M54" s="216">
        <f t="shared" si="0"/>
        <v>-18.431793083404273</v>
      </c>
      <c r="N54" s="216">
        <f t="shared" si="0"/>
        <v>-19.169064806740494</v>
      </c>
      <c r="O54" s="216">
        <f t="shared" ref="O54:R54" si="1">O4-O29</f>
        <v>-19.935827399010122</v>
      </c>
      <c r="P54" s="216">
        <f t="shared" si="1"/>
        <v>-20.733260494970523</v>
      </c>
      <c r="Q54" s="216">
        <f t="shared" si="1"/>
        <v>-21.562590914769316</v>
      </c>
      <c r="R54" s="216">
        <f t="shared" si="1"/>
        <v>-22.425094551360075</v>
      </c>
    </row>
    <row r="55" spans="2:18" x14ac:dyDescent="0.35">
      <c r="B55" t="s">
        <v>177</v>
      </c>
      <c r="C55" t="s">
        <v>238</v>
      </c>
      <c r="D55" s="216">
        <f t="shared" ref="D55:N55" si="2">D5-D30</f>
        <v>-2.5814285714285745</v>
      </c>
      <c r="E55" s="216">
        <f t="shared" si="2"/>
        <v>0</v>
      </c>
      <c r="F55" s="216">
        <f t="shared" si="2"/>
        <v>0</v>
      </c>
      <c r="G55" s="216">
        <f t="shared" si="2"/>
        <v>0</v>
      </c>
      <c r="H55" s="216">
        <f t="shared" si="2"/>
        <v>0</v>
      </c>
      <c r="I55" s="216">
        <f t="shared" si="2"/>
        <v>0</v>
      </c>
      <c r="J55" s="216">
        <f t="shared" si="2"/>
        <v>0</v>
      </c>
      <c r="K55" s="216">
        <f t="shared" si="2"/>
        <v>0</v>
      </c>
      <c r="L55" s="216">
        <f t="shared" si="2"/>
        <v>0</v>
      </c>
      <c r="M55" s="216">
        <f t="shared" si="2"/>
        <v>0</v>
      </c>
      <c r="N55" s="216">
        <f t="shared" si="2"/>
        <v>0</v>
      </c>
      <c r="O55" s="216">
        <f t="shared" ref="O55:R55" si="3">O5-O30</f>
        <v>0</v>
      </c>
      <c r="P55" s="216">
        <f t="shared" si="3"/>
        <v>0</v>
      </c>
      <c r="Q55" s="216">
        <f t="shared" si="3"/>
        <v>0</v>
      </c>
      <c r="R55" s="216">
        <f t="shared" si="3"/>
        <v>0</v>
      </c>
    </row>
    <row r="56" spans="2:18" x14ac:dyDescent="0.35">
      <c r="B56" t="s">
        <v>239</v>
      </c>
      <c r="C56" t="s">
        <v>240</v>
      </c>
      <c r="D56" s="216">
        <f t="shared" ref="D56:N74" si="4">D6-D31</f>
        <v>-12.370632465161862</v>
      </c>
      <c r="E56" s="216">
        <f t="shared" si="4"/>
        <v>-12.464291553312023</v>
      </c>
      <c r="F56" s="216">
        <f t="shared" si="4"/>
        <v>-12.559390803597353</v>
      </c>
      <c r="G56" s="216">
        <f t="shared" si="4"/>
        <v>-12.575029410228581</v>
      </c>
      <c r="H56" s="216">
        <f t="shared" si="4"/>
        <v>-12.569838997924307</v>
      </c>
      <c r="I56" s="216">
        <f t="shared" si="4"/>
        <v>-12.571158623196197</v>
      </c>
      <c r="J56" s="216">
        <f t="shared" si="4"/>
        <v>-12.604777087074126</v>
      </c>
      <c r="K56" s="216">
        <f t="shared" si="4"/>
        <v>-12.651750259738265</v>
      </c>
      <c r="L56" s="216">
        <f t="shared" si="4"/>
        <v>-12.711890339880256</v>
      </c>
      <c r="M56" s="216">
        <f t="shared" si="4"/>
        <v>-12.7825804207705</v>
      </c>
      <c r="N56" s="216">
        <f t="shared" si="4"/>
        <v>-12.852311936198021</v>
      </c>
      <c r="O56" s="216">
        <f t="shared" ref="O56:R56" si="5">O6-O31</f>
        <v>-12.922423850894347</v>
      </c>
      <c r="P56" s="216">
        <f t="shared" si="5"/>
        <v>-12.996095381279702</v>
      </c>
      <c r="Q56" s="216">
        <f t="shared" si="5"/>
        <v>-13.066991663231192</v>
      </c>
      <c r="R56" s="216">
        <f t="shared" si="5"/>
        <v>-13.1479056943449</v>
      </c>
    </row>
    <row r="57" spans="2:18" x14ac:dyDescent="0.35">
      <c r="B57" t="s">
        <v>241</v>
      </c>
      <c r="C57" t="s">
        <v>242</v>
      </c>
      <c r="D57" s="216">
        <f t="shared" si="4"/>
        <v>3.1587661514899992</v>
      </c>
      <c r="E57" s="216">
        <f t="shared" si="4"/>
        <v>3.2349356563572655</v>
      </c>
      <c r="F57" s="216">
        <f t="shared" si="4"/>
        <v>3.3053866701666266</v>
      </c>
      <c r="G57" s="216">
        <f t="shared" si="4"/>
        <v>3.3695989193643072</v>
      </c>
      <c r="H57" s="216">
        <f t="shared" si="4"/>
        <v>3.4270793067767045</v>
      </c>
      <c r="I57" s="216">
        <f t="shared" si="4"/>
        <v>3.4732597982597326</v>
      </c>
      <c r="J57" s="216">
        <f t="shared" si="4"/>
        <v>3.5158844567367851</v>
      </c>
      <c r="K57" s="216">
        <f t="shared" si="4"/>
        <v>3.5590322150155771</v>
      </c>
      <c r="L57" s="216">
        <f t="shared" si="4"/>
        <v>3.6027094926985228</v>
      </c>
      <c r="M57" s="216">
        <f t="shared" si="4"/>
        <v>3.6469227881725601</v>
      </c>
      <c r="N57" s="216">
        <f t="shared" si="4"/>
        <v>3.691678679573215</v>
      </c>
      <c r="O57" s="216">
        <f t="shared" ref="O57:R57" si="6">O7-O32</f>
        <v>3.691678679573215</v>
      </c>
      <c r="P57" s="216">
        <f t="shared" si="6"/>
        <v>3.691678679573215</v>
      </c>
      <c r="Q57" s="216">
        <f t="shared" si="6"/>
        <v>3.691678679573215</v>
      </c>
      <c r="R57" s="216">
        <f t="shared" si="6"/>
        <v>3.691678679573215</v>
      </c>
    </row>
    <row r="58" spans="2:18" x14ac:dyDescent="0.35">
      <c r="B58" t="s">
        <v>243</v>
      </c>
      <c r="C58" t="s">
        <v>244</v>
      </c>
      <c r="D58" s="216">
        <f t="shared" si="4"/>
        <v>-309.04170818970692</v>
      </c>
      <c r="E58" s="216">
        <f t="shared" si="4"/>
        <v>-63.241056136562463</v>
      </c>
      <c r="F58" s="216">
        <f t="shared" si="4"/>
        <v>-69.406368421052605</v>
      </c>
      <c r="G58" s="216">
        <f t="shared" si="4"/>
        <v>-63.992834586466159</v>
      </c>
      <c r="H58" s="216">
        <f t="shared" si="4"/>
        <v>-63.992834586466159</v>
      </c>
      <c r="I58" s="216">
        <f t="shared" si="4"/>
        <v>7.8365000000000151</v>
      </c>
      <c r="J58" s="216">
        <f t="shared" si="4"/>
        <v>7.8365000000000151</v>
      </c>
      <c r="K58" s="216">
        <f t="shared" si="4"/>
        <v>7.8365000000000151</v>
      </c>
      <c r="L58" s="216">
        <f t="shared" si="4"/>
        <v>7.8365000000000151</v>
      </c>
      <c r="M58" s="216">
        <f t="shared" si="4"/>
        <v>10.875</v>
      </c>
      <c r="N58" s="216">
        <f t="shared" si="4"/>
        <v>10.875</v>
      </c>
      <c r="O58" s="216">
        <f t="shared" ref="O58:R58" si="7">O8-O33</f>
        <v>10.875</v>
      </c>
      <c r="P58" s="216">
        <f t="shared" si="7"/>
        <v>10.875</v>
      </c>
      <c r="Q58" s="216">
        <f t="shared" si="7"/>
        <v>0</v>
      </c>
      <c r="R58" s="216">
        <f t="shared" si="7"/>
        <v>0</v>
      </c>
    </row>
    <row r="59" spans="2:18" x14ac:dyDescent="0.35">
      <c r="B59" t="s">
        <v>245</v>
      </c>
      <c r="C59" t="s">
        <v>246</v>
      </c>
      <c r="D59" s="216">
        <f t="shared" si="4"/>
        <v>0</v>
      </c>
      <c r="E59" s="216">
        <f t="shared" si="4"/>
        <v>0</v>
      </c>
      <c r="F59" s="216">
        <f t="shared" si="4"/>
        <v>0</v>
      </c>
      <c r="G59" s="216">
        <f t="shared" si="4"/>
        <v>0</v>
      </c>
      <c r="H59" s="216">
        <f t="shared" si="4"/>
        <v>0</v>
      </c>
      <c r="I59" s="216">
        <f t="shared" si="4"/>
        <v>0</v>
      </c>
      <c r="J59" s="216">
        <f t="shared" si="4"/>
        <v>0</v>
      </c>
      <c r="K59" s="216">
        <f t="shared" si="4"/>
        <v>0</v>
      </c>
      <c r="L59" s="216">
        <f t="shared" si="4"/>
        <v>0</v>
      </c>
      <c r="M59" s="216">
        <f t="shared" si="4"/>
        <v>0</v>
      </c>
      <c r="N59" s="216">
        <f t="shared" si="4"/>
        <v>0</v>
      </c>
      <c r="O59" s="216">
        <f t="shared" ref="O59:R59" si="8">O9-O34</f>
        <v>0</v>
      </c>
      <c r="P59" s="216">
        <f t="shared" si="8"/>
        <v>0</v>
      </c>
      <c r="Q59" s="216">
        <f t="shared" si="8"/>
        <v>0</v>
      </c>
      <c r="R59" s="216">
        <f t="shared" si="8"/>
        <v>0</v>
      </c>
    </row>
    <row r="60" spans="2:18" x14ac:dyDescent="0.35">
      <c r="B60" t="s">
        <v>247</v>
      </c>
      <c r="C60" t="s">
        <v>248</v>
      </c>
      <c r="D60" s="216">
        <f t="shared" si="4"/>
        <v>-38.437816657554265</v>
      </c>
      <c r="E60" s="216">
        <f t="shared" si="4"/>
        <v>0</v>
      </c>
      <c r="F60" s="216">
        <f t="shared" si="4"/>
        <v>0</v>
      </c>
      <c r="G60" s="216">
        <f t="shared" si="4"/>
        <v>0</v>
      </c>
      <c r="H60" s="216">
        <f t="shared" si="4"/>
        <v>0</v>
      </c>
      <c r="I60" s="216">
        <f t="shared" si="4"/>
        <v>0</v>
      </c>
      <c r="J60" s="216">
        <f t="shared" si="4"/>
        <v>0</v>
      </c>
      <c r="K60" s="216">
        <f t="shared" si="4"/>
        <v>0</v>
      </c>
      <c r="L60" s="216">
        <f t="shared" si="4"/>
        <v>0</v>
      </c>
      <c r="M60" s="216">
        <f t="shared" si="4"/>
        <v>0</v>
      </c>
      <c r="N60" s="216">
        <f t="shared" si="4"/>
        <v>0</v>
      </c>
      <c r="O60" s="216">
        <f t="shared" ref="O60:R60" si="9">O10-O35</f>
        <v>0</v>
      </c>
      <c r="P60" s="216">
        <f t="shared" si="9"/>
        <v>0</v>
      </c>
      <c r="Q60" s="216">
        <f t="shared" si="9"/>
        <v>0</v>
      </c>
      <c r="R60" s="216">
        <f t="shared" si="9"/>
        <v>0</v>
      </c>
    </row>
    <row r="61" spans="2:18" x14ac:dyDescent="0.35">
      <c r="B61" t="s">
        <v>249</v>
      </c>
      <c r="C61" t="s">
        <v>250</v>
      </c>
      <c r="D61" s="216">
        <f t="shared" si="4"/>
        <v>5.0711499908876476</v>
      </c>
      <c r="E61" s="216">
        <f t="shared" si="4"/>
        <v>5.4190660938361717</v>
      </c>
      <c r="F61" s="216">
        <f t="shared" si="4"/>
        <v>4.8253085808426199</v>
      </c>
      <c r="G61" s="216">
        <f t="shared" si="4"/>
        <v>4.4902177071729952</v>
      </c>
      <c r="H61" s="216">
        <f t="shared" si="4"/>
        <v>4.3291389363212822</v>
      </c>
      <c r="I61" s="216">
        <f t="shared" si="4"/>
        <v>4.2762298510050236</v>
      </c>
      <c r="J61" s="216">
        <f t="shared" si="4"/>
        <v>4.3056237872918324</v>
      </c>
      <c r="K61" s="216">
        <f t="shared" si="4"/>
        <v>4.3714662045742863</v>
      </c>
      <c r="L61" s="216">
        <f t="shared" si="4"/>
        <v>4.4384843793082105</v>
      </c>
      <c r="M61" s="216">
        <f t="shared" si="4"/>
        <v>4.5090298263965529</v>
      </c>
      <c r="N61" s="216">
        <f t="shared" si="4"/>
        <v>4.5972116352569792</v>
      </c>
      <c r="O61" s="216">
        <f t="shared" ref="O61:R61" si="10">O11-O36</f>
        <v>4.6701085972482659</v>
      </c>
      <c r="P61" s="216">
        <f t="shared" si="10"/>
        <v>4.727720712370413</v>
      </c>
      <c r="Q61" s="216">
        <f t="shared" si="10"/>
        <v>4.7994419169102329</v>
      </c>
      <c r="R61" s="216">
        <f t="shared" si="10"/>
        <v>4.8688116065471014</v>
      </c>
    </row>
    <row r="62" spans="2:18" x14ac:dyDescent="0.35">
      <c r="B62" t="s">
        <v>251</v>
      </c>
      <c r="C62" t="s">
        <v>252</v>
      </c>
      <c r="D62" s="216">
        <f t="shared" si="4"/>
        <v>-16.754952075900292</v>
      </c>
      <c r="E62" s="216">
        <f t="shared" si="4"/>
        <v>-18.145402471368811</v>
      </c>
      <c r="F62" s="216">
        <f t="shared" si="4"/>
        <v>-16.227699840172704</v>
      </c>
      <c r="G62" s="216">
        <f t="shared" si="4"/>
        <v>-17.693293754711931</v>
      </c>
      <c r="H62" s="216">
        <f t="shared" si="4"/>
        <v>-17.412771458670591</v>
      </c>
      <c r="I62" s="216">
        <f t="shared" si="4"/>
        <v>-17.452429459938116</v>
      </c>
      <c r="J62" s="216">
        <f t="shared" si="4"/>
        <v>-17.505426536305777</v>
      </c>
      <c r="K62" s="216">
        <f t="shared" si="4"/>
        <v>-17.55858454672034</v>
      </c>
      <c r="L62" s="216">
        <f t="shared" si="4"/>
        <v>-17.611903979883778</v>
      </c>
      <c r="M62" s="216">
        <f t="shared" si="4"/>
        <v>-18.333425656220015</v>
      </c>
      <c r="N62" s="216">
        <f t="shared" si="4"/>
        <v>-19.08450651764042</v>
      </c>
      <c r="O62" s="216">
        <f t="shared" ref="O62:R62" si="11">O12-O37</f>
        <v>-19.866357540129911</v>
      </c>
      <c r="P62" s="216">
        <f t="shared" si="11"/>
        <v>-20.680239310745037</v>
      </c>
      <c r="Q62" s="216">
        <f t="shared" si="11"/>
        <v>-21.527464060071907</v>
      </c>
      <c r="R62" s="216">
        <f t="shared" si="11"/>
        <v>-22.409397777950289</v>
      </c>
    </row>
    <row r="63" spans="2:18" x14ac:dyDescent="0.35">
      <c r="B63" t="s">
        <v>253</v>
      </c>
      <c r="C63" t="s">
        <v>254</v>
      </c>
      <c r="D63" s="216">
        <f t="shared" si="4"/>
        <v>-18.133333333333326</v>
      </c>
      <c r="E63" s="216">
        <f t="shared" si="4"/>
        <v>-19.988620859247476</v>
      </c>
      <c r="F63" s="216">
        <f t="shared" si="4"/>
        <v>-21.895021814277925</v>
      </c>
      <c r="G63" s="216">
        <f t="shared" si="4"/>
        <v>-23.853647063629978</v>
      </c>
      <c r="H63" s="216">
        <f t="shared" si="4"/>
        <v>-25.86562924858697</v>
      </c>
      <c r="I63" s="216">
        <f t="shared" si="4"/>
        <v>-25.944174343510781</v>
      </c>
      <c r="J63" s="216">
        <f t="shared" si="4"/>
        <v>-26.02295795310124</v>
      </c>
      <c r="K63" s="216">
        <f t="shared" si="4"/>
        <v>-26.101980801645936</v>
      </c>
      <c r="L63" s="216">
        <f t="shared" si="4"/>
        <v>-26.18124361563207</v>
      </c>
      <c r="M63" s="216">
        <f t="shared" si="4"/>
        <v>-27.253832632906779</v>
      </c>
      <c r="N63" s="216">
        <f t="shared" si="4"/>
        <v>-28.370363306157401</v>
      </c>
      <c r="O63" s="216">
        <f t="shared" ref="O63:R63" si="12">O13-O38</f>
        <v>-29.532635830145182</v>
      </c>
      <c r="P63" s="216">
        <f t="shared" si="12"/>
        <v>-30.742524149723522</v>
      </c>
      <c r="Q63" s="216">
        <f t="shared" si="12"/>
        <v>-32.001978981220191</v>
      </c>
      <c r="R63" s="216">
        <f t="shared" si="12"/>
        <v>-33.313030957598471</v>
      </c>
    </row>
    <row r="64" spans="2:18" x14ac:dyDescent="0.35">
      <c r="B64" t="s">
        <v>76</v>
      </c>
      <c r="C64" t="s">
        <v>255</v>
      </c>
      <c r="D64" s="216">
        <f t="shared" si="4"/>
        <v>0.2666666666667652</v>
      </c>
      <c r="E64" s="216">
        <f t="shared" si="4"/>
        <v>0.27139387947931937</v>
      </c>
      <c r="F64" s="216">
        <f t="shared" si="4"/>
        <v>0.27646835727784946</v>
      </c>
      <c r="G64" s="216">
        <f t="shared" si="4"/>
        <v>0.28163771682159222</v>
      </c>
      <c r="H64" s="216">
        <f t="shared" si="4"/>
        <v>0.28690373219376397</v>
      </c>
      <c r="I64" s="216">
        <f t="shared" si="4"/>
        <v>0.29226821064901287</v>
      </c>
      <c r="J64" s="216">
        <f t="shared" si="4"/>
        <v>0.29772470808109119</v>
      </c>
      <c r="K64" s="216">
        <f t="shared" si="4"/>
        <v>0.30328307551860689</v>
      </c>
      <c r="L64" s="216">
        <f t="shared" si="4"/>
        <v>0.30894521482230175</v>
      </c>
      <c r="M64" s="216">
        <f t="shared" si="4"/>
        <v>0.31471306335981808</v>
      </c>
      <c r="N64" s="216">
        <f t="shared" si="4"/>
        <v>0.32050454322870792</v>
      </c>
      <c r="O64" s="216">
        <f t="shared" ref="O64:R64" si="13">O14-O39</f>
        <v>0.32640260030382251</v>
      </c>
      <c r="P64" s="216">
        <f t="shared" si="13"/>
        <v>0.33240919586307882</v>
      </c>
      <c r="Q64" s="216">
        <f t="shared" si="13"/>
        <v>0.3385263272764405</v>
      </c>
      <c r="R64" s="216">
        <f t="shared" si="13"/>
        <v>0.34475602867041744</v>
      </c>
    </row>
    <row r="65" spans="2:18" x14ac:dyDescent="0.35">
      <c r="B65" t="s">
        <v>256</v>
      </c>
      <c r="C65" t="s">
        <v>257</v>
      </c>
      <c r="D65" s="216">
        <f t="shared" si="4"/>
        <v>0</v>
      </c>
      <c r="E65" s="216">
        <f t="shared" si="4"/>
        <v>0</v>
      </c>
      <c r="F65" s="216">
        <f t="shared" si="4"/>
        <v>0</v>
      </c>
      <c r="G65" s="216">
        <f t="shared" si="4"/>
        <v>0</v>
      </c>
      <c r="H65" s="216">
        <f t="shared" si="4"/>
        <v>0</v>
      </c>
      <c r="I65" s="216">
        <f t="shared" si="4"/>
        <v>0</v>
      </c>
      <c r="J65" s="216">
        <f t="shared" si="4"/>
        <v>0</v>
      </c>
      <c r="K65" s="216">
        <f t="shared" si="4"/>
        <v>0</v>
      </c>
      <c r="L65" s="216">
        <f t="shared" si="4"/>
        <v>0</v>
      </c>
      <c r="M65" s="216">
        <f t="shared" si="4"/>
        <v>0</v>
      </c>
      <c r="N65" s="216">
        <f t="shared" si="4"/>
        <v>0</v>
      </c>
      <c r="O65" s="216">
        <f t="shared" ref="O65:R65" si="14">O15-O40</f>
        <v>0</v>
      </c>
      <c r="P65" s="216">
        <f t="shared" si="14"/>
        <v>0</v>
      </c>
      <c r="Q65" s="216">
        <f t="shared" si="14"/>
        <v>0</v>
      </c>
      <c r="R65" s="216">
        <f t="shared" si="14"/>
        <v>0</v>
      </c>
    </row>
    <row r="66" spans="2:18" x14ac:dyDescent="0.35">
      <c r="B66" t="s">
        <v>258</v>
      </c>
      <c r="C66" t="s">
        <v>259</v>
      </c>
      <c r="D66" s="216">
        <f t="shared" si="4"/>
        <v>0.20000000000000284</v>
      </c>
      <c r="E66" s="216">
        <f t="shared" si="4"/>
        <v>0</v>
      </c>
      <c r="F66" s="216">
        <f t="shared" si="4"/>
        <v>0</v>
      </c>
      <c r="G66" s="216">
        <f t="shared" si="4"/>
        <v>0</v>
      </c>
      <c r="H66" s="216">
        <f t="shared" si="4"/>
        <v>0</v>
      </c>
      <c r="I66" s="216">
        <f t="shared" si="4"/>
        <v>0</v>
      </c>
      <c r="J66" s="216">
        <f t="shared" si="4"/>
        <v>0</v>
      </c>
      <c r="K66" s="216">
        <f t="shared" si="4"/>
        <v>0</v>
      </c>
      <c r="L66" s="216">
        <f t="shared" si="4"/>
        <v>0</v>
      </c>
      <c r="M66" s="216">
        <f t="shared" si="4"/>
        <v>0</v>
      </c>
      <c r="N66" s="216">
        <f t="shared" si="4"/>
        <v>0</v>
      </c>
      <c r="O66" s="216">
        <f t="shared" ref="O66:R66" si="15">O16-O41</f>
        <v>0</v>
      </c>
      <c r="P66" s="216">
        <f t="shared" si="15"/>
        <v>0</v>
      </c>
      <c r="Q66" s="216">
        <f t="shared" si="15"/>
        <v>0</v>
      </c>
      <c r="R66" s="216">
        <f t="shared" si="15"/>
        <v>0</v>
      </c>
    </row>
    <row r="67" spans="2:18" x14ac:dyDescent="0.35">
      <c r="B67" t="s">
        <v>260</v>
      </c>
      <c r="C67" t="s">
        <v>261</v>
      </c>
      <c r="D67" s="216">
        <f t="shared" si="4"/>
        <v>0</v>
      </c>
      <c r="E67" s="216">
        <f t="shared" si="4"/>
        <v>0</v>
      </c>
      <c r="F67" s="216">
        <f t="shared" si="4"/>
        <v>0</v>
      </c>
      <c r="G67" s="216">
        <f t="shared" si="4"/>
        <v>0</v>
      </c>
      <c r="H67" s="216">
        <f t="shared" si="4"/>
        <v>0</v>
      </c>
      <c r="I67" s="216">
        <f t="shared" si="4"/>
        <v>0</v>
      </c>
      <c r="J67" s="216">
        <f t="shared" si="4"/>
        <v>0</v>
      </c>
      <c r="K67" s="216">
        <f t="shared" si="4"/>
        <v>0</v>
      </c>
      <c r="L67" s="216">
        <f t="shared" si="4"/>
        <v>0</v>
      </c>
      <c r="M67" s="216">
        <f t="shared" si="4"/>
        <v>0</v>
      </c>
      <c r="N67" s="216">
        <f t="shared" si="4"/>
        <v>0</v>
      </c>
      <c r="O67" s="216">
        <f t="shared" ref="O67:R67" si="16">O17-O42</f>
        <v>0</v>
      </c>
      <c r="P67" s="216">
        <f t="shared" si="16"/>
        <v>0</v>
      </c>
      <c r="Q67" s="216">
        <f t="shared" si="16"/>
        <v>0</v>
      </c>
      <c r="R67" s="216">
        <f t="shared" si="16"/>
        <v>0</v>
      </c>
    </row>
    <row r="68" spans="2:18" x14ac:dyDescent="0.35">
      <c r="B68" t="s">
        <v>262</v>
      </c>
      <c r="C68" t="s">
        <v>263</v>
      </c>
      <c r="D68" s="216">
        <f t="shared" si="4"/>
        <v>-162.6</v>
      </c>
      <c r="E68" s="216">
        <f t="shared" si="4"/>
        <v>-42.79999999999999</v>
      </c>
      <c r="F68" s="216">
        <f t="shared" si="4"/>
        <v>-54.999999999999986</v>
      </c>
      <c r="G68" s="216">
        <f t="shared" si="4"/>
        <v>-54.999999999999986</v>
      </c>
      <c r="H68" s="216">
        <f t="shared" si="4"/>
        <v>-54.999999999999986</v>
      </c>
      <c r="I68" s="216">
        <f t="shared" si="4"/>
        <v>-0.69999999999999973</v>
      </c>
      <c r="J68" s="216">
        <f t="shared" si="4"/>
        <v>-0.69999999999999973</v>
      </c>
      <c r="K68" s="216">
        <f t="shared" si="4"/>
        <v>-0.69999999999999973</v>
      </c>
      <c r="L68" s="216">
        <f t="shared" si="4"/>
        <v>-0.69999999999999973</v>
      </c>
      <c r="M68" s="216">
        <f t="shared" si="4"/>
        <v>-0.69999999999999973</v>
      </c>
      <c r="N68" s="216">
        <f t="shared" si="4"/>
        <v>-0.69999999999999973</v>
      </c>
      <c r="O68" s="216">
        <f t="shared" ref="O68:R68" si="17">O18-O43</f>
        <v>-0.69999999999999973</v>
      </c>
      <c r="P68" s="216">
        <f t="shared" si="17"/>
        <v>-0.69999999999999973</v>
      </c>
      <c r="Q68" s="216">
        <f t="shared" si="17"/>
        <v>-0.70000000000000018</v>
      </c>
      <c r="R68" s="216">
        <f t="shared" si="17"/>
        <v>-0.70000000000000018</v>
      </c>
    </row>
    <row r="69" spans="2:18" x14ac:dyDescent="0.35">
      <c r="B69" t="s">
        <v>264</v>
      </c>
      <c r="C69" t="s">
        <v>265</v>
      </c>
      <c r="D69" s="216">
        <f t="shared" si="4"/>
        <v>127.36439000000018</v>
      </c>
      <c r="E69" s="216">
        <f t="shared" si="4"/>
        <v>144.75501331127657</v>
      </c>
      <c r="F69" s="216">
        <f t="shared" si="4"/>
        <v>136.64809873270178</v>
      </c>
      <c r="G69" s="216">
        <f t="shared" si="4"/>
        <v>136.64809873270178</v>
      </c>
      <c r="H69" s="216">
        <f t="shared" si="4"/>
        <v>104.64809873270178</v>
      </c>
      <c r="I69" s="216">
        <f t="shared" si="4"/>
        <v>104.64809873270178</v>
      </c>
      <c r="J69" s="216">
        <f t="shared" si="4"/>
        <v>108.78355934946762</v>
      </c>
      <c r="K69" s="216">
        <f t="shared" si="4"/>
        <v>108.78355934946762</v>
      </c>
      <c r="L69" s="216">
        <f t="shared" si="4"/>
        <v>108.78355934946762</v>
      </c>
      <c r="M69" s="216">
        <f t="shared" si="4"/>
        <v>108.78355934946762</v>
      </c>
      <c r="N69" s="216">
        <f t="shared" si="4"/>
        <v>112.75429422125035</v>
      </c>
      <c r="O69" s="216">
        <f t="shared" ref="O69:R69" si="18">O19-O44</f>
        <v>112.75429422125035</v>
      </c>
      <c r="P69" s="216">
        <f t="shared" si="18"/>
        <v>112.75429422125035</v>
      </c>
      <c r="Q69" s="216">
        <f t="shared" si="18"/>
        <v>112.75429422125035</v>
      </c>
      <c r="R69" s="216">
        <f t="shared" si="18"/>
        <v>112.75429422125035</v>
      </c>
    </row>
    <row r="70" spans="2:18" x14ac:dyDescent="0.35">
      <c r="B70" t="s">
        <v>266</v>
      </c>
      <c r="C70" t="s">
        <v>267</v>
      </c>
      <c r="D70" s="216">
        <f t="shared" si="4"/>
        <v>0.53595654814336058</v>
      </c>
      <c r="E70" s="216">
        <f t="shared" si="4"/>
        <v>0.54240200810494343</v>
      </c>
      <c r="F70" s="216">
        <f t="shared" si="4"/>
        <v>0.54892498172739579</v>
      </c>
      <c r="G70" s="216">
        <f t="shared" si="4"/>
        <v>0.55552640119674379</v>
      </c>
      <c r="H70" s="216">
        <f t="shared" si="4"/>
        <v>0.56220720990953055</v>
      </c>
      <c r="I70" s="216">
        <f t="shared" si="4"/>
        <v>0.56896836260770556</v>
      </c>
      <c r="J70" s="216">
        <f t="shared" si="4"/>
        <v>0.5758108255150205</v>
      </c>
      <c r="K70" s="216">
        <f t="shared" si="4"/>
        <v>0.58273557647507346</v>
      </c>
      <c r="L70" s="216">
        <f t="shared" si="4"/>
        <v>0.58974360509117218</v>
      </c>
      <c r="M70" s="216">
        <f t="shared" si="4"/>
        <v>0.59683591286758997</v>
      </c>
      <c r="N70" s="216">
        <f t="shared" si="4"/>
        <v>0.60401351335283948</v>
      </c>
      <c r="O70" s="216">
        <f t="shared" ref="O70:R70" si="19">O20-O45</f>
        <v>0.61127743228445297</v>
      </c>
      <c r="P70" s="216">
        <f t="shared" si="19"/>
        <v>0.61862870773552459</v>
      </c>
      <c r="Q70" s="216">
        <f t="shared" si="19"/>
        <v>0.62606839026315697</v>
      </c>
      <c r="R70" s="216">
        <f t="shared" si="19"/>
        <v>0.63359754305852789</v>
      </c>
    </row>
    <row r="71" spans="2:18" x14ac:dyDescent="0.35">
      <c r="B71" t="s">
        <v>268</v>
      </c>
      <c r="C71" t="s">
        <v>269</v>
      </c>
      <c r="D71" s="216">
        <f t="shared" si="4"/>
        <v>35.3561277886688</v>
      </c>
      <c r="E71" s="216">
        <f t="shared" si="4"/>
        <v>35.724564680604544</v>
      </c>
      <c r="F71" s="216">
        <f t="shared" si="4"/>
        <v>-4.801534423958401</v>
      </c>
      <c r="G71" s="216">
        <f t="shared" si="4"/>
        <v>-4.8637132615631344</v>
      </c>
      <c r="H71" s="216">
        <f t="shared" si="4"/>
        <v>-4.9201286645793516</v>
      </c>
      <c r="I71" s="216">
        <f t="shared" si="4"/>
        <v>-4.9729179412474878</v>
      </c>
      <c r="J71" s="216">
        <f t="shared" si="4"/>
        <v>-5.0221881298539301</v>
      </c>
      <c r="K71" s="216">
        <f t="shared" si="4"/>
        <v>-5.0699933423884431</v>
      </c>
      <c r="L71" s="216">
        <f t="shared" si="4"/>
        <v>-5.1178381243971671</v>
      </c>
      <c r="M71" s="216">
        <f t="shared" si="4"/>
        <v>-5.1653948497323654</v>
      </c>
      <c r="N71" s="216">
        <f t="shared" si="4"/>
        <v>-5.2108617153098749</v>
      </c>
      <c r="O71" s="216">
        <f t="shared" ref="O71:R71" si="20">O21-O46</f>
        <v>-5.2567724461869147</v>
      </c>
      <c r="P71" s="216">
        <f t="shared" si="20"/>
        <v>-5.3044447497450165</v>
      </c>
      <c r="Q71" s="216">
        <f t="shared" si="20"/>
        <v>-5.3520111471398195</v>
      </c>
      <c r="R71" s="216">
        <f t="shared" si="20"/>
        <v>-5.4004207824063997</v>
      </c>
    </row>
    <row r="72" spans="2:18" x14ac:dyDescent="0.35">
      <c r="B72" t="s">
        <v>270</v>
      </c>
      <c r="C72" t="s">
        <v>271</v>
      </c>
      <c r="D72" s="216">
        <f t="shared" si="4"/>
        <v>-20.072607631181654</v>
      </c>
      <c r="E72" s="216">
        <f t="shared" si="4"/>
        <v>-34.471466843359849</v>
      </c>
      <c r="F72" s="216">
        <f t="shared" si="4"/>
        <v>-34.938921518439201</v>
      </c>
      <c r="G72" s="216">
        <f t="shared" si="4"/>
        <v>-35.385001271442434</v>
      </c>
      <c r="H72" s="216">
        <f t="shared" si="4"/>
        <v>-35.876221235589583</v>
      </c>
      <c r="I72" s="216">
        <f t="shared" si="4"/>
        <v>-36.324120528158346</v>
      </c>
      <c r="J72" s="216">
        <f t="shared" si="4"/>
        <v>-36.717593291506546</v>
      </c>
      <c r="K72" s="216">
        <f t="shared" si="4"/>
        <v>-37.084918273009862</v>
      </c>
      <c r="L72" s="216">
        <f t="shared" si="4"/>
        <v>-37.454546582973762</v>
      </c>
      <c r="M72" s="216">
        <f t="shared" si="4"/>
        <v>-37.804548937659092</v>
      </c>
      <c r="N72" s="216">
        <f t="shared" si="4"/>
        <v>-38.132577393172141</v>
      </c>
      <c r="O72" s="216">
        <f t="shared" ref="O72:R72" si="21">O22-O47</f>
        <v>-38.467781346742413</v>
      </c>
      <c r="P72" s="216">
        <f t="shared" si="21"/>
        <v>-38.814911420849057</v>
      </c>
      <c r="Q72" s="216">
        <f t="shared" si="21"/>
        <v>-39.137760693886776</v>
      </c>
      <c r="R72" s="216">
        <f t="shared" si="21"/>
        <v>-39.485467649247767</v>
      </c>
    </row>
    <row r="73" spans="2:18" x14ac:dyDescent="0.35">
      <c r="B73" t="s">
        <v>272</v>
      </c>
      <c r="C73" t="s">
        <v>273</v>
      </c>
      <c r="D73" s="216">
        <f t="shared" si="4"/>
        <v>0</v>
      </c>
      <c r="E73" s="216">
        <f t="shared" si="4"/>
        <v>0</v>
      </c>
      <c r="F73" s="216">
        <f t="shared" si="4"/>
        <v>12.491527853913738</v>
      </c>
      <c r="G73" s="216">
        <f t="shared" si="4"/>
        <v>12.707190657078741</v>
      </c>
      <c r="H73" s="216">
        <f t="shared" si="4"/>
        <v>12.766392210888796</v>
      </c>
      <c r="I73" s="216">
        <f t="shared" si="4"/>
        <v>12.757934846058788</v>
      </c>
      <c r="J73" s="216">
        <f t="shared" si="4"/>
        <v>12.694504609833757</v>
      </c>
      <c r="K73" s="216">
        <f t="shared" si="4"/>
        <v>12.584558867043711</v>
      </c>
      <c r="L73" s="216">
        <f t="shared" si="4"/>
        <v>12.516899948403704</v>
      </c>
      <c r="M73" s="216">
        <f t="shared" si="4"/>
        <v>12.516899948403704</v>
      </c>
      <c r="N73" s="216">
        <f t="shared" si="4"/>
        <v>12.498293745777687</v>
      </c>
      <c r="O73" s="216">
        <f t="shared" ref="O73:R73" si="22">O23-O48</f>
        <v>12.559609640795259</v>
      </c>
      <c r="P73" s="216">
        <f t="shared" si="22"/>
        <v>12.611622434499793</v>
      </c>
      <c r="Q73" s="216">
        <f t="shared" si="22"/>
        <v>12.683087167313317</v>
      </c>
      <c r="R73" s="216">
        <f t="shared" si="22"/>
        <v>12.717339494874807</v>
      </c>
    </row>
    <row r="74" spans="2:18" x14ac:dyDescent="0.35">
      <c r="B74" t="s">
        <v>274</v>
      </c>
      <c r="C74" t="s">
        <v>275</v>
      </c>
      <c r="D74" s="216">
        <f t="shared" si="4"/>
        <v>0</v>
      </c>
      <c r="E74" s="216">
        <f t="shared" si="4"/>
        <v>47.982189585322828</v>
      </c>
      <c r="F74" s="216">
        <f t="shared" si="4"/>
        <v>47.105147236637961</v>
      </c>
      <c r="G74" s="216">
        <f t="shared" si="4"/>
        <v>47.918404687236631</v>
      </c>
      <c r="H74" s="216">
        <f t="shared" si="4"/>
        <v>48.141651830538251</v>
      </c>
      <c r="I74" s="216">
        <f t="shared" si="4"/>
        <v>48.109759381495167</v>
      </c>
      <c r="J74" s="216">
        <f t="shared" si="4"/>
        <v>47.870566013672004</v>
      </c>
      <c r="K74" s="216">
        <f t="shared" si="4"/>
        <v>47.45596417611192</v>
      </c>
      <c r="L74" s="216">
        <f t="shared" si="4"/>
        <v>47.200824583767215</v>
      </c>
      <c r="M74" s="216">
        <f t="shared" si="4"/>
        <v>47.200824583767215</v>
      </c>
      <c r="N74" s="216">
        <f t="shared" si="4"/>
        <v>47.13066119587242</v>
      </c>
      <c r="O74" s="216">
        <f t="shared" ref="O74:R74" si="23">O24-O49</f>
        <v>47.361881451434812</v>
      </c>
      <c r="P74" s="216">
        <f t="shared" si="23"/>
        <v>47.558020013049784</v>
      </c>
      <c r="Q74" s="216">
        <f t="shared" si="23"/>
        <v>47.827511207463857</v>
      </c>
      <c r="R74" s="216">
        <f t="shared" si="23"/>
        <v>47.956675626088341</v>
      </c>
    </row>
    <row r="77" spans="2:18" x14ac:dyDescent="0.35">
      <c r="B77" s="1039" t="s">
        <v>277</v>
      </c>
      <c r="C77" s="1039"/>
      <c r="D77" s="1039"/>
      <c r="E77" s="1039"/>
      <c r="F77" s="1039"/>
      <c r="G77" s="1039"/>
      <c r="H77" s="1039"/>
      <c r="I77" s="1039"/>
      <c r="J77" s="1039"/>
      <c r="K77" s="1039"/>
      <c r="L77" s="1039"/>
      <c r="M77" s="1039"/>
      <c r="N77" s="1039"/>
      <c r="O77" s="1039"/>
      <c r="P77" s="1039"/>
      <c r="Q77" s="1039"/>
      <c r="R77" s="1039"/>
    </row>
    <row r="78" spans="2:18" x14ac:dyDescent="0.35">
      <c r="B78" t="s">
        <v>222</v>
      </c>
      <c r="C78" t="s">
        <v>223</v>
      </c>
      <c r="D78" t="s">
        <v>224</v>
      </c>
      <c r="E78" t="s">
        <v>225</v>
      </c>
      <c r="F78" t="s">
        <v>226</v>
      </c>
      <c r="G78" t="s">
        <v>227</v>
      </c>
      <c r="H78" t="s">
        <v>228</v>
      </c>
      <c r="I78" t="s">
        <v>229</v>
      </c>
      <c r="J78" t="s">
        <v>230</v>
      </c>
      <c r="K78" t="s">
        <v>231</v>
      </c>
      <c r="L78" t="s">
        <v>232</v>
      </c>
      <c r="M78" t="s">
        <v>233</v>
      </c>
      <c r="N78" t="s">
        <v>234</v>
      </c>
      <c r="O78" t="s">
        <v>235</v>
      </c>
      <c r="P78" t="s">
        <v>219</v>
      </c>
      <c r="Q78" t="s">
        <v>220</v>
      </c>
      <c r="R78" t="s">
        <v>221</v>
      </c>
    </row>
    <row r="79" spans="2:18" x14ac:dyDescent="0.35">
      <c r="B79" t="s">
        <v>236</v>
      </c>
      <c r="C79" t="s">
        <v>237</v>
      </c>
      <c r="D79" s="826">
        <f t="shared" ref="D79:N79" si="24">(D4/D29-1)</f>
        <v>4.5303602466259862E-2</v>
      </c>
      <c r="E79" s="826">
        <f t="shared" si="24"/>
        <v>-3.5698186380851316E-2</v>
      </c>
      <c r="F79" s="826">
        <f t="shared" si="24"/>
        <v>-4.6338211396615092E-2</v>
      </c>
      <c r="G79" s="826">
        <f t="shared" si="24"/>
        <v>-3.712964094370319E-2</v>
      </c>
      <c r="H79" s="826">
        <f t="shared" si="24"/>
        <v>-3.6879421693179926E-2</v>
      </c>
      <c r="I79" s="826">
        <f t="shared" si="24"/>
        <v>-3.4379805262938601E-2</v>
      </c>
      <c r="J79" s="826">
        <f t="shared" si="24"/>
        <v>-3.4209943999930048E-2</v>
      </c>
      <c r="K79" s="826">
        <f t="shared" si="24"/>
        <v>-3.6126001217167802E-2</v>
      </c>
      <c r="L79" s="826">
        <f t="shared" si="24"/>
        <v>-3.6969412753174447E-2</v>
      </c>
      <c r="M79" s="826">
        <f t="shared" si="24"/>
        <v>-3.7407009043127881E-2</v>
      </c>
      <c r="N79" s="826">
        <f t="shared" si="24"/>
        <v>-3.9807021759620587E-2</v>
      </c>
      <c r="O79" s="826">
        <f t="shared" ref="O79:R79" si="25">(O4/O29-1)</f>
        <v>-4.2069753820038636E-2</v>
      </c>
      <c r="P79" s="826">
        <f t="shared" si="25"/>
        <v>-4.2398700475388518E-2</v>
      </c>
      <c r="Q79" s="826">
        <f t="shared" si="25"/>
        <v>-4.2794547545041639E-2</v>
      </c>
      <c r="R79" s="826">
        <f t="shared" si="25"/>
        <v>-4.3864828703559677E-2</v>
      </c>
    </row>
    <row r="80" spans="2:18" x14ac:dyDescent="0.35">
      <c r="B80" t="s">
        <v>177</v>
      </c>
      <c r="C80" t="s">
        <v>238</v>
      </c>
      <c r="D80" s="826">
        <f t="shared" ref="D80:N99" si="26">(D5/D30-1)</f>
        <v>-3.4259885977335758E-2</v>
      </c>
      <c r="E80" s="826">
        <f t="shared" si="26"/>
        <v>0</v>
      </c>
      <c r="F80" s="826">
        <f t="shared" si="26"/>
        <v>0</v>
      </c>
      <c r="G80" s="826">
        <f t="shared" si="26"/>
        <v>0</v>
      </c>
      <c r="H80" s="826">
        <f t="shared" si="26"/>
        <v>0</v>
      </c>
      <c r="I80" s="826">
        <f t="shared" si="26"/>
        <v>0</v>
      </c>
      <c r="J80" s="826">
        <f t="shared" si="26"/>
        <v>0</v>
      </c>
      <c r="K80" s="826">
        <f t="shared" si="26"/>
        <v>0</v>
      </c>
      <c r="L80" s="826">
        <f t="shared" si="26"/>
        <v>0</v>
      </c>
      <c r="M80" s="826">
        <f t="shared" si="26"/>
        <v>0</v>
      </c>
      <c r="N80" s="826">
        <f t="shared" si="26"/>
        <v>0</v>
      </c>
      <c r="O80" s="826">
        <f t="shared" ref="O80:R80" si="27">(O5/O30-1)</f>
        <v>0</v>
      </c>
      <c r="P80" s="826">
        <f t="shared" si="27"/>
        <v>0</v>
      </c>
      <c r="Q80" s="826">
        <f t="shared" si="27"/>
        <v>0</v>
      </c>
      <c r="R80" s="826">
        <f t="shared" si="27"/>
        <v>0</v>
      </c>
    </row>
    <row r="81" spans="2:18" x14ac:dyDescent="0.35">
      <c r="B81" t="s">
        <v>239</v>
      </c>
      <c r="C81" t="s">
        <v>240</v>
      </c>
      <c r="D81" s="826">
        <f t="shared" si="26"/>
        <v>-7.8570106104761672E-3</v>
      </c>
      <c r="E81" s="826">
        <f t="shared" si="26"/>
        <v>-7.8570106104760562E-3</v>
      </c>
      <c r="F81" s="826">
        <f t="shared" si="26"/>
        <v>-7.8570106104760562E-3</v>
      </c>
      <c r="G81" s="826">
        <f t="shared" si="26"/>
        <v>-7.8570106104760562E-3</v>
      </c>
      <c r="H81" s="826">
        <f t="shared" si="26"/>
        <v>-7.8570106104760562E-3</v>
      </c>
      <c r="I81" s="826">
        <f t="shared" si="26"/>
        <v>-7.8570106104759452E-3</v>
      </c>
      <c r="J81" s="826">
        <f t="shared" si="26"/>
        <v>-7.8570106104759452E-3</v>
      </c>
      <c r="K81" s="826">
        <f t="shared" si="26"/>
        <v>-7.8570106104759452E-3</v>
      </c>
      <c r="L81" s="826">
        <f t="shared" si="26"/>
        <v>-7.8570106104760562E-3</v>
      </c>
      <c r="M81" s="826">
        <f t="shared" si="26"/>
        <v>-7.8570106104760562E-3</v>
      </c>
      <c r="N81" s="826">
        <f t="shared" si="26"/>
        <v>-7.8570106104760562E-3</v>
      </c>
      <c r="O81" s="826">
        <f t="shared" ref="O81:R81" si="28">(O6/O31-1)</f>
        <v>-7.8570106104760562E-3</v>
      </c>
      <c r="P81" s="826">
        <f t="shared" si="28"/>
        <v>-7.8570106104760562E-3</v>
      </c>
      <c r="Q81" s="826">
        <f t="shared" si="28"/>
        <v>-7.8570106104760562E-3</v>
      </c>
      <c r="R81" s="826">
        <f t="shared" si="28"/>
        <v>-7.8570106104760562E-3</v>
      </c>
    </row>
    <row r="82" spans="2:18" x14ac:dyDescent="0.35">
      <c r="B82" t="s">
        <v>241</v>
      </c>
      <c r="C82" t="s">
        <v>242</v>
      </c>
      <c r="D82" s="826">
        <f t="shared" si="26"/>
        <v>1.2576001496180655E-3</v>
      </c>
      <c r="E82" s="826">
        <f t="shared" si="26"/>
        <v>1.2576001496180655E-3</v>
      </c>
      <c r="F82" s="826">
        <f t="shared" si="26"/>
        <v>1.2576001496180655E-3</v>
      </c>
      <c r="G82" s="826">
        <f t="shared" si="26"/>
        <v>1.2576001496178435E-3</v>
      </c>
      <c r="H82" s="826">
        <f t="shared" si="26"/>
        <v>1.2576001496180655E-3</v>
      </c>
      <c r="I82" s="826">
        <f t="shared" si="26"/>
        <v>1.2576001496180655E-3</v>
      </c>
      <c r="J82" s="826">
        <f t="shared" si="26"/>
        <v>1.2576001496180655E-3</v>
      </c>
      <c r="K82" s="826">
        <f t="shared" si="26"/>
        <v>1.2576001496180655E-3</v>
      </c>
      <c r="L82" s="826">
        <f t="shared" si="26"/>
        <v>1.2576001496180655E-3</v>
      </c>
      <c r="M82" s="826">
        <f t="shared" si="26"/>
        <v>1.2576001496180655E-3</v>
      </c>
      <c r="N82" s="826">
        <f t="shared" si="26"/>
        <v>1.2576001496178435E-3</v>
      </c>
      <c r="O82" s="826">
        <f t="shared" ref="O82:R82" si="29">(O7/O32-1)</f>
        <v>1.2576001496178435E-3</v>
      </c>
      <c r="P82" s="826">
        <f t="shared" si="29"/>
        <v>1.2576001496178435E-3</v>
      </c>
      <c r="Q82" s="826">
        <f t="shared" si="29"/>
        <v>1.2576001496178435E-3</v>
      </c>
      <c r="R82" s="826">
        <f t="shared" si="29"/>
        <v>1.2576001496178435E-3</v>
      </c>
    </row>
    <row r="83" spans="2:18" x14ac:dyDescent="0.35">
      <c r="B83" t="s">
        <v>243</v>
      </c>
      <c r="C83" t="s">
        <v>244</v>
      </c>
      <c r="D83" s="826">
        <f t="shared" si="26"/>
        <v>-0.51874162666997581</v>
      </c>
      <c r="E83" s="826">
        <f t="shared" si="26"/>
        <v>-0.54360324819465422</v>
      </c>
      <c r="F83" s="826">
        <f t="shared" si="26"/>
        <v>-0.8357443437480192</v>
      </c>
      <c r="G83" s="826">
        <f t="shared" si="26"/>
        <v>-0.82429052908874301</v>
      </c>
      <c r="H83" s="826">
        <f t="shared" si="26"/>
        <v>-0.82429052908874301</v>
      </c>
      <c r="I83" s="826">
        <f t="shared" si="26"/>
        <v>0.10347126861730249</v>
      </c>
      <c r="J83" s="826">
        <f t="shared" si="26"/>
        <v>0.10347126861730249</v>
      </c>
      <c r="K83" s="826">
        <f t="shared" si="26"/>
        <v>0.10347126861730249</v>
      </c>
      <c r="L83" s="826">
        <f t="shared" si="26"/>
        <v>0.10347126861730249</v>
      </c>
      <c r="M83" s="826">
        <f t="shared" si="26"/>
        <v>0.14684039967593843</v>
      </c>
      <c r="N83" s="826">
        <f t="shared" si="26"/>
        <v>0.14684039967593843</v>
      </c>
      <c r="O83" s="826">
        <f t="shared" ref="O83:R83" si="30">(O8/O33-1)</f>
        <v>0.14684039967593843</v>
      </c>
      <c r="P83" s="826">
        <f t="shared" si="30"/>
        <v>0.14684039967593843</v>
      </c>
      <c r="Q83" s="826">
        <f t="shared" si="30"/>
        <v>0</v>
      </c>
      <c r="R83" s="826">
        <f t="shared" si="30"/>
        <v>0</v>
      </c>
    </row>
    <row r="84" spans="2:18" x14ac:dyDescent="0.35">
      <c r="B84" t="s">
        <v>245</v>
      </c>
      <c r="C84" t="s">
        <v>246</v>
      </c>
      <c r="D84" s="826">
        <f t="shared" si="26"/>
        <v>0</v>
      </c>
      <c r="E84" s="826">
        <f t="shared" si="26"/>
        <v>0</v>
      </c>
      <c r="F84" s="826">
        <f t="shared" si="26"/>
        <v>0</v>
      </c>
      <c r="G84" s="826">
        <f t="shared" si="26"/>
        <v>0</v>
      </c>
      <c r="H84" s="826">
        <f t="shared" si="26"/>
        <v>0</v>
      </c>
      <c r="I84" s="826">
        <f t="shared" si="26"/>
        <v>0</v>
      </c>
      <c r="J84" s="826">
        <f t="shared" si="26"/>
        <v>0</v>
      </c>
      <c r="K84" s="826">
        <f t="shared" si="26"/>
        <v>0</v>
      </c>
      <c r="L84" s="826">
        <f t="shared" si="26"/>
        <v>0</v>
      </c>
      <c r="M84" s="826">
        <f t="shared" si="26"/>
        <v>0</v>
      </c>
      <c r="N84" s="826">
        <f t="shared" si="26"/>
        <v>0</v>
      </c>
      <c r="O84" s="826">
        <f t="shared" ref="O84:R84" si="31">(O9/O34-1)</f>
        <v>0</v>
      </c>
      <c r="P84" s="826">
        <f t="shared" si="31"/>
        <v>0</v>
      </c>
      <c r="Q84" s="826">
        <f t="shared" si="31"/>
        <v>0</v>
      </c>
      <c r="R84" s="826">
        <f t="shared" si="31"/>
        <v>0</v>
      </c>
    </row>
    <row r="85" spans="2:18" x14ac:dyDescent="0.35">
      <c r="B85" t="s">
        <v>247</v>
      </c>
      <c r="C85" t="s">
        <v>248</v>
      </c>
      <c r="D85" s="826">
        <f t="shared" si="26"/>
        <v>-0.13980549174663037</v>
      </c>
      <c r="E85" s="826" t="e">
        <f t="shared" si="26"/>
        <v>#DIV/0!</v>
      </c>
      <c r="F85" s="826" t="e">
        <f t="shared" si="26"/>
        <v>#DIV/0!</v>
      </c>
      <c r="G85" s="826" t="e">
        <f t="shared" si="26"/>
        <v>#DIV/0!</v>
      </c>
      <c r="H85" s="826" t="e">
        <f t="shared" si="26"/>
        <v>#DIV/0!</v>
      </c>
      <c r="I85" s="826" t="e">
        <f t="shared" si="26"/>
        <v>#DIV/0!</v>
      </c>
      <c r="J85" s="826" t="e">
        <f t="shared" si="26"/>
        <v>#DIV/0!</v>
      </c>
      <c r="K85" s="826" t="e">
        <f t="shared" si="26"/>
        <v>#DIV/0!</v>
      </c>
      <c r="L85" s="826" t="e">
        <f t="shared" si="26"/>
        <v>#DIV/0!</v>
      </c>
      <c r="M85" s="826" t="e">
        <f t="shared" si="26"/>
        <v>#DIV/0!</v>
      </c>
      <c r="N85" s="826" t="e">
        <f t="shared" si="26"/>
        <v>#DIV/0!</v>
      </c>
      <c r="O85" s="826" t="e">
        <f t="shared" ref="O85:R85" si="32">(O10/O35-1)</f>
        <v>#DIV/0!</v>
      </c>
      <c r="P85" s="826" t="e">
        <f t="shared" si="32"/>
        <v>#DIV/0!</v>
      </c>
      <c r="Q85" s="826" t="e">
        <f t="shared" si="32"/>
        <v>#DIV/0!</v>
      </c>
      <c r="R85" s="826" t="e">
        <f t="shared" si="32"/>
        <v>#DIV/0!</v>
      </c>
    </row>
    <row r="86" spans="2:18" x14ac:dyDescent="0.35">
      <c r="B86" t="s">
        <v>249</v>
      </c>
      <c r="C86" t="s">
        <v>250</v>
      </c>
      <c r="D86" s="826">
        <f t="shared" si="26"/>
        <v>0.16343338503999938</v>
      </c>
      <c r="E86" s="826">
        <f t="shared" si="26"/>
        <v>0.20075391050816549</v>
      </c>
      <c r="F86" s="826">
        <f t="shared" si="26"/>
        <v>0.20075391050816549</v>
      </c>
      <c r="G86" s="826">
        <f t="shared" si="26"/>
        <v>0.20075391050816549</v>
      </c>
      <c r="H86" s="826">
        <f t="shared" si="26"/>
        <v>0.20075391050816571</v>
      </c>
      <c r="I86" s="826">
        <f t="shared" si="26"/>
        <v>0.20075391050816549</v>
      </c>
      <c r="J86" s="826">
        <f t="shared" si="26"/>
        <v>0.20075391050816549</v>
      </c>
      <c r="K86" s="826">
        <f t="shared" si="26"/>
        <v>0.20075391050816549</v>
      </c>
      <c r="L86" s="826">
        <f t="shared" si="26"/>
        <v>0.20075391050816549</v>
      </c>
      <c r="M86" s="826">
        <f t="shared" si="26"/>
        <v>0.20075391050816549</v>
      </c>
      <c r="N86" s="826">
        <f t="shared" si="26"/>
        <v>0.20075391050816549</v>
      </c>
      <c r="O86" s="826">
        <f t="shared" ref="O86:R86" si="33">(O11/O36-1)</f>
        <v>0.20075391050816549</v>
      </c>
      <c r="P86" s="826">
        <f t="shared" si="33"/>
        <v>0.20075391050816549</v>
      </c>
      <c r="Q86" s="826">
        <f t="shared" si="33"/>
        <v>0.20075391050816571</v>
      </c>
      <c r="R86" s="826">
        <f t="shared" si="33"/>
        <v>0.20075391050816571</v>
      </c>
    </row>
    <row r="87" spans="2:18" x14ac:dyDescent="0.35">
      <c r="B87" t="s">
        <v>251</v>
      </c>
      <c r="C87" t="s">
        <v>252</v>
      </c>
      <c r="D87" s="826">
        <f t="shared" si="26"/>
        <v>-3.0598407421620788E-2</v>
      </c>
      <c r="E87" s="826">
        <f t="shared" si="26"/>
        <v>-3.2618871067840338E-2</v>
      </c>
      <c r="F87" s="826">
        <f t="shared" si="26"/>
        <v>-2.7668801841308044E-2</v>
      </c>
      <c r="G87" s="826">
        <f t="shared" si="26"/>
        <v>-2.9695371482832411E-2</v>
      </c>
      <c r="H87" s="826">
        <f t="shared" si="26"/>
        <v>-3.1685975748675488E-2</v>
      </c>
      <c r="I87" s="826">
        <f t="shared" si="26"/>
        <v>-3.1810060031505438E-2</v>
      </c>
      <c r="J87" s="826">
        <f t="shared" si="26"/>
        <v>-3.181006003150566E-2</v>
      </c>
      <c r="K87" s="826">
        <f t="shared" si="26"/>
        <v>-3.1810060031505549E-2</v>
      </c>
      <c r="L87" s="826">
        <f t="shared" si="26"/>
        <v>-3.181006003150566E-2</v>
      </c>
      <c r="M87" s="826">
        <f t="shared" si="26"/>
        <v>-3.1810060031505438E-2</v>
      </c>
      <c r="N87" s="826">
        <f t="shared" si="26"/>
        <v>-3.1810060031505549E-2</v>
      </c>
      <c r="O87" s="826">
        <f t="shared" ref="O87:R87" si="34">(O12/O37-1)</f>
        <v>-3.1810060031505549E-2</v>
      </c>
      <c r="P87" s="826">
        <f t="shared" si="34"/>
        <v>-3.1810060031505549E-2</v>
      </c>
      <c r="Q87" s="826">
        <f t="shared" si="34"/>
        <v>-3.181006003150566E-2</v>
      </c>
      <c r="R87" s="826">
        <f t="shared" si="34"/>
        <v>-3.1810060031505882E-2</v>
      </c>
    </row>
    <row r="88" spans="2:18" x14ac:dyDescent="0.35">
      <c r="B88" t="s">
        <v>253</v>
      </c>
      <c r="C88" t="s">
        <v>254</v>
      </c>
      <c r="D88" s="826">
        <f t="shared" si="26"/>
        <v>-2.3918396060499503E-2</v>
      </c>
      <c r="E88" s="826">
        <f t="shared" si="26"/>
        <v>-2.5952782440305078E-2</v>
      </c>
      <c r="F88" s="826">
        <f t="shared" si="26"/>
        <v>-2.7982928674690988E-2</v>
      </c>
      <c r="G88" s="826">
        <f t="shared" si="26"/>
        <v>-3.0008843601129209E-2</v>
      </c>
      <c r="H88" s="826">
        <f t="shared" si="26"/>
        <v>-3.2030536038672563E-2</v>
      </c>
      <c r="I88" s="826">
        <f t="shared" si="26"/>
        <v>-3.2030536038672563E-2</v>
      </c>
      <c r="J88" s="826">
        <f t="shared" si="26"/>
        <v>-3.2030536038672675E-2</v>
      </c>
      <c r="K88" s="826">
        <f t="shared" si="26"/>
        <v>-3.2030536038672675E-2</v>
      </c>
      <c r="L88" s="826">
        <f t="shared" si="26"/>
        <v>-3.2030536038672675E-2</v>
      </c>
      <c r="M88" s="826">
        <f t="shared" si="26"/>
        <v>-3.2030536038672675E-2</v>
      </c>
      <c r="N88" s="826">
        <f t="shared" si="26"/>
        <v>-3.2030536038672675E-2</v>
      </c>
      <c r="O88" s="826">
        <f t="shared" ref="O88:R88" si="35">(O13/O38-1)</f>
        <v>-3.2030536038672675E-2</v>
      </c>
      <c r="P88" s="826">
        <f t="shared" si="35"/>
        <v>-3.2030536038672675E-2</v>
      </c>
      <c r="Q88" s="826">
        <f t="shared" si="35"/>
        <v>-3.2030536038672786E-2</v>
      </c>
      <c r="R88" s="826">
        <f t="shared" si="35"/>
        <v>-3.2030536038672897E-2</v>
      </c>
    </row>
    <row r="89" spans="2:18" x14ac:dyDescent="0.35">
      <c r="B89" t="s">
        <v>76</v>
      </c>
      <c r="C89" t="s">
        <v>255</v>
      </c>
      <c r="D89" s="826">
        <f t="shared" si="26"/>
        <v>3.2274982853919276E-4</v>
      </c>
      <c r="E89" s="826">
        <f t="shared" si="26"/>
        <v>3.2284511356284185E-4</v>
      </c>
      <c r="F89" s="826">
        <f t="shared" si="26"/>
        <v>3.2909449757800857E-4</v>
      </c>
      <c r="G89" s="826">
        <f t="shared" si="26"/>
        <v>3.290801177810998E-4</v>
      </c>
      <c r="H89" s="826">
        <f t="shared" si="26"/>
        <v>3.3443617396322622E-4</v>
      </c>
      <c r="I89" s="826">
        <f t="shared" si="26"/>
        <v>3.3432172613490074E-4</v>
      </c>
      <c r="J89" s="826">
        <f t="shared" si="26"/>
        <v>3.3420962215546801E-4</v>
      </c>
      <c r="K89" s="826">
        <f t="shared" si="26"/>
        <v>3.3409964584496521E-4</v>
      </c>
      <c r="L89" s="826">
        <f t="shared" si="26"/>
        <v>3.3399175548387561E-4</v>
      </c>
      <c r="M89" s="826">
        <f t="shared" si="26"/>
        <v>3.3388591022109892E-4</v>
      </c>
      <c r="N89" s="826">
        <f t="shared" si="26"/>
        <v>3.3378352823110191E-4</v>
      </c>
      <c r="O89" s="826">
        <f t="shared" ref="O89:R89" si="36">(O14/O39-1)</f>
        <v>3.3368305734993164E-4</v>
      </c>
      <c r="P89" s="826">
        <f t="shared" si="36"/>
        <v>3.3358446080389292E-4</v>
      </c>
      <c r="Q89" s="826">
        <f t="shared" si="36"/>
        <v>3.334877025662486E-4</v>
      </c>
      <c r="R89" s="826">
        <f t="shared" si="36"/>
        <v>3.3339274734145441E-4</v>
      </c>
    </row>
    <row r="90" spans="2:18" x14ac:dyDescent="0.35">
      <c r="B90" t="s">
        <v>256</v>
      </c>
      <c r="C90" t="s">
        <v>257</v>
      </c>
      <c r="D90" s="826" t="e">
        <f>(D15/D40-1)</f>
        <v>#DIV/0!</v>
      </c>
      <c r="E90" s="826" t="e">
        <f t="shared" si="26"/>
        <v>#DIV/0!</v>
      </c>
      <c r="F90" s="826" t="e">
        <f t="shared" si="26"/>
        <v>#DIV/0!</v>
      </c>
      <c r="G90" s="826" t="e">
        <f t="shared" si="26"/>
        <v>#DIV/0!</v>
      </c>
      <c r="H90" s="826" t="e">
        <f t="shared" si="26"/>
        <v>#DIV/0!</v>
      </c>
      <c r="I90" s="826" t="e">
        <f t="shared" si="26"/>
        <v>#DIV/0!</v>
      </c>
      <c r="J90" s="826" t="e">
        <f t="shared" si="26"/>
        <v>#DIV/0!</v>
      </c>
      <c r="K90" s="826" t="e">
        <f t="shared" si="26"/>
        <v>#DIV/0!</v>
      </c>
      <c r="L90" s="826" t="e">
        <f t="shared" si="26"/>
        <v>#DIV/0!</v>
      </c>
      <c r="M90" s="826" t="e">
        <f t="shared" si="26"/>
        <v>#DIV/0!</v>
      </c>
      <c r="N90" s="826" t="e">
        <f t="shared" si="26"/>
        <v>#DIV/0!</v>
      </c>
      <c r="O90" s="826" t="e">
        <f t="shared" ref="O90:R90" si="37">(O15/O40-1)</f>
        <v>#DIV/0!</v>
      </c>
      <c r="P90" s="826" t="e">
        <f t="shared" si="37"/>
        <v>#DIV/0!</v>
      </c>
      <c r="Q90" s="826" t="e">
        <f t="shared" si="37"/>
        <v>#DIV/0!</v>
      </c>
      <c r="R90" s="826" t="e">
        <f t="shared" si="37"/>
        <v>#DIV/0!</v>
      </c>
    </row>
    <row r="91" spans="2:18" x14ac:dyDescent="0.35">
      <c r="B91" t="s">
        <v>258</v>
      </c>
      <c r="C91" t="s">
        <v>259</v>
      </c>
      <c r="D91" s="826">
        <f t="shared" si="26"/>
        <v>5.1679586563309066E-3</v>
      </c>
      <c r="E91" s="826" t="e">
        <f t="shared" si="26"/>
        <v>#DIV/0!</v>
      </c>
      <c r="F91" s="826">
        <f t="shared" si="26"/>
        <v>0</v>
      </c>
      <c r="G91" s="826">
        <f t="shared" si="26"/>
        <v>0</v>
      </c>
      <c r="H91" s="826" t="e">
        <f t="shared" si="26"/>
        <v>#DIV/0!</v>
      </c>
      <c r="I91" s="826" t="e">
        <f t="shared" si="26"/>
        <v>#DIV/0!</v>
      </c>
      <c r="J91" s="826" t="e">
        <f t="shared" si="26"/>
        <v>#DIV/0!</v>
      </c>
      <c r="K91" s="826" t="e">
        <f t="shared" si="26"/>
        <v>#DIV/0!</v>
      </c>
      <c r="L91" s="826" t="e">
        <f t="shared" si="26"/>
        <v>#DIV/0!</v>
      </c>
      <c r="M91" s="826" t="e">
        <f t="shared" si="26"/>
        <v>#DIV/0!</v>
      </c>
      <c r="N91" s="826" t="e">
        <f t="shared" si="26"/>
        <v>#DIV/0!</v>
      </c>
      <c r="O91" s="826" t="e">
        <f t="shared" ref="O91:R91" si="38">(O16/O41-1)</f>
        <v>#DIV/0!</v>
      </c>
      <c r="P91" s="826" t="e">
        <f t="shared" si="38"/>
        <v>#DIV/0!</v>
      </c>
      <c r="Q91" s="826" t="e">
        <f t="shared" si="38"/>
        <v>#DIV/0!</v>
      </c>
      <c r="R91" s="826" t="e">
        <f t="shared" si="38"/>
        <v>#DIV/0!</v>
      </c>
    </row>
    <row r="92" spans="2:18" x14ac:dyDescent="0.35">
      <c r="B92" t="s">
        <v>260</v>
      </c>
      <c r="C92" t="s">
        <v>261</v>
      </c>
      <c r="D92" s="826">
        <f t="shared" si="26"/>
        <v>0</v>
      </c>
      <c r="E92" s="826">
        <f t="shared" si="26"/>
        <v>0</v>
      </c>
      <c r="F92" s="826">
        <f t="shared" si="26"/>
        <v>0</v>
      </c>
      <c r="G92" s="826">
        <f t="shared" si="26"/>
        <v>0</v>
      </c>
      <c r="H92" s="826">
        <f t="shared" si="26"/>
        <v>0</v>
      </c>
      <c r="I92" s="826">
        <f t="shared" si="26"/>
        <v>0</v>
      </c>
      <c r="J92" s="826">
        <f t="shared" si="26"/>
        <v>0</v>
      </c>
      <c r="K92" s="826">
        <f t="shared" si="26"/>
        <v>0</v>
      </c>
      <c r="L92" s="826">
        <f t="shared" si="26"/>
        <v>0</v>
      </c>
      <c r="M92" s="826">
        <f t="shared" si="26"/>
        <v>0</v>
      </c>
      <c r="N92" s="826">
        <f t="shared" si="26"/>
        <v>0</v>
      </c>
      <c r="O92" s="826">
        <f t="shared" ref="O92:R92" si="39">(O17/O42-1)</f>
        <v>0</v>
      </c>
      <c r="P92" s="826">
        <f t="shared" si="39"/>
        <v>0</v>
      </c>
      <c r="Q92" s="826">
        <f t="shared" si="39"/>
        <v>0</v>
      </c>
      <c r="R92" s="826">
        <f t="shared" si="39"/>
        <v>0</v>
      </c>
    </row>
    <row r="93" spans="2:18" x14ac:dyDescent="0.35">
      <c r="B93" t="s">
        <v>262</v>
      </c>
      <c r="C93" t="s">
        <v>263</v>
      </c>
      <c r="D93" s="826">
        <f t="shared" si="26"/>
        <v>-0.80057507483850621</v>
      </c>
      <c r="E93" s="826">
        <f t="shared" si="26"/>
        <v>-0.57281280531056344</v>
      </c>
      <c r="F93" s="826">
        <f t="shared" si="26"/>
        <v>-0.73609122177759323</v>
      </c>
      <c r="G93" s="826">
        <f t="shared" si="26"/>
        <v>-0.73609122177759323</v>
      </c>
      <c r="H93" s="826">
        <f t="shared" si="26"/>
        <v>-0.73609122177759323</v>
      </c>
      <c r="I93" s="826">
        <f t="shared" si="26"/>
        <v>-0.33081285444234398</v>
      </c>
      <c r="J93" s="826">
        <f t="shared" si="26"/>
        <v>-0.33081285444234398</v>
      </c>
      <c r="K93" s="826">
        <f t="shared" si="26"/>
        <v>-0.33081285444234398</v>
      </c>
      <c r="L93" s="826">
        <f t="shared" si="26"/>
        <v>-0.33081285444234398</v>
      </c>
      <c r="M93" s="826">
        <f t="shared" si="26"/>
        <v>-0.32124827902707653</v>
      </c>
      <c r="N93" s="826">
        <f t="shared" si="26"/>
        <v>-0.32124827902707653</v>
      </c>
      <c r="O93" s="826">
        <f t="shared" ref="O93:R93" si="40">(O18/O43-1)</f>
        <v>-0.32124827902707653</v>
      </c>
      <c r="P93" s="826">
        <f t="shared" si="40"/>
        <v>-0.32124827902707653</v>
      </c>
      <c r="Q93" s="826">
        <f t="shared" si="40"/>
        <v>-0.3004291845493563</v>
      </c>
      <c r="R93" s="826">
        <f t="shared" si="40"/>
        <v>-0.3004291845493563</v>
      </c>
    </row>
    <row r="94" spans="2:18" x14ac:dyDescent="0.35">
      <c r="B94" t="s">
        <v>264</v>
      </c>
      <c r="C94" t="s">
        <v>265</v>
      </c>
      <c r="D94" s="826">
        <f t="shared" si="26"/>
        <v>7.5252224519940958E-2</v>
      </c>
      <c r="E94" s="826">
        <f t="shared" si="26"/>
        <v>8.6700415255915431E-2</v>
      </c>
      <c r="F94" s="826">
        <f t="shared" si="26"/>
        <v>7.9895927322741978E-2</v>
      </c>
      <c r="G94" s="826">
        <f t="shared" si="26"/>
        <v>7.9797948533232077E-2</v>
      </c>
      <c r="H94" s="826">
        <f t="shared" si="26"/>
        <v>6.1394244333430326E-2</v>
      </c>
      <c r="I94" s="826">
        <f t="shared" si="26"/>
        <v>6.1318698843625397E-2</v>
      </c>
      <c r="J94" s="826">
        <f t="shared" si="26"/>
        <v>6.0978064616555638E-2</v>
      </c>
      <c r="K94" s="826">
        <f t="shared" si="26"/>
        <v>6.0736341963706364E-2</v>
      </c>
      <c r="L94" s="826">
        <f t="shared" si="26"/>
        <v>6.0496528165608465E-2</v>
      </c>
      <c r="M94" s="826">
        <f t="shared" si="26"/>
        <v>6.0258600700193732E-2</v>
      </c>
      <c r="N94" s="826">
        <f t="shared" si="26"/>
        <v>6.0017147488280242E-2</v>
      </c>
      <c r="O94" s="826">
        <f t="shared" ref="O94:R94" si="41">(O19/O44-1)</f>
        <v>5.9791184263734198E-2</v>
      </c>
      <c r="P94" s="826">
        <f t="shared" si="41"/>
        <v>5.9566916150155969E-2</v>
      </c>
      <c r="Q94" s="826">
        <f t="shared" si="41"/>
        <v>5.9344324144472438E-2</v>
      </c>
      <c r="R94" s="826">
        <f t="shared" si="41"/>
        <v>5.9123389526599013E-2</v>
      </c>
    </row>
    <row r="95" spans="2:18" x14ac:dyDescent="0.35">
      <c r="B95" t="s">
        <v>266</v>
      </c>
      <c r="C95" t="s">
        <v>267</v>
      </c>
      <c r="D95" s="826">
        <f t="shared" si="26"/>
        <v>3.4166947144127491E-3</v>
      </c>
      <c r="E95" s="826">
        <f t="shared" si="26"/>
        <v>3.4166947144127491E-3</v>
      </c>
      <c r="F95" s="826">
        <f t="shared" si="26"/>
        <v>3.416694714412527E-3</v>
      </c>
      <c r="G95" s="826">
        <f t="shared" si="26"/>
        <v>3.416694714412527E-3</v>
      </c>
      <c r="H95" s="826">
        <f t="shared" si="26"/>
        <v>3.416694714412527E-3</v>
      </c>
      <c r="I95" s="826">
        <f t="shared" si="26"/>
        <v>3.416694714412305E-3</v>
      </c>
      <c r="J95" s="826">
        <f t="shared" si="26"/>
        <v>3.416694714412527E-3</v>
      </c>
      <c r="K95" s="826">
        <f t="shared" si="26"/>
        <v>3.416694714412527E-3</v>
      </c>
      <c r="L95" s="826">
        <f t="shared" si="26"/>
        <v>3.416694714412527E-3</v>
      </c>
      <c r="M95" s="826">
        <f t="shared" si="26"/>
        <v>3.416694714412527E-3</v>
      </c>
      <c r="N95" s="826">
        <f t="shared" si="26"/>
        <v>3.416694714412527E-3</v>
      </c>
      <c r="O95" s="826">
        <f t="shared" ref="O95:R95" si="42">(O20/O45-1)</f>
        <v>3.416694714412527E-3</v>
      </c>
      <c r="P95" s="826">
        <f t="shared" si="42"/>
        <v>3.416694714412527E-3</v>
      </c>
      <c r="Q95" s="826">
        <f t="shared" si="42"/>
        <v>3.416694714412527E-3</v>
      </c>
      <c r="R95" s="826">
        <f t="shared" si="42"/>
        <v>3.416694714412527E-3</v>
      </c>
    </row>
    <row r="96" spans="2:18" x14ac:dyDescent="0.35">
      <c r="B96" t="s">
        <v>268</v>
      </c>
      <c r="C96" t="s">
        <v>269</v>
      </c>
      <c r="D96" s="826">
        <f t="shared" si="26"/>
        <v>9.5450201202800233E-3</v>
      </c>
      <c r="E96" s="826">
        <f t="shared" si="26"/>
        <v>9.5147973988867207E-3</v>
      </c>
      <c r="F96" s="826">
        <f t="shared" si="26"/>
        <v>-1.2666537236549757E-3</v>
      </c>
      <c r="G96" s="826">
        <f t="shared" si="26"/>
        <v>-1.2662985411487915E-3</v>
      </c>
      <c r="H96" s="826">
        <f t="shared" si="26"/>
        <v>-1.2657854171156391E-3</v>
      </c>
      <c r="I96" s="826">
        <f t="shared" si="26"/>
        <v>-1.2653670899157587E-3</v>
      </c>
      <c r="J96" s="826">
        <f t="shared" si="26"/>
        <v>-1.2667836372151076E-3</v>
      </c>
      <c r="K96" s="826">
        <f t="shared" si="26"/>
        <v>-1.2664424219034354E-3</v>
      </c>
      <c r="L96" s="826">
        <f t="shared" si="26"/>
        <v>-1.2662199987084621E-3</v>
      </c>
      <c r="M96" s="826">
        <f t="shared" si="26"/>
        <v>-1.2661845788106696E-3</v>
      </c>
      <c r="N96" s="826">
        <f t="shared" si="26"/>
        <v>-1.2660324860265249E-3</v>
      </c>
      <c r="O96" s="826">
        <f t="shared" ref="O96:R96" si="43">(O21/O46-1)</f>
        <v>-1.266096201581246E-3</v>
      </c>
      <c r="P96" s="826">
        <f t="shared" si="43"/>
        <v>-1.2660826462822516E-3</v>
      </c>
      <c r="Q96" s="826">
        <f t="shared" si="43"/>
        <v>-1.2660357527388699E-3</v>
      </c>
      <c r="R96" s="826">
        <f t="shared" si="43"/>
        <v>-1.265864090948754E-3</v>
      </c>
    </row>
    <row r="97" spans="2:18" x14ac:dyDescent="0.35">
      <c r="B97" t="s">
        <v>270</v>
      </c>
      <c r="C97" t="s">
        <v>271</v>
      </c>
      <c r="D97" s="826">
        <f t="shared" si="26"/>
        <v>-9.4416115989128802E-3</v>
      </c>
      <c r="E97" s="826">
        <f t="shared" si="26"/>
        <v>-1.5993114549700538E-2</v>
      </c>
      <c r="F97" s="826">
        <f t="shared" si="26"/>
        <v>-1.5989911204400853E-2</v>
      </c>
      <c r="G97" s="826">
        <f t="shared" si="26"/>
        <v>-1.5984641357515761E-2</v>
      </c>
      <c r="H97" s="826">
        <f t="shared" si="26"/>
        <v>-1.5991145737090706E-2</v>
      </c>
      <c r="I97" s="826">
        <f t="shared" si="26"/>
        <v>-1.5995872599330663E-2</v>
      </c>
      <c r="J97" s="826">
        <f t="shared" si="26"/>
        <v>-1.5996403785119906E-2</v>
      </c>
      <c r="K97" s="826">
        <f t="shared" si="26"/>
        <v>-1.5995016162080988E-2</v>
      </c>
      <c r="L97" s="826">
        <f t="shared" si="26"/>
        <v>-1.5995296613530829E-2</v>
      </c>
      <c r="M97" s="826">
        <f t="shared" si="26"/>
        <v>-1.5995163887605246E-2</v>
      </c>
      <c r="N97" s="826">
        <f t="shared" si="26"/>
        <v>-1.5992653832891945E-2</v>
      </c>
      <c r="O97" s="826">
        <f t="shared" ref="O97:R97" si="44">(O22/O47-1)</f>
        <v>-1.5993303148858717E-2</v>
      </c>
      <c r="P97" s="826">
        <f t="shared" si="44"/>
        <v>-1.5992892919323265E-2</v>
      </c>
      <c r="Q97" s="826">
        <f t="shared" si="44"/>
        <v>-1.598873122972444E-2</v>
      </c>
      <c r="R97" s="826">
        <f t="shared" si="44"/>
        <v>-1.5985788983733817E-2</v>
      </c>
    </row>
    <row r="98" spans="2:18" x14ac:dyDescent="0.35">
      <c r="B98" t="s">
        <v>272</v>
      </c>
      <c r="C98" t="s">
        <v>273</v>
      </c>
      <c r="D98" s="826">
        <f t="shared" si="26"/>
        <v>0</v>
      </c>
      <c r="E98" s="826">
        <f t="shared" si="26"/>
        <v>0</v>
      </c>
      <c r="F98" s="826">
        <f t="shared" si="26"/>
        <v>3.76255697995862E-2</v>
      </c>
      <c r="G98" s="826">
        <f t="shared" si="26"/>
        <v>3.7625569799585978E-2</v>
      </c>
      <c r="H98" s="826">
        <f t="shared" si="26"/>
        <v>3.76255697995862E-2</v>
      </c>
      <c r="I98" s="826">
        <f t="shared" si="26"/>
        <v>3.76255697995862E-2</v>
      </c>
      <c r="J98" s="826">
        <f t="shared" si="26"/>
        <v>3.76255697995862E-2</v>
      </c>
      <c r="K98" s="826">
        <f t="shared" si="26"/>
        <v>3.7625569799585978E-2</v>
      </c>
      <c r="L98" s="826">
        <f t="shared" si="26"/>
        <v>3.76255697995862E-2</v>
      </c>
      <c r="M98" s="826">
        <f t="shared" si="26"/>
        <v>3.76255697995862E-2</v>
      </c>
      <c r="N98" s="826">
        <f t="shared" si="26"/>
        <v>3.7625569799585978E-2</v>
      </c>
      <c r="O98" s="826">
        <f t="shared" ref="O98:R98" si="45">(O23/O48-1)</f>
        <v>3.76255697995862E-2</v>
      </c>
      <c r="P98" s="826">
        <f t="shared" si="45"/>
        <v>3.76255697995862E-2</v>
      </c>
      <c r="Q98" s="826">
        <f t="shared" si="45"/>
        <v>3.76255697995862E-2</v>
      </c>
      <c r="R98" s="826">
        <f t="shared" si="45"/>
        <v>3.76255697995862E-2</v>
      </c>
    </row>
    <row r="99" spans="2:18" x14ac:dyDescent="0.35">
      <c r="B99" t="s">
        <v>274</v>
      </c>
      <c r="C99" t="s">
        <v>275</v>
      </c>
      <c r="D99" s="826">
        <f t="shared" si="26"/>
        <v>0</v>
      </c>
      <c r="E99" s="826">
        <f t="shared" si="26"/>
        <v>0.39573070607553373</v>
      </c>
      <c r="F99" s="826">
        <f t="shared" si="26"/>
        <v>0.39573070607553373</v>
      </c>
      <c r="G99" s="826">
        <f t="shared" si="26"/>
        <v>0.39573070607553351</v>
      </c>
      <c r="H99" s="826">
        <f t="shared" si="26"/>
        <v>0.39573070607553373</v>
      </c>
      <c r="I99" s="826">
        <f t="shared" si="26"/>
        <v>0.39573070607553373</v>
      </c>
      <c r="J99" s="826">
        <f t="shared" si="26"/>
        <v>0.39573070607553351</v>
      </c>
      <c r="K99" s="826">
        <f t="shared" si="26"/>
        <v>0.39573070607553373</v>
      </c>
      <c r="L99" s="826">
        <f t="shared" si="26"/>
        <v>0.39573070607553373</v>
      </c>
      <c r="M99" s="826">
        <f t="shared" si="26"/>
        <v>0.39573070607553373</v>
      </c>
      <c r="N99" s="826">
        <f t="shared" si="26"/>
        <v>0.39573070607553351</v>
      </c>
      <c r="O99" s="826">
        <f t="shared" ref="O99:R99" si="46">(O24/O49-1)</f>
        <v>0.39573070607553373</v>
      </c>
      <c r="P99" s="826">
        <f t="shared" si="46"/>
        <v>0.39573070607553373</v>
      </c>
      <c r="Q99" s="826">
        <f t="shared" si="46"/>
        <v>0.39573070607553373</v>
      </c>
      <c r="R99" s="826">
        <f t="shared" si="46"/>
        <v>0.39573070607553351</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A6" zoomScaleNormal="100" workbookViewId="0">
      <selection activeCell="A25" sqref="A25"/>
    </sheetView>
  </sheetViews>
  <sheetFormatPr defaultColWidth="8.81640625" defaultRowHeight="14.5" x14ac:dyDescent="0.35"/>
  <cols>
    <col min="1" max="1" width="41.1796875" customWidth="1"/>
    <col min="2" max="2" width="23.453125" customWidth="1"/>
    <col min="3" max="13" width="10.453125" bestFit="1" customWidth="1"/>
  </cols>
  <sheetData>
    <row r="1" spans="1:17" s="282" customFormat="1" x14ac:dyDescent="0.35">
      <c r="A1" s="282" t="s">
        <v>222</v>
      </c>
      <c r="B1" s="282" t="s">
        <v>223</v>
      </c>
      <c r="C1" s="285" t="s">
        <v>224</v>
      </c>
      <c r="D1" s="285" t="s">
        <v>225</v>
      </c>
      <c r="E1" s="285" t="s">
        <v>226</v>
      </c>
      <c r="F1" s="285" t="s">
        <v>227</v>
      </c>
      <c r="G1" s="285" t="s">
        <v>228</v>
      </c>
      <c r="H1" s="285" t="s">
        <v>229</v>
      </c>
      <c r="I1" s="285" t="s">
        <v>230</v>
      </c>
      <c r="J1" s="285" t="s">
        <v>231</v>
      </c>
      <c r="K1" s="285" t="s">
        <v>232</v>
      </c>
      <c r="L1" s="285" t="s">
        <v>233</v>
      </c>
      <c r="M1" s="285" t="s">
        <v>234</v>
      </c>
      <c r="N1" s="285" t="s">
        <v>235</v>
      </c>
      <c r="O1" s="285" t="s">
        <v>219</v>
      </c>
      <c r="P1" s="285" t="s">
        <v>220</v>
      </c>
      <c r="Q1" s="285" t="s">
        <v>221</v>
      </c>
    </row>
    <row r="2" spans="1:17" x14ac:dyDescent="0.35">
      <c r="A2" t="s">
        <v>236</v>
      </c>
      <c r="B2" t="s">
        <v>237</v>
      </c>
      <c r="C2" s="216">
        <f>Grants!O74</f>
        <v>384.12299999999988</v>
      </c>
      <c r="D2" s="216">
        <f>Grants!P74</f>
        <v>379.1028067950088</v>
      </c>
      <c r="E2" s="216">
        <f>Grants!Q74</f>
        <v>382.98756493333315</v>
      </c>
      <c r="F2" s="216">
        <f>Grants!R74</f>
        <v>404.11069713866652</v>
      </c>
      <c r="G2" s="216">
        <f>Grants!S74</f>
        <v>422.17505958421322</v>
      </c>
      <c r="H2" s="216">
        <f>Grants!T74</f>
        <v>442.52433352758169</v>
      </c>
      <c r="I2" s="216">
        <f>Grants!U74</f>
        <v>462.59180486868502</v>
      </c>
      <c r="J2" s="216">
        <f>Grants!V74</f>
        <v>454.67521469543243</v>
      </c>
      <c r="K2" s="216">
        <f>Grants!W74</f>
        <v>461.67012952324978</v>
      </c>
      <c r="L2" s="216">
        <f>Grants!X74</f>
        <v>474.30455646417977</v>
      </c>
      <c r="M2" s="216">
        <f>Grants!Y74</f>
        <v>462.38077136274694</v>
      </c>
      <c r="N2" s="216">
        <f>Grants!Z74</f>
        <v>453.93971473725685</v>
      </c>
      <c r="O2" s="216">
        <f>Grants!AA74</f>
        <v>468.27371996674719</v>
      </c>
      <c r="P2" s="216">
        <f>Grants!AB74</f>
        <v>482.30045126541711</v>
      </c>
      <c r="Q2" s="216">
        <f>Grants!AC74</f>
        <v>488.80668758803381</v>
      </c>
    </row>
    <row r="3" spans="1:17" x14ac:dyDescent="0.35">
      <c r="A3" t="s">
        <v>177</v>
      </c>
      <c r="B3" t="s">
        <v>238</v>
      </c>
      <c r="C3" s="216">
        <f>Grants!O93</f>
        <v>72.766999999999996</v>
      </c>
      <c r="D3" s="216">
        <f>Grants!P93</f>
        <v>75.34842857142857</v>
      </c>
      <c r="E3" s="216">
        <f>Grants!Q93</f>
        <v>75.34842857142857</v>
      </c>
      <c r="F3" s="216">
        <f>Grants!R93</f>
        <v>75.34842857142857</v>
      </c>
      <c r="G3" s="216">
        <f>Grants!S93</f>
        <v>75.34842857142857</v>
      </c>
      <c r="H3" s="216">
        <f>Grants!T93</f>
        <v>75.34842857142857</v>
      </c>
      <c r="I3" s="216">
        <f>Grants!U93</f>
        <v>75.34842857142857</v>
      </c>
      <c r="J3" s="216">
        <f>Grants!V93</f>
        <v>75.34842857142857</v>
      </c>
      <c r="K3" s="216">
        <f>Grants!W93</f>
        <v>75.34842857142857</v>
      </c>
      <c r="L3" s="216">
        <f>Grants!X93</f>
        <v>75.34842857142857</v>
      </c>
      <c r="M3" s="216">
        <f>Grants!Y93</f>
        <v>75.34842857142857</v>
      </c>
      <c r="N3" s="216">
        <f>Grants!Z93</f>
        <v>75.34842857142857</v>
      </c>
      <c r="O3" s="216">
        <f>Grants!AA93</f>
        <v>75.34842857142857</v>
      </c>
      <c r="P3" s="216">
        <f>Grants!AB93</f>
        <v>75.34842857142857</v>
      </c>
      <c r="Q3" s="216">
        <f>Grants!AC93</f>
        <v>75.34842857142857</v>
      </c>
    </row>
    <row r="4" spans="1:17" x14ac:dyDescent="0.35">
      <c r="A4" t="s">
        <v>239</v>
      </c>
      <c r="B4" t="s">
        <v>240</v>
      </c>
      <c r="C4" s="216">
        <f>'Federal and State Purchases'!O13</f>
        <v>1562.1</v>
      </c>
      <c r="D4" s="216">
        <f>'Federal and State Purchases'!P13</f>
        <v>1573.9267891323836</v>
      </c>
      <c r="E4" s="216">
        <f>'Federal and State Purchases'!Q13</f>
        <v>1585.9354345503814</v>
      </c>
      <c r="F4" s="216">
        <f>'Federal and State Purchases'!R13</f>
        <v>1587.9101975616902</v>
      </c>
      <c r="G4" s="216">
        <f>'Federal and State Purchases'!S13</f>
        <v>1587.2547789253952</v>
      </c>
      <c r="H4" s="216">
        <f>'Federal and State Purchases'!T13</f>
        <v>1587.4214144343857</v>
      </c>
      <c r="I4" s="216">
        <f>'Federal and State Purchases'!U13</f>
        <v>1591.6665815728984</v>
      </c>
      <c r="J4" s="216">
        <f>'Federal and State Purchases'!V13</f>
        <v>1597.5981128204228</v>
      </c>
      <c r="K4" s="216">
        <f>'Federal and State Purchases'!W13</f>
        <v>1605.1922935912212</v>
      </c>
      <c r="L4" s="216">
        <f>'Federal and State Purchases'!X13</f>
        <v>1614.118674329608</v>
      </c>
      <c r="M4" s="216">
        <f>'Federal and State Purchases'!Y13</f>
        <v>1622.9240123392974</v>
      </c>
      <c r="N4" s="216">
        <f>'Federal and State Purchases'!Z13</f>
        <v>1631.7773852169912</v>
      </c>
      <c r="O4" s="216">
        <f>'Federal and State Purchases'!AA13</f>
        <v>1641.0802481012545</v>
      </c>
      <c r="P4" s="216">
        <f>'Federal and State Purchases'!AB13</f>
        <v>1650.0326668517271</v>
      </c>
      <c r="Q4" s="216">
        <f>'Federal and State Purchases'!AC13</f>
        <v>1660.2500755702192</v>
      </c>
    </row>
    <row r="5" spans="1:17" x14ac:dyDescent="0.35">
      <c r="A5" t="s">
        <v>241</v>
      </c>
      <c r="B5" t="s">
        <v>242</v>
      </c>
      <c r="C5" s="216">
        <f>'Federal and State Purchases'!O27</f>
        <v>2514.9</v>
      </c>
      <c r="D5" s="216">
        <f>'Federal and State Purchases'!P27</f>
        <v>2575.543516678471</v>
      </c>
      <c r="E5" s="216">
        <f>'Federal and State Purchases'!Q27</f>
        <v>2631.6341692094484</v>
      </c>
      <c r="F5" s="216">
        <f>'Federal and State Purchases'!R27</f>
        <v>2682.757733843011</v>
      </c>
      <c r="G5" s="216">
        <f>'Federal and State Purchases'!S27</f>
        <v>2728.521623719575</v>
      </c>
      <c r="H5" s="216">
        <f>'Federal and State Purchases'!T27</f>
        <v>2765.2889285658985</v>
      </c>
      <c r="I5" s="216">
        <f>'Federal and State Purchases'!U27</f>
        <v>2799.2252025612861</v>
      </c>
      <c r="J5" s="216">
        <f>'Federal and State Purchases'!V27</f>
        <v>2833.5779504667935</v>
      </c>
      <c r="K5" s="216">
        <f>'Federal and State Purchases'!W27</f>
        <v>2868.3522833478787</v>
      </c>
      <c r="L5" s="216">
        <f>'Federal and State Purchases'!X27</f>
        <v>2903.5533749941942</v>
      </c>
      <c r="M5" s="216">
        <f>'Federal and State Purchases'!Y27</f>
        <v>2939.1864626893512</v>
      </c>
      <c r="N5" s="216">
        <f>'Federal and State Purchases'!Z27</f>
        <v>2939.1864626893512</v>
      </c>
      <c r="O5" s="216">
        <f>'Federal and State Purchases'!AA27</f>
        <v>2939.1864626893512</v>
      </c>
      <c r="P5" s="216">
        <f>'Federal and State Purchases'!AB27</f>
        <v>2939.1864626893512</v>
      </c>
      <c r="Q5" s="216">
        <f>'Federal and State Purchases'!AC27</f>
        <v>2939.1864626893512</v>
      </c>
    </row>
    <row r="6" spans="1:17" x14ac:dyDescent="0.35">
      <c r="A6" t="s">
        <v>243</v>
      </c>
      <c r="B6" t="s">
        <v>244</v>
      </c>
      <c r="C6" s="216">
        <f>Subsidies!O44</f>
        <v>286.71096</v>
      </c>
      <c r="D6" s="216">
        <f>Subsidies!P44</f>
        <v>53.095732406535092</v>
      </c>
      <c r="E6" s="216">
        <f>Subsidies!Q44</f>
        <v>13.64100000000002</v>
      </c>
      <c r="F6" s="216">
        <f>Subsidies!R44</f>
        <v>13.64100000000002</v>
      </c>
      <c r="G6" s="216">
        <f>Subsidies!S44</f>
        <v>13.64100000000002</v>
      </c>
      <c r="H6" s="216">
        <f>Subsidies!T44</f>
        <v>83.572500000000019</v>
      </c>
      <c r="I6" s="216">
        <f>Subsidies!U44</f>
        <v>83.572500000000019</v>
      </c>
      <c r="J6" s="216">
        <f>Subsidies!V44</f>
        <v>83.572500000000019</v>
      </c>
      <c r="K6" s="216">
        <f>Subsidies!W44</f>
        <v>83.572500000000019</v>
      </c>
      <c r="L6" s="216">
        <f>Subsidies!X44</f>
        <v>84.935000000000016</v>
      </c>
      <c r="M6" s="216">
        <f>Subsidies!Y44</f>
        <v>84.935000000000016</v>
      </c>
      <c r="N6" s="216">
        <f>Subsidies!Z44</f>
        <v>84.935000000000016</v>
      </c>
      <c r="O6" s="216">
        <f>Subsidies!AA44</f>
        <v>84.935000000000016</v>
      </c>
      <c r="P6" s="216">
        <f>Subsidies!AB44</f>
        <v>77.001000000000005</v>
      </c>
      <c r="Q6" s="216">
        <f>Subsidies!AC44</f>
        <v>77.001000000000005</v>
      </c>
    </row>
    <row r="7" spans="1:17" x14ac:dyDescent="0.35">
      <c r="A7" t="s">
        <v>245</v>
      </c>
      <c r="B7" t="s">
        <v>246</v>
      </c>
      <c r="C7" s="216">
        <f>Subsidies!O43</f>
        <v>267.78904</v>
      </c>
      <c r="D7" s="216">
        <f>Subsidies!P43</f>
        <v>110.24799999999999</v>
      </c>
      <c r="E7" s="216">
        <f>Subsidies!Q43</f>
        <v>110.24799999999999</v>
      </c>
      <c r="F7" s="216">
        <f>Subsidies!R43</f>
        <v>110.24799999999999</v>
      </c>
      <c r="G7" s="216">
        <f>Subsidies!S43</f>
        <v>110.24799999999999</v>
      </c>
      <c r="H7" s="216">
        <f>Subsidies!T43</f>
        <v>12.726000000000001</v>
      </c>
      <c r="I7" s="216">
        <f>Subsidies!U43</f>
        <v>12.726000000000001</v>
      </c>
      <c r="J7" s="216">
        <f>Subsidies!V43</f>
        <v>12.726000000000001</v>
      </c>
      <c r="K7" s="216">
        <f>Subsidies!W43</f>
        <v>12.726000000000001</v>
      </c>
      <c r="L7" s="216">
        <f>Subsidies!X43</f>
        <v>1.365</v>
      </c>
      <c r="M7" s="216">
        <f>Subsidies!Y43</f>
        <v>1.365</v>
      </c>
      <c r="N7" s="216">
        <f>Subsidies!Z43</f>
        <v>1.365</v>
      </c>
      <c r="O7" s="216">
        <f>Subsidies!AA43</f>
        <v>1.365</v>
      </c>
      <c r="P7" s="216">
        <f>Subsidies!AB43</f>
        <v>-0.90100000000000025</v>
      </c>
      <c r="Q7" s="216">
        <f>Subsidies!AC43</f>
        <v>-0.90100000000000025</v>
      </c>
    </row>
    <row r="8" spans="1:17" x14ac:dyDescent="0.35">
      <c r="A8" t="s">
        <v>247</v>
      </c>
      <c r="B8" t="s">
        <v>248</v>
      </c>
      <c r="C8" s="216">
        <f>'Unemployment Insurance'!O19</f>
        <v>236.5</v>
      </c>
      <c r="D8" s="216">
        <f>'Unemployment Insurance'!P19</f>
        <v>0</v>
      </c>
      <c r="E8" s="216">
        <f>'Unemployment Insurance'!Q19</f>
        <v>0</v>
      </c>
      <c r="F8" s="216">
        <f>'Unemployment Insurance'!R19</f>
        <v>0</v>
      </c>
      <c r="G8" s="216">
        <f>'Unemployment Insurance'!S19</f>
        <v>0</v>
      </c>
      <c r="H8" s="216">
        <f>'Unemployment Insurance'!T19</f>
        <v>0</v>
      </c>
      <c r="I8" s="216">
        <f>'Unemployment Insurance'!U19</f>
        <v>0</v>
      </c>
      <c r="J8" s="216">
        <f>'Unemployment Insurance'!V19</f>
        <v>0</v>
      </c>
      <c r="K8" s="216">
        <f>'Unemployment Insurance'!W19</f>
        <v>0</v>
      </c>
      <c r="L8" s="216">
        <f>'Unemployment Insurance'!X19</f>
        <v>0</v>
      </c>
      <c r="M8" s="216">
        <f>'Unemployment Insurance'!Y19</f>
        <v>0</v>
      </c>
      <c r="N8" s="216">
        <f>'Unemployment Insurance'!Z19</f>
        <v>0</v>
      </c>
      <c r="O8" s="216">
        <f>'Unemployment Insurance'!AA19</f>
        <v>0</v>
      </c>
      <c r="P8" s="216">
        <f>'Unemployment Insurance'!AB19</f>
        <v>0</v>
      </c>
      <c r="Q8" s="216">
        <f>'Unemployment Insurance'!AC19</f>
        <v>0</v>
      </c>
    </row>
    <row r="9" spans="1:17" x14ac:dyDescent="0.35">
      <c r="A9" t="s">
        <v>249</v>
      </c>
      <c r="B9" t="s">
        <v>250</v>
      </c>
      <c r="C9" s="216">
        <f>'Unemployment Insurance'!O20</f>
        <v>36.100000000000023</v>
      </c>
      <c r="D9" s="216">
        <f>'Unemployment Insurance'!P20</f>
        <v>32.412642857142878</v>
      </c>
      <c r="E9" s="216">
        <f>'Unemployment Insurance'!Q20</f>
        <v>28.861246753246771</v>
      </c>
      <c r="F9" s="216">
        <f>'Unemployment Insurance'!R20</f>
        <v>26.856993506493524</v>
      </c>
      <c r="G9" s="216">
        <f>'Unemployment Insurance'!S20</f>
        <v>25.893545454545471</v>
      </c>
      <c r="H9" s="216">
        <f>'Unemployment Insurance'!T20</f>
        <v>25.57708441558443</v>
      </c>
      <c r="I9" s="216">
        <f>'Unemployment Insurance'!U20</f>
        <v>25.752896103896116</v>
      </c>
      <c r="J9" s="216">
        <f>'Unemployment Insurance'!V20</f>
        <v>26.1467142857143</v>
      </c>
      <c r="K9" s="216">
        <f>'Unemployment Insurance'!W20</f>
        <v>26.547564935064948</v>
      </c>
      <c r="L9" s="216">
        <f>'Unemployment Insurance'!X20</f>
        <v>26.969512987013001</v>
      </c>
      <c r="M9" s="216">
        <f>'Unemployment Insurance'!Y20</f>
        <v>27.496948051948067</v>
      </c>
      <c r="N9" s="216">
        <f>'Unemployment Insurance'!Z20</f>
        <v>27.932961038961054</v>
      </c>
      <c r="O9" s="216">
        <f>'Unemployment Insurance'!AA20</f>
        <v>28.277551948051961</v>
      </c>
      <c r="P9" s="216">
        <f>'Unemployment Insurance'!AB20</f>
        <v>28.706532467532483</v>
      </c>
      <c r="Q9" s="216">
        <f>'Unemployment Insurance'!AC20</f>
        <v>29.121448051948068</v>
      </c>
    </row>
    <row r="10" spans="1:17" x14ac:dyDescent="0.35">
      <c r="A10" t="s">
        <v>251</v>
      </c>
      <c r="B10" t="s">
        <v>252</v>
      </c>
      <c r="C10" s="216">
        <f>Medicaid!K26</f>
        <v>530.82100000000003</v>
      </c>
      <c r="D10" s="216">
        <f>Medicaid!L26</f>
        <v>538.14001996493334</v>
      </c>
      <c r="E10" s="216">
        <f>Medicaid!M26</f>
        <v>570.27040489328328</v>
      </c>
      <c r="F10" s="216">
        <f>Medicaid!N26</f>
        <v>578.13335771320669</v>
      </c>
      <c r="G10" s="216">
        <f>Medicaid!O26</f>
        <v>532.12913303510197</v>
      </c>
      <c r="H10" s="216">
        <f>Medicaid!P26</f>
        <v>531.19254142829129</v>
      </c>
      <c r="I10" s="216">
        <f>Medicaid!Q26</f>
        <v>532.8055920209647</v>
      </c>
      <c r="J10" s="216">
        <f>Medicaid!R26</f>
        <v>534.42354089818025</v>
      </c>
      <c r="K10" s="216">
        <f>Medicaid!S26</f>
        <v>536.0464029343575</v>
      </c>
      <c r="L10" s="216">
        <f>Medicaid!T26</f>
        <v>558.00706656737646</v>
      </c>
      <c r="M10" s="216">
        <f>Medicaid!U26</f>
        <v>580.86741116936116</v>
      </c>
      <c r="N10" s="216">
        <f>Medicaid!V26</f>
        <v>604.66429472691186</v>
      </c>
      <c r="O10" s="216">
        <f>Medicaid!W26</f>
        <v>629.43608521875183</v>
      </c>
      <c r="P10" s="216">
        <f>Medicaid!X26</f>
        <v>655.22272247684373</v>
      </c>
      <c r="Q10" s="216">
        <f>Medicaid!Y26</f>
        <v>682.06578258182287</v>
      </c>
    </row>
    <row r="11" spans="1:17" x14ac:dyDescent="0.35">
      <c r="A11" t="s">
        <v>253</v>
      </c>
      <c r="B11" t="s">
        <v>254</v>
      </c>
      <c r="C11" s="216">
        <f>Medicaid!K25</f>
        <v>740</v>
      </c>
      <c r="D11" s="216">
        <f>Medicaid!L25</f>
        <v>750.20320366762178</v>
      </c>
      <c r="E11" s="216">
        <f>Medicaid!M25</f>
        <v>760.54709026103137</v>
      </c>
      <c r="F11" s="216">
        <f>Medicaid!N25</f>
        <v>771.03359953231575</v>
      </c>
      <c r="G11" s="216">
        <f>Medicaid!O25</f>
        <v>781.66469797908303</v>
      </c>
      <c r="H11" s="216">
        <f>Medicaid!P25</f>
        <v>784.03834709124271</v>
      </c>
      <c r="I11" s="216">
        <f>Medicaid!Q25</f>
        <v>786.4192041662568</v>
      </c>
      <c r="J11" s="216">
        <f>Medicaid!R25</f>
        <v>788.80729109225035</v>
      </c>
      <c r="K11" s="216">
        <f>Medicaid!S25</f>
        <v>791.20262982381519</v>
      </c>
      <c r="L11" s="216">
        <f>Medicaid!T25</f>
        <v>823.6164931087975</v>
      </c>
      <c r="M11" s="216">
        <f>Medicaid!U25</f>
        <v>857.35828238069348</v>
      </c>
      <c r="N11" s="216">
        <f>Medicaid!V25</f>
        <v>892.48239989977117</v>
      </c>
      <c r="O11" s="216">
        <f>Medicaid!W25</f>
        <v>929.04547666942995</v>
      </c>
      <c r="P11" s="216">
        <f>Medicaid!X25</f>
        <v>967.10646374299392</v>
      </c>
      <c r="Q11" s="216">
        <f>Medicaid!Y25</f>
        <v>1006.726727271148</v>
      </c>
    </row>
    <row r="12" spans="1:17" x14ac:dyDescent="0.35">
      <c r="A12" t="s">
        <v>76</v>
      </c>
      <c r="B12" t="s">
        <v>255</v>
      </c>
      <c r="C12" s="216">
        <f>Medicare!O10</f>
        <v>826.5</v>
      </c>
      <c r="D12" s="216">
        <f>Medicare!P10</f>
        <v>840.90322653846329</v>
      </c>
      <c r="E12" s="216">
        <f>Medicare!Q10</f>
        <v>840.36452608091781</v>
      </c>
      <c r="F12" s="216">
        <f>Medicare!R10</f>
        <v>856.11491844085015</v>
      </c>
      <c r="G12" s="216">
        <f>Medicare!S10</f>
        <v>858.15980902786953</v>
      </c>
      <c r="H12" s="216">
        <f>Medicare!T10</f>
        <v>874.5047043210385</v>
      </c>
      <c r="I12" s="216">
        <f>Medicare!U10</f>
        <v>891.12996993440447</v>
      </c>
      <c r="J12" s="216">
        <f>Medicare!V10</f>
        <v>908.06562072077816</v>
      </c>
      <c r="K12" s="216">
        <f>Medicare!W10</f>
        <v>925.31745141197712</v>
      </c>
      <c r="L12" s="216">
        <f>Medicare!X10</f>
        <v>942.89136492448665</v>
      </c>
      <c r="M12" s="216">
        <f>Medicare!Y10</f>
        <v>960.53728015007744</v>
      </c>
      <c r="N12" s="216">
        <f>Medicare!Z10</f>
        <v>978.50792280104577</v>
      </c>
      <c r="O12" s="216">
        <f>Medicare!AA10</f>
        <v>996.8092686456896</v>
      </c>
      <c r="P12" s="216">
        <f>Medicare!AB10</f>
        <v>1015.4474034208649</v>
      </c>
      <c r="Q12" s="216">
        <f>Medicare!AC10</f>
        <v>1034.4285248556728</v>
      </c>
    </row>
    <row r="13" spans="1:17" x14ac:dyDescent="0.35">
      <c r="A13" t="s">
        <v>256</v>
      </c>
      <c r="B13" t="s">
        <v>257</v>
      </c>
      <c r="C13" s="216">
        <f>'Rebate Checks'!O11</f>
        <v>0</v>
      </c>
      <c r="D13" s="216">
        <f>'Rebate Checks'!P11</f>
        <v>0</v>
      </c>
      <c r="E13" s="216">
        <f>'Rebate Checks'!Q11</f>
        <v>0</v>
      </c>
      <c r="F13" s="216">
        <f>'Rebate Checks'!R11</f>
        <v>0</v>
      </c>
      <c r="G13" s="216">
        <f>'Rebate Checks'!S11</f>
        <v>0</v>
      </c>
      <c r="H13" s="216">
        <f>'Rebate Checks'!T11</f>
        <v>0</v>
      </c>
      <c r="I13" s="216">
        <f>'Rebate Checks'!U11</f>
        <v>0</v>
      </c>
      <c r="J13" s="216">
        <f>'Rebate Checks'!V11</f>
        <v>0</v>
      </c>
      <c r="K13" s="216">
        <f>'Rebate Checks'!W11</f>
        <v>0</v>
      </c>
      <c r="L13" s="216">
        <f>'Rebate Checks'!X11</f>
        <v>0</v>
      </c>
      <c r="M13" s="216">
        <f>'Rebate Checks'!Y11</f>
        <v>0</v>
      </c>
      <c r="N13" s="216">
        <f>'Rebate Checks'!Z11</f>
        <v>0</v>
      </c>
      <c r="O13" s="216">
        <f>'Rebate Checks'!AA11</f>
        <v>0</v>
      </c>
      <c r="P13" s="216">
        <f>'Rebate Checks'!AB11</f>
        <v>0</v>
      </c>
      <c r="Q13" s="216">
        <f>'Rebate Checks'!AC11</f>
        <v>0</v>
      </c>
    </row>
    <row r="14" spans="1:17" x14ac:dyDescent="0.35">
      <c r="A14" t="s">
        <v>258</v>
      </c>
      <c r="B14" t="s">
        <v>259</v>
      </c>
      <c r="C14" s="216">
        <f>'Rebate Checks'!O10</f>
        <v>38.9</v>
      </c>
      <c r="D14" s="216">
        <f>'Rebate Checks'!P10</f>
        <v>0</v>
      </c>
      <c r="E14" s="216">
        <f>'Rebate Checks'!Q10</f>
        <v>14.93</v>
      </c>
      <c r="F14" s="216">
        <f>'Rebate Checks'!R10</f>
        <v>14.93</v>
      </c>
      <c r="G14" s="216">
        <f>'Rebate Checks'!S10</f>
        <v>0</v>
      </c>
      <c r="H14" s="216">
        <f>'Rebate Checks'!T10</f>
        <v>0</v>
      </c>
      <c r="I14" s="216">
        <f>'Rebate Checks'!U10</f>
        <v>0</v>
      </c>
      <c r="J14" s="216">
        <f>'Rebate Checks'!V10</f>
        <v>0</v>
      </c>
      <c r="K14" s="216">
        <f>'Rebate Checks'!W10</f>
        <v>0</v>
      </c>
      <c r="L14" s="216">
        <f>'Rebate Checks'!X10</f>
        <v>0</v>
      </c>
      <c r="M14" s="216">
        <f>'Rebate Checks'!Y10</f>
        <v>0</v>
      </c>
      <c r="N14" s="216">
        <f>'Rebate Checks'!Z10</f>
        <v>0</v>
      </c>
      <c r="O14" s="216">
        <f>'Rebate Checks'!AA10</f>
        <v>0</v>
      </c>
      <c r="P14" s="216">
        <f>'Rebate Checks'!AB10</f>
        <v>0</v>
      </c>
      <c r="Q14" s="216">
        <f>'Rebate Checks'!AC10</f>
        <v>0</v>
      </c>
    </row>
    <row r="15" spans="1:17" x14ac:dyDescent="0.35">
      <c r="A15" t="s">
        <v>260</v>
      </c>
      <c r="B15" t="s">
        <v>261</v>
      </c>
      <c r="C15" s="216">
        <f>'Social Benefits'!O25</f>
        <v>137.43936000000005</v>
      </c>
      <c r="D15" s="216">
        <f>'Social Benefits'!P25</f>
        <v>52.756999999999998</v>
      </c>
      <c r="E15" s="216">
        <f>'Social Benefits'!Q25</f>
        <v>52.756999999999998</v>
      </c>
      <c r="F15" s="216">
        <f>'Social Benefits'!R25</f>
        <v>52.756999999999998</v>
      </c>
      <c r="G15" s="216">
        <f>'Social Benefits'!S25</f>
        <v>52.756999999999998</v>
      </c>
      <c r="H15" s="216">
        <f>'Social Benefits'!T25</f>
        <v>12</v>
      </c>
      <c r="I15" s="216">
        <f>'Social Benefits'!U25</f>
        <v>12</v>
      </c>
      <c r="J15" s="216">
        <f>'Social Benefits'!V25</f>
        <v>12</v>
      </c>
      <c r="K15" s="216">
        <f>'Social Benefits'!W25</f>
        <v>12</v>
      </c>
      <c r="L15" s="216">
        <f>'Social Benefits'!X25</f>
        <v>4.2219999999999995</v>
      </c>
      <c r="M15" s="216">
        <f>'Social Benefits'!Y25</f>
        <v>4.2219999999999995</v>
      </c>
      <c r="N15" s="216">
        <f>'Social Benefits'!Z25</f>
        <v>4.2219999999999995</v>
      </c>
      <c r="O15" s="216">
        <f>'Social Benefits'!AA25</f>
        <v>4.2219999999999995</v>
      </c>
      <c r="P15" s="216">
        <f>'Social Benefits'!AB25</f>
        <v>2.3719999999999999</v>
      </c>
      <c r="Q15" s="216">
        <f>'Social Benefits'!AC25</f>
        <v>2.3719999999999999</v>
      </c>
    </row>
    <row r="16" spans="1:17" x14ac:dyDescent="0.35">
      <c r="A16" t="s">
        <v>1255</v>
      </c>
      <c r="B16" t="s">
        <v>263</v>
      </c>
      <c r="C16" s="216">
        <f>'Social Benefits'!O26</f>
        <v>40.50400000000004</v>
      </c>
      <c r="D16" s="216">
        <f>'Social Benefits'!P26</f>
        <v>31.919000000000004</v>
      </c>
      <c r="E16" s="216">
        <f>'Social Benefits'!Q26</f>
        <v>19.719000000000005</v>
      </c>
      <c r="F16" s="216">
        <f>'Social Benefits'!R26</f>
        <v>19.719000000000005</v>
      </c>
      <c r="G16" s="216">
        <f>'Social Benefits'!S26</f>
        <v>19.719000000000005</v>
      </c>
      <c r="H16" s="216">
        <f>'Social Benefits'!T26</f>
        <v>1.4159999999999999</v>
      </c>
      <c r="I16" s="216">
        <f>'Social Benefits'!U26</f>
        <v>1.4159999999999999</v>
      </c>
      <c r="J16" s="216">
        <f>'Social Benefits'!V26</f>
        <v>1.4159999999999999</v>
      </c>
      <c r="K16" s="216">
        <f>'Social Benefits'!W26</f>
        <v>1.4159999999999999</v>
      </c>
      <c r="L16" s="216">
        <f>'Social Benefits'!X26</f>
        <v>1.4790000000000001</v>
      </c>
      <c r="M16" s="216">
        <f>'Social Benefits'!Y26</f>
        <v>1.4790000000000001</v>
      </c>
      <c r="N16" s="216">
        <f>'Social Benefits'!Z26</f>
        <v>1.4790000000000001</v>
      </c>
      <c r="O16" s="216">
        <f>'Social Benefits'!AA26</f>
        <v>1.4790000000000001</v>
      </c>
      <c r="P16" s="216">
        <f>'Social Benefits'!AB26</f>
        <v>1.63</v>
      </c>
      <c r="Q16" s="216">
        <f>'Social Benefits'!AC26</f>
        <v>1.63</v>
      </c>
    </row>
    <row r="17" spans="1:17" x14ac:dyDescent="0.35">
      <c r="A17" t="s">
        <v>264</v>
      </c>
      <c r="B17" t="s">
        <v>265</v>
      </c>
      <c r="C17" s="216">
        <f>'Social Benefits'!O23</f>
        <v>1819.8643900000011</v>
      </c>
      <c r="D17" s="216">
        <f>'Social Benefits'!P23</f>
        <v>1814.3550133112776</v>
      </c>
      <c r="E17" s="216">
        <f>'Social Benefits'!Q23</f>
        <v>1846.9743107398242</v>
      </c>
      <c r="F17" s="216">
        <f>'Social Benefits'!R23</f>
        <v>1849.0743107398243</v>
      </c>
      <c r="G17" s="216">
        <f>'Social Benefits'!S23</f>
        <v>1809.1743107398245</v>
      </c>
      <c r="H17" s="216">
        <f>'Social Benefits'!T23</f>
        <v>1811.2743107398246</v>
      </c>
      <c r="I17" s="216">
        <f>'Social Benefits'!U23</f>
        <v>1892.7621102189325</v>
      </c>
      <c r="J17" s="216">
        <f>'Social Benefits'!V23</f>
        <v>1899.8621102189327</v>
      </c>
      <c r="K17" s="216">
        <f>'Social Benefits'!W23</f>
        <v>1906.9621102189328</v>
      </c>
      <c r="L17" s="216">
        <f>'Social Benefits'!X23</f>
        <v>1914.062110218933</v>
      </c>
      <c r="M17" s="216">
        <f>'Social Benefits'!Y23</f>
        <v>1991.4556144275864</v>
      </c>
      <c r="N17" s="216">
        <f>'Social Benefits'!Z23</f>
        <v>1998.5556144275865</v>
      </c>
      <c r="O17" s="216">
        <f>'Social Benefits'!AA23</f>
        <v>2005.6556144275867</v>
      </c>
      <c r="P17" s="216">
        <f>'Social Benefits'!AB23</f>
        <v>2012.7556144275868</v>
      </c>
      <c r="Q17" s="216">
        <f>'Social Benefits'!AC23</f>
        <v>2019.8556144275869</v>
      </c>
    </row>
    <row r="18" spans="1:17" x14ac:dyDescent="0.35">
      <c r="A18" t="s">
        <v>266</v>
      </c>
      <c r="B18" t="s">
        <v>267</v>
      </c>
      <c r="C18" s="216">
        <f>'Social Benefits'!O31</f>
        <v>157.39999999999998</v>
      </c>
      <c r="D18" s="216">
        <f>'Social Benefits'!P31</f>
        <v>159.29290606014339</v>
      </c>
      <c r="E18" s="216">
        <f>'Social Benefits'!Q31</f>
        <v>161.20857637284416</v>
      </c>
      <c r="F18" s="216">
        <f>'Social Benefits'!R31</f>
        <v>163.14728470297916</v>
      </c>
      <c r="G18" s="216">
        <f>'Social Benefits'!S31</f>
        <v>165.10930810774545</v>
      </c>
      <c r="H18" s="216">
        <f>'Social Benefits'!T31</f>
        <v>167.09492697625396</v>
      </c>
      <c r="I18" s="216">
        <f>'Social Benefits'!U31</f>
        <v>169.10442506959942</v>
      </c>
      <c r="J18" s="216">
        <f>'Social Benefits'!V31</f>
        <v>171.13808956141207</v>
      </c>
      <c r="K18" s="216">
        <f>'Social Benefits'!W31</f>
        <v>173.19621107889725</v>
      </c>
      <c r="L18" s="216">
        <f>'Social Benefits'!X31</f>
        <v>175.27908374436817</v>
      </c>
      <c r="M18" s="216">
        <f>'Social Benefits'!Y31</f>
        <v>177.38700521727858</v>
      </c>
      <c r="N18" s="216">
        <f>'Social Benefits'!Z31</f>
        <v>179.52027673676068</v>
      </c>
      <c r="O18" s="216">
        <f>'Social Benefits'!AA31</f>
        <v>181.6792031646745</v>
      </c>
      <c r="P18" s="216">
        <f>'Social Benefits'!AB31</f>
        <v>183.86409302917539</v>
      </c>
      <c r="Q18" s="216">
        <f>'Social Benefits'!AC31</f>
        <v>186.075258568805</v>
      </c>
    </row>
    <row r="19" spans="1:17" x14ac:dyDescent="0.35">
      <c r="A19" t="s">
        <v>268</v>
      </c>
      <c r="B19" t="s">
        <v>269</v>
      </c>
      <c r="C19" s="216">
        <f>Taxes!O9</f>
        <v>3739.4999999999995</v>
      </c>
      <c r="D19" s="216">
        <f>Taxes!P9</f>
        <v>3790.3567636578086</v>
      </c>
      <c r="E19" s="216">
        <f>Taxes!Q9</f>
        <v>3785.9222713714485</v>
      </c>
      <c r="F19" s="216">
        <f>Taxes!R9</f>
        <v>3836.0261744822378</v>
      </c>
      <c r="G19" s="216">
        <f>Taxes!S9</f>
        <v>3882.096262937343</v>
      </c>
      <c r="H19" s="216">
        <f>Taxes!T9</f>
        <v>3925.0470587742493</v>
      </c>
      <c r="I19" s="216">
        <f>Taxes!U9</f>
        <v>3959.4970733399186</v>
      </c>
      <c r="J19" s="216">
        <f>Taxes!V9</f>
        <v>3998.2650613759206</v>
      </c>
      <c r="K19" s="216">
        <f>Taxes!W9</f>
        <v>4036.7059599652966</v>
      </c>
      <c r="L19" s="216">
        <f>Taxes!X9</f>
        <v>4074.3305460849683</v>
      </c>
      <c r="M19" s="216">
        <f>Taxes!Y9</f>
        <v>4110.6880372649321</v>
      </c>
      <c r="N19" s="216">
        <f>Taxes!Z9</f>
        <v>4146.6966412214333</v>
      </c>
      <c r="O19" s="216">
        <f>Taxes!AA9</f>
        <v>4184.3468116836821</v>
      </c>
      <c r="P19" s="216">
        <f>Taxes!AB9</f>
        <v>4222.0255613752315</v>
      </c>
      <c r="Q19" s="216">
        <f>Taxes!AC9</f>
        <v>4260.7927835440778</v>
      </c>
    </row>
    <row r="20" spans="1:17" x14ac:dyDescent="0.35">
      <c r="A20" t="s">
        <v>270</v>
      </c>
      <c r="B20" t="s">
        <v>271</v>
      </c>
      <c r="C20" s="216">
        <f>Taxes!O16</f>
        <v>2105.9</v>
      </c>
      <c r="D20" s="216">
        <f>Taxes!P16</f>
        <v>2120.9227646076561</v>
      </c>
      <c r="E20" s="216">
        <f>Taxes!Q16</f>
        <v>2150.1214626082142</v>
      </c>
      <c r="F20" s="216">
        <f>Taxes!R16</f>
        <v>2178.3025304043881</v>
      </c>
      <c r="G20" s="216">
        <f>Taxes!S16</f>
        <v>2207.6291426343887</v>
      </c>
      <c r="H20" s="216">
        <f>Taxes!T16</f>
        <v>2234.5192049980928</v>
      </c>
      <c r="I20" s="216">
        <f>Taxes!U16</f>
        <v>2258.6479016494136</v>
      </c>
      <c r="J20" s="216">
        <f>Taxes!V16</f>
        <v>2281.4446722707116</v>
      </c>
      <c r="K20" s="216">
        <f>Taxes!W16</f>
        <v>2304.1429547281373</v>
      </c>
      <c r="L20" s="216">
        <f>Taxes!X16</f>
        <v>2325.6941437487076</v>
      </c>
      <c r="M20" s="216">
        <f>Taxes!Y16</f>
        <v>2346.2482634367179</v>
      </c>
      <c r="N20" s="216">
        <f>Taxes!Z16</f>
        <v>2366.7752749938418</v>
      </c>
      <c r="O20" s="216">
        <f>Taxes!AA16</f>
        <v>2388.1951121347661</v>
      </c>
      <c r="P20" s="216">
        <f>Taxes!AB16</f>
        <v>2408.6962876467583</v>
      </c>
      <c r="Q20" s="216">
        <f>Taxes!AC16</f>
        <v>2430.550117671296</v>
      </c>
    </row>
    <row r="21" spans="1:17" x14ac:dyDescent="0.35">
      <c r="A21" t="s">
        <v>272</v>
      </c>
      <c r="B21" t="s">
        <v>273</v>
      </c>
      <c r="C21" s="216">
        <f>Taxes!O13</f>
        <v>290.01506024096392</v>
      </c>
      <c r="D21" s="216">
        <f>Taxes!P13</f>
        <v>293.3295180722892</v>
      </c>
      <c r="E21" s="216">
        <f>Taxes!Q13</f>
        <v>344.48724035608313</v>
      </c>
      <c r="F21" s="216">
        <f>Taxes!R13</f>
        <v>350.43471810089022</v>
      </c>
      <c r="G21" s="216">
        <f>Taxes!S13</f>
        <v>352.06735905044513</v>
      </c>
      <c r="H21" s="216">
        <f>Taxes!T13</f>
        <v>351.83412462908012</v>
      </c>
      <c r="I21" s="216">
        <f>Taxes!U13</f>
        <v>350.08486646884273</v>
      </c>
      <c r="J21" s="216">
        <f>Taxes!V13</f>
        <v>347.05281899109792</v>
      </c>
      <c r="K21" s="216">
        <f>Taxes!W13</f>
        <v>345.18694362017806</v>
      </c>
      <c r="L21" s="216">
        <f>Taxes!X13</f>
        <v>345.18694362017806</v>
      </c>
      <c r="M21" s="216">
        <f>Taxes!Y13</f>
        <v>344.67382789317509</v>
      </c>
      <c r="N21" s="216">
        <f>Taxes!Z13</f>
        <v>346.36477744807127</v>
      </c>
      <c r="O21" s="216">
        <f>Taxes!AA13</f>
        <v>347.79916913946596</v>
      </c>
      <c r="P21" s="216">
        <f>Taxes!AB13</f>
        <v>349.7700000000001</v>
      </c>
      <c r="Q21" s="216">
        <f>Taxes!AC13</f>
        <v>350.71459940652824</v>
      </c>
    </row>
    <row r="22" spans="1:17" x14ac:dyDescent="0.35">
      <c r="A22" t="s">
        <v>274</v>
      </c>
      <c r="B22" t="s">
        <v>275</v>
      </c>
      <c r="C22" s="216">
        <f>Taxes!O20</f>
        <v>119.87954743783622</v>
      </c>
      <c r="D22" s="216">
        <f>Taxes!P20</f>
        <v>169.23178899387719</v>
      </c>
      <c r="E22" s="216">
        <f>Taxes!Q20</f>
        <v>166.13848610432476</v>
      </c>
      <c r="F22" s="216">
        <f>Taxes!R20</f>
        <v>169.00682151100062</v>
      </c>
      <c r="G22" s="216">
        <f>Taxes!S20</f>
        <v>169.79420770106853</v>
      </c>
      <c r="H22" s="216">
        <f>Taxes!T20</f>
        <v>169.68172395963026</v>
      </c>
      <c r="I22" s="216">
        <f>Taxes!U20</f>
        <v>168.83809589884322</v>
      </c>
      <c r="J22" s="216">
        <f>Taxes!V20</f>
        <v>167.37580726014573</v>
      </c>
      <c r="K22" s="216">
        <f>Taxes!W20</f>
        <v>166.47593732863956</v>
      </c>
      <c r="L22" s="216">
        <f>Taxes!X20</f>
        <v>166.47593732863956</v>
      </c>
      <c r="M22" s="216">
        <f>Taxes!Y20</f>
        <v>166.22847309747536</v>
      </c>
      <c r="N22" s="216">
        <f>Taxes!Z20</f>
        <v>167.04398022290283</v>
      </c>
      <c r="O22" s="216">
        <f>Taxes!AA20</f>
        <v>167.7357552327482</v>
      </c>
      <c r="P22" s="216">
        <f>Taxes!AB20</f>
        <v>168.68624284790158</v>
      </c>
      <c r="Q22" s="216">
        <f>Taxes!AC20</f>
        <v>169.14180200072656</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039" t="s">
        <v>278</v>
      </c>
      <c r="C1" s="1039"/>
      <c r="D1" s="1039"/>
      <c r="E1" s="1039"/>
      <c r="F1" s="1039"/>
      <c r="G1" s="1039"/>
      <c r="H1" s="1039"/>
      <c r="I1" s="1039"/>
      <c r="J1" s="1039"/>
      <c r="K1" s="1039"/>
    </row>
    <row r="2" spans="2:11" x14ac:dyDescent="0.35">
      <c r="B2" s="1040" t="s">
        <v>279</v>
      </c>
      <c r="C2" s="1040"/>
      <c r="D2" s="1040"/>
      <c r="E2" s="1040"/>
      <c r="F2" s="1040"/>
      <c r="G2" s="1040"/>
      <c r="H2" s="1040"/>
      <c r="I2" s="1040"/>
      <c r="J2" s="1040"/>
      <c r="K2" s="1040"/>
    </row>
    <row r="3" spans="2:11" x14ac:dyDescent="0.35">
      <c r="B3" s="1040"/>
      <c r="C3" s="1040"/>
      <c r="D3" s="1040"/>
      <c r="E3" s="1040"/>
      <c r="F3" s="1040"/>
      <c r="G3" s="1040"/>
      <c r="H3" s="1040"/>
      <c r="I3" s="1040"/>
      <c r="J3" s="1040"/>
      <c r="K3" s="1040"/>
    </row>
    <row r="4" spans="2:11" x14ac:dyDescent="0.35">
      <c r="B4" s="1040"/>
      <c r="C4" s="1040"/>
      <c r="D4" s="1040"/>
      <c r="E4" s="1040"/>
      <c r="F4" s="1040"/>
      <c r="G4" s="1040"/>
      <c r="H4" s="1040"/>
      <c r="I4" s="1040"/>
      <c r="J4" s="1040"/>
      <c r="K4" s="1040"/>
    </row>
    <row r="7" spans="2:11" x14ac:dyDescent="0.35">
      <c r="B7" t="s">
        <v>129</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M42" sqref="M42"/>
    </sheetView>
  </sheetViews>
  <sheetFormatPr defaultColWidth="8.81640625" defaultRowHeight="14.5" x14ac:dyDescent="0.35"/>
  <cols>
    <col min="2" max="2" width="6.453125" customWidth="1"/>
    <col min="3" max="3" width="65" customWidth="1"/>
    <col min="4" max="4" width="11" customWidth="1"/>
    <col min="5" max="7" width="10.1796875" customWidth="1"/>
    <col min="10" max="10" width="13.54296875" customWidth="1"/>
    <col min="11" max="11" width="15.453125" customWidth="1"/>
  </cols>
  <sheetData>
    <row r="1" spans="2:17" x14ac:dyDescent="0.35">
      <c r="B1" s="1039" t="s">
        <v>278</v>
      </c>
      <c r="C1" s="1039"/>
      <c r="D1" s="1039"/>
      <c r="E1" s="1039"/>
      <c r="F1" s="1039"/>
      <c r="G1" s="1039"/>
      <c r="H1" s="1039"/>
      <c r="I1" s="1039"/>
      <c r="J1" s="1039"/>
      <c r="K1" s="1039"/>
    </row>
    <row r="2" spans="2:17" ht="14.5" customHeight="1" x14ac:dyDescent="0.35">
      <c r="B2" s="1040" t="s">
        <v>279</v>
      </c>
      <c r="C2" s="1040"/>
      <c r="D2" s="1040"/>
      <c r="E2" s="1040"/>
      <c r="F2" s="1040"/>
      <c r="G2" s="1040"/>
      <c r="H2" s="1040"/>
      <c r="I2" s="1040"/>
      <c r="J2" s="1040"/>
      <c r="K2" s="1040"/>
    </row>
    <row r="3" spans="2:17" x14ac:dyDescent="0.35">
      <c r="B3" s="1040"/>
      <c r="C3" s="1040"/>
      <c r="D3" s="1040"/>
      <c r="E3" s="1040"/>
      <c r="F3" s="1040"/>
      <c r="G3" s="1040"/>
      <c r="H3" s="1040"/>
      <c r="I3" s="1040"/>
      <c r="J3" s="1040"/>
      <c r="K3" s="1040"/>
    </row>
    <row r="4" spans="2:17" x14ac:dyDescent="0.35">
      <c r="B4" s="1040"/>
      <c r="C4" s="1040"/>
      <c r="D4" s="1040"/>
      <c r="E4" s="1040"/>
      <c r="F4" s="1040"/>
      <c r="G4" s="1040"/>
      <c r="H4" s="1040"/>
      <c r="I4" s="1040"/>
      <c r="J4" s="1040"/>
      <c r="K4" s="1040"/>
    </row>
    <row r="5" spans="2:17" x14ac:dyDescent="0.35">
      <c r="B5" s="1048"/>
      <c r="C5" s="1048"/>
      <c r="D5" s="1048"/>
      <c r="E5" s="1048"/>
      <c r="F5" s="308"/>
      <c r="G5" s="308"/>
    </row>
    <row r="6" spans="2:17" x14ac:dyDescent="0.35">
      <c r="B6" s="819"/>
      <c r="C6" s="919"/>
      <c r="D6" s="1049">
        <v>2021</v>
      </c>
      <c r="E6" s="1050"/>
      <c r="F6" s="1050"/>
      <c r="G6" s="1050"/>
      <c r="H6" s="1050"/>
      <c r="I6" s="1050"/>
      <c r="J6" s="1050"/>
      <c r="K6" s="1051"/>
    </row>
    <row r="7" spans="2:17" ht="58" x14ac:dyDescent="0.35">
      <c r="B7" s="820"/>
      <c r="C7" s="465" t="s">
        <v>280</v>
      </c>
      <c r="D7" s="284" t="s">
        <v>281</v>
      </c>
      <c r="E7" s="284" t="s">
        <v>282</v>
      </c>
      <c r="F7" s="284" t="s">
        <v>283</v>
      </c>
      <c r="G7" s="284" t="s">
        <v>284</v>
      </c>
      <c r="H7" s="818" t="s">
        <v>285</v>
      </c>
      <c r="I7" s="685" t="s">
        <v>286</v>
      </c>
      <c r="J7" s="791" t="s">
        <v>287</v>
      </c>
      <c r="K7" s="844" t="s">
        <v>288</v>
      </c>
      <c r="L7" s="1" t="s">
        <v>289</v>
      </c>
      <c r="M7" s="1" t="s">
        <v>290</v>
      </c>
    </row>
    <row r="8" spans="2:17" x14ac:dyDescent="0.35">
      <c r="B8" s="821">
        <v>1</v>
      </c>
      <c r="C8" s="827" t="s">
        <v>291</v>
      </c>
      <c r="D8" s="792">
        <v>21504.5</v>
      </c>
      <c r="E8" s="793">
        <v>19955.099999999999</v>
      </c>
      <c r="F8" s="794">
        <v>24142.400000000001</v>
      </c>
      <c r="G8" s="793">
        <v>20848.2</v>
      </c>
      <c r="H8" s="794">
        <v>20404.599999999999</v>
      </c>
      <c r="I8" s="794">
        <v>20441.8</v>
      </c>
      <c r="J8" s="795">
        <v>20667.7</v>
      </c>
      <c r="K8" s="795">
        <v>20716.7</v>
      </c>
    </row>
    <row r="9" spans="2:17" x14ac:dyDescent="0.35">
      <c r="B9" s="821">
        <v>2</v>
      </c>
      <c r="C9" s="828" t="s">
        <v>292</v>
      </c>
      <c r="D9" s="796">
        <v>12088.1</v>
      </c>
      <c r="E9" s="797">
        <v>12049.5</v>
      </c>
      <c r="F9" s="798">
        <v>12129.2</v>
      </c>
      <c r="G9" s="797">
        <v>12216.6</v>
      </c>
      <c r="H9" s="798">
        <v>12296.1</v>
      </c>
      <c r="I9" s="798">
        <v>12391</v>
      </c>
      <c r="J9" s="799">
        <v>12500.9</v>
      </c>
      <c r="K9" s="799">
        <v>12574.7</v>
      </c>
    </row>
    <row r="10" spans="2:17" x14ac:dyDescent="0.35">
      <c r="B10" s="820">
        <v>3</v>
      </c>
      <c r="C10" s="829" t="s">
        <v>293</v>
      </c>
      <c r="D10" s="800">
        <v>9879.5</v>
      </c>
      <c r="E10" s="801">
        <v>9843.2999999999993</v>
      </c>
      <c r="F10" s="802">
        <v>9914.9</v>
      </c>
      <c r="G10" s="801">
        <v>9996</v>
      </c>
      <c r="H10" s="802">
        <v>10067.4</v>
      </c>
      <c r="I10" s="802">
        <v>10152.9</v>
      </c>
      <c r="J10" s="803">
        <v>10251.4</v>
      </c>
      <c r="K10" s="803">
        <v>10318.299999999999</v>
      </c>
    </row>
    <row r="11" spans="2:17" x14ac:dyDescent="0.35">
      <c r="B11" s="820">
        <v>4</v>
      </c>
      <c r="C11" s="830" t="s">
        <v>294</v>
      </c>
      <c r="D11" s="804">
        <v>8376.4</v>
      </c>
      <c r="E11" s="309">
        <v>8343.7000000000007</v>
      </c>
      <c r="F11" s="805">
        <v>8409.2999999999993</v>
      </c>
      <c r="G11" s="309">
        <v>8484.5</v>
      </c>
      <c r="H11" s="805">
        <v>8550.2999999999993</v>
      </c>
      <c r="I11" s="805">
        <v>8623.2000000000007</v>
      </c>
      <c r="J11" s="806">
        <v>8705.6</v>
      </c>
      <c r="K11" s="806">
        <v>8769.5</v>
      </c>
    </row>
    <row r="12" spans="2:17" x14ac:dyDescent="0.35">
      <c r="B12" s="820">
        <v>5</v>
      </c>
      <c r="C12" s="829" t="s">
        <v>295</v>
      </c>
      <c r="D12" s="800">
        <v>1503</v>
      </c>
      <c r="E12" s="801">
        <v>1499.6</v>
      </c>
      <c r="F12" s="802">
        <v>1505.6</v>
      </c>
      <c r="G12" s="801">
        <v>1511.5</v>
      </c>
      <c r="H12" s="802">
        <v>1517.1</v>
      </c>
      <c r="I12" s="802">
        <v>1529.6</v>
      </c>
      <c r="J12" s="803">
        <v>1545.8</v>
      </c>
      <c r="K12" s="803">
        <v>1548.8</v>
      </c>
    </row>
    <row r="13" spans="2:17" x14ac:dyDescent="0.35">
      <c r="B13" s="820">
        <v>6</v>
      </c>
      <c r="C13" s="830" t="s">
        <v>296</v>
      </c>
      <c r="D13" s="804">
        <v>2208.6</v>
      </c>
      <c r="E13" s="309">
        <v>2206.1999999999998</v>
      </c>
      <c r="F13" s="805">
        <v>2214.4</v>
      </c>
      <c r="G13" s="309">
        <v>2220.6999999999998</v>
      </c>
      <c r="H13" s="805">
        <v>2228.6</v>
      </c>
      <c r="I13" s="805">
        <v>2238.1999999999998</v>
      </c>
      <c r="J13" s="806">
        <v>2249.5</v>
      </c>
      <c r="K13" s="806">
        <v>2256.4</v>
      </c>
    </row>
    <row r="14" spans="2:17" x14ac:dyDescent="0.35">
      <c r="B14" s="821">
        <v>7</v>
      </c>
      <c r="C14" s="831" t="s">
        <v>297</v>
      </c>
      <c r="D14" s="807">
        <v>1643.8</v>
      </c>
      <c r="E14" s="793">
        <v>1693.8</v>
      </c>
      <c r="F14" s="808">
        <v>1804.2</v>
      </c>
      <c r="G14" s="793">
        <v>1817.9</v>
      </c>
      <c r="H14" s="808">
        <v>1840.7</v>
      </c>
      <c r="I14" s="808">
        <v>1855.9</v>
      </c>
      <c r="J14" s="809">
        <v>1851.9</v>
      </c>
      <c r="K14" s="809">
        <v>1830</v>
      </c>
      <c r="N14" s="823"/>
    </row>
    <row r="15" spans="2:17" x14ac:dyDescent="0.35">
      <c r="B15" s="820">
        <v>8</v>
      </c>
      <c r="C15" s="830" t="s">
        <v>298</v>
      </c>
      <c r="D15" s="804">
        <v>66.900000000000006</v>
      </c>
      <c r="E15" s="309">
        <v>72.599999999999994</v>
      </c>
      <c r="F15" s="805">
        <v>79.599999999999994</v>
      </c>
      <c r="G15" s="309">
        <v>97</v>
      </c>
      <c r="H15" s="805">
        <v>108.5</v>
      </c>
      <c r="I15" s="805">
        <v>120</v>
      </c>
      <c r="J15" s="806">
        <v>112.7</v>
      </c>
      <c r="K15" s="806">
        <v>113.4</v>
      </c>
      <c r="P15" t="s">
        <v>299</v>
      </c>
      <c r="Q15" t="s">
        <v>300</v>
      </c>
    </row>
    <row r="16" spans="2:17" x14ac:dyDescent="0.35">
      <c r="B16" s="820"/>
      <c r="C16" s="832" t="s">
        <v>301</v>
      </c>
      <c r="D16" s="800" t="s">
        <v>302</v>
      </c>
      <c r="E16" s="801" t="s">
        <v>302</v>
      </c>
      <c r="F16" s="802" t="s">
        <v>302</v>
      </c>
      <c r="G16" s="801" t="s">
        <v>302</v>
      </c>
      <c r="H16" s="802" t="s">
        <v>302</v>
      </c>
      <c r="I16" s="802" t="s">
        <v>302</v>
      </c>
      <c r="J16" s="803" t="s">
        <v>302</v>
      </c>
      <c r="K16" s="803" t="s">
        <v>302</v>
      </c>
    </row>
    <row r="17" spans="2:17" ht="16.5" x14ac:dyDescent="0.35">
      <c r="B17" s="820">
        <v>9</v>
      </c>
      <c r="C17" s="829" t="s">
        <v>303</v>
      </c>
      <c r="D17" s="800">
        <v>2.4</v>
      </c>
      <c r="E17" s="801">
        <v>0.4</v>
      </c>
      <c r="F17" s="802">
        <v>0</v>
      </c>
      <c r="G17" s="801">
        <v>3</v>
      </c>
      <c r="H17" s="802">
        <v>1.4</v>
      </c>
      <c r="I17" s="802">
        <v>0.9</v>
      </c>
      <c r="J17" s="803">
        <v>0.4</v>
      </c>
      <c r="K17" s="803">
        <v>12.7</v>
      </c>
    </row>
    <row r="18" spans="2:17" ht="16.5" x14ac:dyDescent="0.35">
      <c r="B18" s="820">
        <v>10</v>
      </c>
      <c r="C18" s="833" t="s">
        <v>304</v>
      </c>
      <c r="D18" s="804">
        <v>1.8</v>
      </c>
      <c r="E18" s="309">
        <v>5</v>
      </c>
      <c r="F18" s="805">
        <v>7.9</v>
      </c>
      <c r="G18" s="309">
        <v>10.4</v>
      </c>
      <c r="H18" s="805">
        <v>11.8</v>
      </c>
      <c r="I18" s="805">
        <v>11.8</v>
      </c>
      <c r="J18" s="806">
        <v>10.199999999999999</v>
      </c>
      <c r="K18" s="806">
        <v>6.9</v>
      </c>
      <c r="L18" s="823">
        <v>6</v>
      </c>
      <c r="M18" s="823">
        <f>AVERAGE(J18:L18)</f>
        <v>7.7</v>
      </c>
      <c r="O18" s="218"/>
      <c r="P18" s="823">
        <f>AVERAGE(D18:F18)</f>
        <v>4.8999999999999995</v>
      </c>
      <c r="Q18" s="823">
        <f>AVERAGE(G18:I18)</f>
        <v>11.333333333333334</v>
      </c>
    </row>
    <row r="19" spans="2:17" x14ac:dyDescent="0.35">
      <c r="B19" s="820">
        <v>11</v>
      </c>
      <c r="C19" s="829" t="s">
        <v>305</v>
      </c>
      <c r="D19" s="800">
        <v>1576.9</v>
      </c>
      <c r="E19" s="801">
        <v>1621.2</v>
      </c>
      <c r="F19" s="802">
        <v>1724.6</v>
      </c>
      <c r="G19" s="801">
        <v>1720.8</v>
      </c>
      <c r="H19" s="802">
        <v>1732.3</v>
      </c>
      <c r="I19" s="802">
        <v>1735.9</v>
      </c>
      <c r="J19" s="803">
        <v>1739.2</v>
      </c>
      <c r="K19" s="803">
        <v>1716.6</v>
      </c>
    </row>
    <row r="20" spans="2:17" x14ac:dyDescent="0.35">
      <c r="B20" s="820"/>
      <c r="C20" s="834" t="s">
        <v>306</v>
      </c>
      <c r="D20" s="804" t="s">
        <v>302</v>
      </c>
      <c r="E20" s="309" t="s">
        <v>302</v>
      </c>
      <c r="F20" s="805" t="s">
        <v>302</v>
      </c>
      <c r="G20" s="309" t="s">
        <v>302</v>
      </c>
      <c r="H20" s="805" t="s">
        <v>302</v>
      </c>
      <c r="I20" s="805" t="s">
        <v>302</v>
      </c>
      <c r="J20" s="806" t="s">
        <v>302</v>
      </c>
      <c r="K20" s="806" t="s">
        <v>302</v>
      </c>
    </row>
    <row r="21" spans="2:17" ht="16.5" x14ac:dyDescent="0.35">
      <c r="B21" s="820">
        <v>12</v>
      </c>
      <c r="C21" s="833" t="s">
        <v>304</v>
      </c>
      <c r="D21" s="804">
        <v>27.9</v>
      </c>
      <c r="E21" s="309">
        <v>78.3</v>
      </c>
      <c r="F21" s="805">
        <v>124</v>
      </c>
      <c r="G21" s="309">
        <v>163.69999999999999</v>
      </c>
      <c r="H21" s="805">
        <v>184.6</v>
      </c>
      <c r="I21" s="805">
        <v>184.6</v>
      </c>
      <c r="J21" s="806">
        <v>160.30000000000001</v>
      </c>
      <c r="K21" s="806">
        <v>108.8</v>
      </c>
      <c r="L21" s="823">
        <v>80</v>
      </c>
      <c r="M21" s="823">
        <f>AVERAGE(J21:L21)</f>
        <v>116.36666666666667</v>
      </c>
      <c r="N21" s="823"/>
      <c r="O21" s="218"/>
      <c r="P21" s="823">
        <f>AVERAGE(D21:F21)</f>
        <v>76.733333333333334</v>
      </c>
      <c r="Q21" s="823">
        <f>AVERAGE(G21:I21)</f>
        <v>177.63333333333333</v>
      </c>
    </row>
    <row r="22" spans="2:17" x14ac:dyDescent="0.35">
      <c r="B22" s="821">
        <v>13</v>
      </c>
      <c r="C22" s="831" t="s">
        <v>307</v>
      </c>
      <c r="D22" s="807">
        <v>709.3</v>
      </c>
      <c r="E22" s="793">
        <v>716.6</v>
      </c>
      <c r="F22" s="808">
        <v>724.8</v>
      </c>
      <c r="G22" s="793">
        <v>720.7</v>
      </c>
      <c r="H22" s="808">
        <v>716.4</v>
      </c>
      <c r="I22" s="808">
        <v>713.4</v>
      </c>
      <c r="J22" s="809">
        <v>716.4</v>
      </c>
      <c r="K22" s="809">
        <v>719</v>
      </c>
    </row>
    <row r="23" spans="2:17" x14ac:dyDescent="0.35">
      <c r="B23" s="821">
        <v>14</v>
      </c>
      <c r="C23" s="828" t="s">
        <v>308</v>
      </c>
      <c r="D23" s="796">
        <v>2886.2</v>
      </c>
      <c r="E23" s="797">
        <v>2901.2</v>
      </c>
      <c r="F23" s="798">
        <v>2909.1</v>
      </c>
      <c r="G23" s="797">
        <v>2923</v>
      </c>
      <c r="H23" s="798">
        <v>2937.4</v>
      </c>
      <c r="I23" s="798">
        <v>2954</v>
      </c>
      <c r="J23" s="799">
        <v>2963</v>
      </c>
      <c r="K23" s="799">
        <v>2948.2</v>
      </c>
    </row>
    <row r="24" spans="2:17" x14ac:dyDescent="0.35">
      <c r="B24" s="820">
        <v>15</v>
      </c>
      <c r="C24" s="829" t="s">
        <v>309</v>
      </c>
      <c r="D24" s="800">
        <v>1621.9</v>
      </c>
      <c r="E24" s="801">
        <v>1630.2</v>
      </c>
      <c r="F24" s="802">
        <v>1638.4</v>
      </c>
      <c r="G24" s="801">
        <v>1642.2</v>
      </c>
      <c r="H24" s="802">
        <v>1645.9</v>
      </c>
      <c r="I24" s="802">
        <v>1649.7</v>
      </c>
      <c r="J24" s="803">
        <v>1654</v>
      </c>
      <c r="K24" s="803">
        <v>1639.4</v>
      </c>
    </row>
    <row r="25" spans="2:17" x14ac:dyDescent="0.35">
      <c r="B25" s="820">
        <v>16</v>
      </c>
      <c r="C25" s="830" t="s">
        <v>310</v>
      </c>
      <c r="D25" s="804">
        <v>1264.3</v>
      </c>
      <c r="E25" s="309">
        <v>1271.0999999999999</v>
      </c>
      <c r="F25" s="805">
        <v>1270.7</v>
      </c>
      <c r="G25" s="309">
        <v>1280.8</v>
      </c>
      <c r="H25" s="805">
        <v>1291.4000000000001</v>
      </c>
      <c r="I25" s="805">
        <v>1304.3</v>
      </c>
      <c r="J25" s="806">
        <v>1309</v>
      </c>
      <c r="K25" s="806">
        <v>1308.8</v>
      </c>
    </row>
    <row r="26" spans="2:17" x14ac:dyDescent="0.35">
      <c r="B26" s="821">
        <v>17</v>
      </c>
      <c r="C26" s="831" t="s">
        <v>311</v>
      </c>
      <c r="D26" s="807">
        <v>5711.8</v>
      </c>
      <c r="E26" s="793">
        <v>4123</v>
      </c>
      <c r="F26" s="808">
        <v>8112.8</v>
      </c>
      <c r="G26" s="793">
        <v>4719</v>
      </c>
      <c r="H26" s="808">
        <v>4172.1000000000004</v>
      </c>
      <c r="I26" s="808">
        <v>4096.3</v>
      </c>
      <c r="J26" s="809">
        <v>4216.6000000000004</v>
      </c>
      <c r="K26" s="809">
        <v>4233.7</v>
      </c>
    </row>
    <row r="27" spans="2:17" x14ac:dyDescent="0.35">
      <c r="B27" s="820">
        <v>18</v>
      </c>
      <c r="C27" s="830" t="s">
        <v>312</v>
      </c>
      <c r="D27" s="804">
        <v>5650.5</v>
      </c>
      <c r="E27" s="309">
        <v>4061</v>
      </c>
      <c r="F27" s="805">
        <v>8050.2</v>
      </c>
      <c r="G27" s="309">
        <v>4656.8999999999996</v>
      </c>
      <c r="H27" s="805">
        <v>4109.3</v>
      </c>
      <c r="I27" s="805">
        <v>4007.4</v>
      </c>
      <c r="J27" s="806">
        <v>4143</v>
      </c>
      <c r="K27" s="806">
        <v>4169</v>
      </c>
    </row>
    <row r="28" spans="2:17" x14ac:dyDescent="0.35">
      <c r="B28" s="820">
        <v>19</v>
      </c>
      <c r="C28" s="829" t="s">
        <v>313</v>
      </c>
      <c r="D28" s="800">
        <v>1103.9000000000001</v>
      </c>
      <c r="E28" s="801">
        <v>1106</v>
      </c>
      <c r="F28" s="802">
        <v>1109.0999999999999</v>
      </c>
      <c r="G28" s="801">
        <v>1107.5999999999999</v>
      </c>
      <c r="H28" s="802">
        <v>1108.2</v>
      </c>
      <c r="I28" s="802">
        <v>1113.3</v>
      </c>
      <c r="J28" s="803">
        <v>1113.4000000000001</v>
      </c>
      <c r="K28" s="803">
        <v>1117.2</v>
      </c>
      <c r="L28" s="823">
        <f>K28+4</f>
        <v>1121.2</v>
      </c>
      <c r="M28" s="823">
        <f>AVERAGE(J28:L28)</f>
        <v>1117.2666666666667</v>
      </c>
    </row>
    <row r="29" spans="2:17" x14ac:dyDescent="0.35">
      <c r="B29" s="820">
        <v>20</v>
      </c>
      <c r="C29" s="830" t="s">
        <v>314</v>
      </c>
      <c r="D29" s="804">
        <v>815.6</v>
      </c>
      <c r="E29" s="309">
        <v>813.8</v>
      </c>
      <c r="F29" s="805">
        <v>813</v>
      </c>
      <c r="G29" s="309">
        <v>813.4</v>
      </c>
      <c r="H29" s="805">
        <v>814.9</v>
      </c>
      <c r="I29" s="805">
        <v>817.5</v>
      </c>
      <c r="J29" s="806">
        <v>821.3</v>
      </c>
      <c r="K29" s="806">
        <v>826.2</v>
      </c>
      <c r="L29" s="823">
        <f>K29+5</f>
        <v>831.2</v>
      </c>
      <c r="M29" s="823">
        <f>AVERAGE(J29:L29)</f>
        <v>826.23333333333323</v>
      </c>
    </row>
    <row r="30" spans="2:17" x14ac:dyDescent="0.35">
      <c r="B30" s="820"/>
      <c r="C30" s="832" t="s">
        <v>315</v>
      </c>
      <c r="D30" s="800" t="s">
        <v>302</v>
      </c>
      <c r="E30" s="801" t="s">
        <v>302</v>
      </c>
      <c r="F30" s="802" t="s">
        <v>302</v>
      </c>
      <c r="G30" s="801" t="s">
        <v>302</v>
      </c>
      <c r="H30" s="802" t="s">
        <v>302</v>
      </c>
      <c r="I30" s="802" t="s">
        <v>302</v>
      </c>
      <c r="J30" s="803" t="s">
        <v>302</v>
      </c>
      <c r="K30" s="803" t="s">
        <v>302</v>
      </c>
    </row>
    <row r="31" spans="2:17" ht="16.5" x14ac:dyDescent="0.35">
      <c r="B31" s="820">
        <v>21</v>
      </c>
      <c r="C31" s="829" t="s">
        <v>316</v>
      </c>
      <c r="D31" s="800">
        <v>14.2</v>
      </c>
      <c r="E31" s="801">
        <v>14.1</v>
      </c>
      <c r="F31" s="802">
        <v>14.1</v>
      </c>
      <c r="G31" s="801">
        <v>14.1</v>
      </c>
      <c r="H31" s="802">
        <v>14.1</v>
      </c>
      <c r="I31" s="802">
        <v>14.2</v>
      </c>
      <c r="J31" s="803">
        <v>14.2</v>
      </c>
      <c r="K31" s="803">
        <v>14.3</v>
      </c>
    </row>
    <row r="32" spans="2:17" x14ac:dyDescent="0.35">
      <c r="B32" s="820">
        <v>22</v>
      </c>
      <c r="C32" s="830" t="s">
        <v>317</v>
      </c>
      <c r="D32" s="804">
        <v>688.5</v>
      </c>
      <c r="E32" s="309">
        <v>696.2</v>
      </c>
      <c r="F32" s="805">
        <v>703</v>
      </c>
      <c r="G32" s="309">
        <v>720.5</v>
      </c>
      <c r="H32" s="805">
        <v>736</v>
      </c>
      <c r="I32" s="805">
        <v>750</v>
      </c>
      <c r="J32" s="806">
        <v>760.4</v>
      </c>
      <c r="K32" s="806">
        <v>758.5</v>
      </c>
      <c r="L32" s="823">
        <f>K32-3</f>
        <v>755.5</v>
      </c>
      <c r="M32" s="823">
        <f>AVERAGE(J32:L32)</f>
        <v>758.13333333333333</v>
      </c>
    </row>
    <row r="33" spans="2:13" x14ac:dyDescent="0.35">
      <c r="B33" s="820">
        <v>23</v>
      </c>
      <c r="C33" s="829" t="s">
        <v>318</v>
      </c>
      <c r="D33" s="800">
        <v>574.20000000000005</v>
      </c>
      <c r="E33" s="801">
        <v>557.5</v>
      </c>
      <c r="F33" s="802">
        <v>565.5</v>
      </c>
      <c r="G33" s="801">
        <v>516.4</v>
      </c>
      <c r="H33" s="802">
        <v>492</v>
      </c>
      <c r="I33" s="802">
        <v>433</v>
      </c>
      <c r="J33" s="803">
        <v>380.5</v>
      </c>
      <c r="K33" s="803">
        <v>365.8</v>
      </c>
      <c r="L33" s="823">
        <f>14.3*12</f>
        <v>171.60000000000002</v>
      </c>
      <c r="M33" s="823">
        <f>AVERAGE(J33:L33)</f>
        <v>305.96666666666664</v>
      </c>
    </row>
    <row r="34" spans="2:13" ht="16.5" x14ac:dyDescent="0.35">
      <c r="B34" s="820"/>
      <c r="C34" s="835" t="s">
        <v>319</v>
      </c>
      <c r="D34" s="804" t="s">
        <v>302</v>
      </c>
      <c r="E34" s="309" t="s">
        <v>302</v>
      </c>
      <c r="F34" s="805" t="s">
        <v>302</v>
      </c>
      <c r="G34" s="309" t="s">
        <v>302</v>
      </c>
      <c r="H34" s="805" t="s">
        <v>302</v>
      </c>
      <c r="I34" s="805" t="s">
        <v>302</v>
      </c>
      <c r="J34" s="806" t="s">
        <v>302</v>
      </c>
      <c r="K34" s="806" t="s">
        <v>302</v>
      </c>
      <c r="L34">
        <f>L33/K33</f>
        <v>0.46910880262438498</v>
      </c>
    </row>
    <row r="35" spans="2:13" x14ac:dyDescent="0.35">
      <c r="B35" s="820">
        <v>24</v>
      </c>
      <c r="C35" s="836" t="s">
        <v>320</v>
      </c>
      <c r="D35" s="804">
        <v>31.9</v>
      </c>
      <c r="E35" s="309">
        <v>25.9</v>
      </c>
      <c r="F35" s="805">
        <v>17.100000000000001</v>
      </c>
      <c r="G35" s="309">
        <v>9.6999999999999993</v>
      </c>
      <c r="H35" s="805">
        <v>4.8</v>
      </c>
      <c r="I35" s="805">
        <v>3</v>
      </c>
      <c r="J35" s="806">
        <v>6.8</v>
      </c>
      <c r="K35" s="806">
        <v>4.4000000000000004</v>
      </c>
      <c r="L35" s="823">
        <f>L$34*K35</f>
        <v>2.0640787315472942</v>
      </c>
      <c r="M35" s="823">
        <f>AVERAGE(J35:L35)</f>
        <v>4.4213595771824314</v>
      </c>
    </row>
    <row r="36" spans="2:13" x14ac:dyDescent="0.35">
      <c r="B36" s="820">
        <v>25</v>
      </c>
      <c r="C36" s="837" t="s">
        <v>321</v>
      </c>
      <c r="D36" s="800">
        <v>81.099999999999994</v>
      </c>
      <c r="E36" s="801">
        <v>100.1</v>
      </c>
      <c r="F36" s="802">
        <v>112.1</v>
      </c>
      <c r="G36" s="801">
        <v>105.8</v>
      </c>
      <c r="H36" s="802">
        <v>106.9</v>
      </c>
      <c r="I36" s="802">
        <v>100.9</v>
      </c>
      <c r="J36" s="803">
        <v>84.3</v>
      </c>
      <c r="K36" s="803">
        <v>79</v>
      </c>
      <c r="L36" s="823">
        <f t="shared" ref="L36:L38" si="0">L$34*K36</f>
        <v>37.059595407326412</v>
      </c>
      <c r="M36" s="823">
        <f t="shared" ref="M36:M39" si="1">AVERAGE(J36:L36)</f>
        <v>66.786531802442141</v>
      </c>
    </row>
    <row r="37" spans="2:13" x14ac:dyDescent="0.35">
      <c r="B37" s="820">
        <v>26</v>
      </c>
      <c r="C37" s="838" t="s">
        <v>322</v>
      </c>
      <c r="D37" s="804">
        <v>95.4</v>
      </c>
      <c r="E37" s="309">
        <v>97</v>
      </c>
      <c r="F37" s="805">
        <v>93.4</v>
      </c>
      <c r="G37" s="309">
        <v>90.9</v>
      </c>
      <c r="H37" s="805">
        <v>81.3</v>
      </c>
      <c r="I37" s="805">
        <v>74.099999999999994</v>
      </c>
      <c r="J37" s="806">
        <v>65.400000000000006</v>
      </c>
      <c r="K37" s="806">
        <v>68.7</v>
      </c>
      <c r="L37" s="823">
        <f t="shared" si="0"/>
        <v>32.227774740295253</v>
      </c>
      <c r="M37" s="823">
        <f t="shared" si="1"/>
        <v>55.442591580098423</v>
      </c>
    </row>
    <row r="38" spans="2:13" x14ac:dyDescent="0.35">
      <c r="B38" s="820">
        <v>27</v>
      </c>
      <c r="C38" s="837" t="s">
        <v>323</v>
      </c>
      <c r="D38" s="800">
        <v>297.8</v>
      </c>
      <c r="E38" s="801">
        <v>273.7</v>
      </c>
      <c r="F38" s="802">
        <v>289.3</v>
      </c>
      <c r="G38" s="801">
        <v>258.2</v>
      </c>
      <c r="H38" s="802">
        <v>247.2</v>
      </c>
      <c r="I38" s="802">
        <v>206.3</v>
      </c>
      <c r="J38" s="803">
        <v>179</v>
      </c>
      <c r="K38" s="803">
        <v>172.8</v>
      </c>
      <c r="L38" s="823">
        <f t="shared" si="0"/>
        <v>81.062001093493734</v>
      </c>
      <c r="M38" s="823">
        <f t="shared" si="1"/>
        <v>144.28733369783126</v>
      </c>
    </row>
    <row r="39" spans="2:13" x14ac:dyDescent="0.35">
      <c r="B39" s="820">
        <v>28</v>
      </c>
      <c r="C39" s="830" t="s">
        <v>324</v>
      </c>
      <c r="D39" s="804">
        <v>151.30000000000001</v>
      </c>
      <c r="E39" s="309">
        <v>152.4</v>
      </c>
      <c r="F39" s="805">
        <v>153.6</v>
      </c>
      <c r="G39" s="309">
        <v>155</v>
      </c>
      <c r="H39" s="805">
        <v>156.5</v>
      </c>
      <c r="I39" s="805">
        <v>158</v>
      </c>
      <c r="J39" s="806">
        <v>160.30000000000001</v>
      </c>
      <c r="K39" s="806">
        <v>162.19999999999999</v>
      </c>
      <c r="L39" s="806">
        <v>164</v>
      </c>
      <c r="M39" s="823">
        <f t="shared" si="1"/>
        <v>162.16666666666666</v>
      </c>
    </row>
    <row r="40" spans="2:13" x14ac:dyDescent="0.35">
      <c r="B40" s="820">
        <v>29</v>
      </c>
      <c r="C40" s="829" t="s">
        <v>325</v>
      </c>
      <c r="D40" s="800">
        <v>2317</v>
      </c>
      <c r="E40" s="801">
        <v>735.2</v>
      </c>
      <c r="F40" s="802">
        <v>4706</v>
      </c>
      <c r="G40" s="801">
        <v>1344</v>
      </c>
      <c r="H40" s="802">
        <v>801.7</v>
      </c>
      <c r="I40" s="802">
        <v>735.6</v>
      </c>
      <c r="J40" s="803">
        <v>907.1</v>
      </c>
      <c r="K40" s="803">
        <v>939</v>
      </c>
    </row>
    <row r="41" spans="2:13" x14ac:dyDescent="0.35">
      <c r="B41" s="820"/>
      <c r="C41" s="835" t="s">
        <v>326</v>
      </c>
      <c r="D41" s="804" t="s">
        <v>302</v>
      </c>
      <c r="E41" s="309" t="s">
        <v>302</v>
      </c>
      <c r="F41" s="805" t="s">
        <v>302</v>
      </c>
      <c r="G41" s="309" t="s">
        <v>302</v>
      </c>
      <c r="H41" s="805" t="s">
        <v>302</v>
      </c>
      <c r="I41" s="805" t="s">
        <v>302</v>
      </c>
      <c r="J41" s="806" t="s">
        <v>302</v>
      </c>
      <c r="K41" s="806" t="s">
        <v>302</v>
      </c>
    </row>
    <row r="42" spans="2:13" ht="16.5" x14ac:dyDescent="0.35">
      <c r="B42" s="820">
        <v>30</v>
      </c>
      <c r="C42" s="836" t="s">
        <v>327</v>
      </c>
      <c r="D42" s="810">
        <v>34.4</v>
      </c>
      <c r="E42" s="805">
        <v>34.4</v>
      </c>
      <c r="F42" s="309">
        <v>34.4</v>
      </c>
      <c r="G42" s="805">
        <v>34.4</v>
      </c>
      <c r="H42" s="309">
        <v>34.4</v>
      </c>
      <c r="I42" s="805">
        <v>34.4</v>
      </c>
      <c r="J42" s="309">
        <v>211.9</v>
      </c>
      <c r="K42" s="806">
        <v>225.6</v>
      </c>
      <c r="L42" s="823">
        <f>K42</f>
        <v>225.6</v>
      </c>
      <c r="M42" s="823">
        <f>AVERAGE(J42:L42)</f>
        <v>221.03333333333333</v>
      </c>
    </row>
    <row r="43" spans="2:13" ht="16.5" x14ac:dyDescent="0.35">
      <c r="B43" s="820">
        <v>31</v>
      </c>
      <c r="C43" s="839" t="s">
        <v>328</v>
      </c>
      <c r="D43" s="800">
        <v>1660.9</v>
      </c>
      <c r="E43" s="801">
        <v>95.9</v>
      </c>
      <c r="F43" s="802">
        <v>4044.2</v>
      </c>
      <c r="G43" s="801">
        <v>688</v>
      </c>
      <c r="H43" s="802">
        <v>128.6</v>
      </c>
      <c r="I43" s="802">
        <v>53.8</v>
      </c>
      <c r="J43" s="803">
        <v>45.7</v>
      </c>
      <c r="K43" s="803">
        <v>40.4</v>
      </c>
      <c r="L43">
        <f>2.5*12</f>
        <v>30</v>
      </c>
      <c r="M43" s="823">
        <f>AVERAGE(J43:L43)</f>
        <v>38.699999999999996</v>
      </c>
    </row>
    <row r="44" spans="2:13" x14ac:dyDescent="0.35">
      <c r="B44" s="820">
        <v>32</v>
      </c>
      <c r="C44" s="836" t="s">
        <v>329</v>
      </c>
      <c r="D44" s="804">
        <v>2.1</v>
      </c>
      <c r="E44" s="309">
        <v>0.7</v>
      </c>
      <c r="F44" s="805">
        <v>2.1</v>
      </c>
      <c r="G44" s="309">
        <v>0.8</v>
      </c>
      <c r="H44" s="805">
        <v>0.5</v>
      </c>
      <c r="I44" s="805">
        <v>0.5</v>
      </c>
      <c r="J44" s="806">
        <v>0.2</v>
      </c>
      <c r="K44" s="806">
        <v>0</v>
      </c>
      <c r="L44" s="823">
        <f>AVERAGE(J44:K44)</f>
        <v>0.1</v>
      </c>
      <c r="M44" s="823">
        <f>AVERAGE(J44:L44)</f>
        <v>0.10000000000000002</v>
      </c>
    </row>
    <row r="45" spans="2:13" ht="16.5" x14ac:dyDescent="0.35">
      <c r="B45" s="820">
        <v>33</v>
      </c>
      <c r="C45" s="840" t="s">
        <v>330</v>
      </c>
      <c r="D45" s="800">
        <v>4.2</v>
      </c>
      <c r="E45" s="801">
        <v>11</v>
      </c>
      <c r="F45" s="802">
        <v>17.3</v>
      </c>
      <c r="G45" s="801">
        <v>22.8</v>
      </c>
      <c r="H45" s="802">
        <v>25.7</v>
      </c>
      <c r="I45" s="802">
        <v>25.7</v>
      </c>
      <c r="J45" s="803">
        <v>21.7</v>
      </c>
      <c r="K45" s="803">
        <v>13.5</v>
      </c>
      <c r="L45" s="823">
        <v>10</v>
      </c>
      <c r="M45" s="823">
        <f>AVERAGE(J45:L45)</f>
        <v>15.066666666666668</v>
      </c>
    </row>
    <row r="46" spans="2:13" ht="16.5" x14ac:dyDescent="0.35">
      <c r="B46" s="820">
        <v>34</v>
      </c>
      <c r="C46" s="830" t="s">
        <v>331</v>
      </c>
      <c r="D46" s="804">
        <v>56.9</v>
      </c>
      <c r="E46" s="309">
        <v>28.1</v>
      </c>
      <c r="F46" s="805">
        <v>43.4</v>
      </c>
      <c r="G46" s="309">
        <v>27.6</v>
      </c>
      <c r="H46" s="805">
        <v>28.4</v>
      </c>
      <c r="I46" s="805">
        <v>23.9</v>
      </c>
      <c r="J46" s="806">
        <v>36.1</v>
      </c>
      <c r="K46" s="806">
        <v>49.3</v>
      </c>
      <c r="L46" s="823">
        <f>AVERAGE(J46:K46)</f>
        <v>42.7</v>
      </c>
      <c r="M46" s="823">
        <f>AVERAGE(J46:L46)</f>
        <v>42.70000000000001</v>
      </c>
    </row>
    <row r="47" spans="2:13" x14ac:dyDescent="0.35">
      <c r="B47" s="820">
        <v>35</v>
      </c>
      <c r="C47" s="829" t="s">
        <v>332</v>
      </c>
      <c r="D47" s="800">
        <v>61.4</v>
      </c>
      <c r="E47" s="801">
        <v>62</v>
      </c>
      <c r="F47" s="802">
        <v>62.6</v>
      </c>
      <c r="G47" s="801">
        <v>62.1</v>
      </c>
      <c r="H47" s="802">
        <v>62.8</v>
      </c>
      <c r="I47" s="802">
        <v>88.9</v>
      </c>
      <c r="J47" s="803">
        <v>73.599999999999994</v>
      </c>
      <c r="K47" s="803">
        <v>64.8</v>
      </c>
    </row>
    <row r="48" spans="2:13" x14ac:dyDescent="0.35">
      <c r="B48" s="821">
        <v>36</v>
      </c>
      <c r="C48" s="828" t="s">
        <v>333</v>
      </c>
      <c r="D48" s="796">
        <v>1534.7</v>
      </c>
      <c r="E48" s="797">
        <v>1529.1</v>
      </c>
      <c r="F48" s="798">
        <v>1537.7</v>
      </c>
      <c r="G48" s="797">
        <v>1548.9</v>
      </c>
      <c r="H48" s="798">
        <v>1558.1</v>
      </c>
      <c r="I48" s="798">
        <v>1568.7</v>
      </c>
      <c r="J48" s="799">
        <v>1581.1</v>
      </c>
      <c r="K48" s="799">
        <v>1588.9</v>
      </c>
    </row>
    <row r="49" spans="2:11" x14ac:dyDescent="0.35">
      <c r="B49" s="821">
        <v>37</v>
      </c>
      <c r="C49" s="831" t="s">
        <v>334</v>
      </c>
      <c r="D49" s="807">
        <v>2384.1999999999998</v>
      </c>
      <c r="E49" s="793">
        <v>2408.5</v>
      </c>
      <c r="F49" s="808">
        <v>2443.6</v>
      </c>
      <c r="G49" s="793">
        <v>2505.8000000000002</v>
      </c>
      <c r="H49" s="808">
        <v>2553.6999999999998</v>
      </c>
      <c r="I49" s="808">
        <v>2591.8000000000002</v>
      </c>
      <c r="J49" s="809">
        <v>2619.6</v>
      </c>
      <c r="K49" s="809">
        <v>2592.8000000000002</v>
      </c>
    </row>
    <row r="50" spans="2:11" x14ac:dyDescent="0.35">
      <c r="B50" s="821">
        <v>38</v>
      </c>
      <c r="C50" s="828" t="s">
        <v>335</v>
      </c>
      <c r="D50" s="796">
        <v>19120.3</v>
      </c>
      <c r="E50" s="797">
        <v>17546.599999999999</v>
      </c>
      <c r="F50" s="798">
        <v>21698.9</v>
      </c>
      <c r="G50" s="797">
        <v>18342.5</v>
      </c>
      <c r="H50" s="798">
        <v>17850.900000000001</v>
      </c>
      <c r="I50" s="798">
        <v>17850</v>
      </c>
      <c r="J50" s="799">
        <v>18048.099999999999</v>
      </c>
      <c r="K50" s="799">
        <v>18123.900000000001</v>
      </c>
    </row>
    <row r="51" spans="2:11" x14ac:dyDescent="0.35">
      <c r="B51" s="821">
        <v>39</v>
      </c>
      <c r="C51" s="831" t="s">
        <v>336</v>
      </c>
      <c r="D51" s="807">
        <v>15321.7</v>
      </c>
      <c r="E51" s="793">
        <v>15169.7</v>
      </c>
      <c r="F51" s="808">
        <v>15935.3</v>
      </c>
      <c r="G51" s="793">
        <v>16095.5</v>
      </c>
      <c r="H51" s="808">
        <v>16107.6</v>
      </c>
      <c r="I51" s="808">
        <v>16278.2</v>
      </c>
      <c r="J51" s="809">
        <v>16323.7</v>
      </c>
      <c r="K51" s="809">
        <v>16413</v>
      </c>
    </row>
    <row r="52" spans="2:11" x14ac:dyDescent="0.35">
      <c r="B52" s="820">
        <v>40</v>
      </c>
      <c r="C52" s="830" t="s">
        <v>337</v>
      </c>
      <c r="D52" s="804">
        <v>14857.9</v>
      </c>
      <c r="E52" s="309">
        <v>14699.6</v>
      </c>
      <c r="F52" s="805">
        <v>15458.9</v>
      </c>
      <c r="G52" s="309">
        <v>15614.6</v>
      </c>
      <c r="H52" s="805">
        <v>15623.1</v>
      </c>
      <c r="I52" s="805">
        <v>15790</v>
      </c>
      <c r="J52" s="806">
        <v>15832.3</v>
      </c>
      <c r="K52" s="806">
        <v>15922.2</v>
      </c>
    </row>
    <row r="53" spans="2:11" x14ac:dyDescent="0.35">
      <c r="B53" s="820"/>
      <c r="C53" s="829" t="s">
        <v>338</v>
      </c>
      <c r="D53" s="800">
        <v>249.2</v>
      </c>
      <c r="E53" s="801">
        <v>255.3</v>
      </c>
      <c r="F53" s="802">
        <v>261.5</v>
      </c>
      <c r="G53" s="801">
        <v>264.8</v>
      </c>
      <c r="H53" s="802">
        <v>268.2</v>
      </c>
      <c r="I53" s="802">
        <v>271.60000000000002</v>
      </c>
      <c r="J53" s="803">
        <v>274.5</v>
      </c>
      <c r="K53" s="803">
        <v>274.10000000000002</v>
      </c>
    </row>
    <row r="54" spans="2:11" x14ac:dyDescent="0.35">
      <c r="B54" s="820">
        <v>41</v>
      </c>
      <c r="C54" s="841" t="s">
        <v>339</v>
      </c>
      <c r="D54" s="804" t="s">
        <v>302</v>
      </c>
      <c r="E54" s="309" t="s">
        <v>302</v>
      </c>
      <c r="F54" s="805" t="s">
        <v>302</v>
      </c>
      <c r="G54" s="309" t="s">
        <v>302</v>
      </c>
      <c r="H54" s="805" t="s">
        <v>302</v>
      </c>
      <c r="I54" s="805" t="s">
        <v>302</v>
      </c>
      <c r="J54" s="806" t="s">
        <v>302</v>
      </c>
      <c r="K54" s="806" t="s">
        <v>302</v>
      </c>
    </row>
    <row r="55" spans="2:11" ht="16.5" x14ac:dyDescent="0.35">
      <c r="B55" s="820">
        <v>42</v>
      </c>
      <c r="C55" s="842" t="s">
        <v>340</v>
      </c>
      <c r="D55" s="804">
        <v>-37.799999999999997</v>
      </c>
      <c r="E55" s="309">
        <v>-37.799999999999997</v>
      </c>
      <c r="F55" s="805">
        <v>-37.799999999999997</v>
      </c>
      <c r="G55" s="309">
        <v>-37.799999999999997</v>
      </c>
      <c r="H55" s="805">
        <v>-37.799999999999997</v>
      </c>
      <c r="I55" s="805">
        <v>-37.799999999999997</v>
      </c>
      <c r="J55" s="806">
        <v>-37.799999999999997</v>
      </c>
      <c r="K55" s="806">
        <v>-37.799999999999997</v>
      </c>
    </row>
    <row r="56" spans="2:11" x14ac:dyDescent="0.35">
      <c r="B56" s="820">
        <v>43</v>
      </c>
      <c r="C56" s="829" t="s">
        <v>341</v>
      </c>
      <c r="D56" s="800">
        <v>214.7</v>
      </c>
      <c r="E56" s="801">
        <v>214.8</v>
      </c>
      <c r="F56" s="802">
        <v>215</v>
      </c>
      <c r="G56" s="801">
        <v>216.1</v>
      </c>
      <c r="H56" s="802">
        <v>216.4</v>
      </c>
      <c r="I56" s="802">
        <v>216.7</v>
      </c>
      <c r="J56" s="803">
        <v>216.9</v>
      </c>
      <c r="K56" s="803">
        <v>216.7</v>
      </c>
    </row>
    <row r="57" spans="2:11" x14ac:dyDescent="0.35">
      <c r="B57" s="820">
        <v>44</v>
      </c>
      <c r="C57" s="830" t="s">
        <v>342</v>
      </c>
      <c r="D57" s="804">
        <v>115.2</v>
      </c>
      <c r="E57" s="309">
        <v>115.3</v>
      </c>
      <c r="F57" s="805">
        <v>115.5</v>
      </c>
      <c r="G57" s="309">
        <v>115.7</v>
      </c>
      <c r="H57" s="805">
        <v>116</v>
      </c>
      <c r="I57" s="805">
        <v>116.3</v>
      </c>
      <c r="J57" s="806">
        <v>116.5</v>
      </c>
      <c r="K57" s="806">
        <v>116.8</v>
      </c>
    </row>
    <row r="58" spans="2:11" x14ac:dyDescent="0.35">
      <c r="B58" s="820">
        <v>45</v>
      </c>
      <c r="C58" s="829" t="s">
        <v>343</v>
      </c>
      <c r="D58" s="800">
        <v>99.5</v>
      </c>
      <c r="E58" s="801">
        <v>99.5</v>
      </c>
      <c r="F58" s="802">
        <v>99.5</v>
      </c>
      <c r="G58" s="801">
        <v>100.4</v>
      </c>
      <c r="H58" s="802">
        <v>100.4</v>
      </c>
      <c r="I58" s="802">
        <v>100.4</v>
      </c>
      <c r="J58" s="803">
        <v>100.4</v>
      </c>
      <c r="K58" s="803">
        <v>99.9</v>
      </c>
    </row>
    <row r="59" spans="2:11" ht="15" thickBot="1" x14ac:dyDescent="0.4">
      <c r="B59" s="822">
        <v>46</v>
      </c>
      <c r="C59" s="843" t="s">
        <v>344</v>
      </c>
      <c r="D59" s="811">
        <v>3798.6</v>
      </c>
      <c r="E59" s="812">
        <v>2376.9</v>
      </c>
      <c r="F59" s="813">
        <v>5763.5</v>
      </c>
      <c r="G59" s="812">
        <v>2247</v>
      </c>
      <c r="H59" s="813">
        <v>1743.2</v>
      </c>
      <c r="I59" s="813">
        <v>1571.8</v>
      </c>
      <c r="J59" s="814">
        <v>1724.4</v>
      </c>
      <c r="K59" s="814">
        <v>1710.9</v>
      </c>
    </row>
    <row r="60" spans="2:11" x14ac:dyDescent="0.35">
      <c r="B60" t="s">
        <v>345</v>
      </c>
      <c r="C60" s="815" t="s">
        <v>346</v>
      </c>
    </row>
    <row r="61" spans="2:11" x14ac:dyDescent="0.35">
      <c r="B61" t="s">
        <v>347</v>
      </c>
      <c r="C61" s="816" t="s">
        <v>348</v>
      </c>
    </row>
    <row r="62" spans="2:11" x14ac:dyDescent="0.35">
      <c r="B62" t="s">
        <v>349</v>
      </c>
      <c r="C62" s="816" t="s">
        <v>350</v>
      </c>
    </row>
    <row r="63" spans="2:11" x14ac:dyDescent="0.35">
      <c r="B63" t="s">
        <v>351</v>
      </c>
      <c r="C63" s="816" t="s">
        <v>352</v>
      </c>
    </row>
    <row r="65" spans="2:16" x14ac:dyDescent="0.35">
      <c r="B65" s="1052" t="s">
        <v>353</v>
      </c>
      <c r="C65" s="1052"/>
      <c r="D65" s="1052"/>
      <c r="E65" s="1052"/>
      <c r="F65" s="1052"/>
      <c r="G65" s="1052"/>
      <c r="H65" s="1052"/>
      <c r="I65" s="1052"/>
      <c r="J65" s="1052"/>
      <c r="K65" s="1052"/>
      <c r="L65" s="1052"/>
      <c r="M65" s="1052"/>
      <c r="N65" s="1052"/>
      <c r="O65" s="1052"/>
      <c r="P65" s="1052"/>
    </row>
    <row r="66" spans="2:16" x14ac:dyDescent="0.35">
      <c r="B66" s="1053" t="s">
        <v>354</v>
      </c>
      <c r="C66" s="1053"/>
      <c r="D66" s="1053"/>
      <c r="E66" s="1053"/>
      <c r="F66" s="1053"/>
      <c r="G66" s="1053"/>
      <c r="H66" s="1053"/>
      <c r="I66" s="1053"/>
      <c r="J66" s="1053"/>
      <c r="K66" s="1053"/>
      <c r="L66" s="1053"/>
      <c r="M66" s="1053"/>
      <c r="N66" s="1053"/>
      <c r="O66" s="1053"/>
      <c r="P66" s="1053"/>
    </row>
    <row r="67" spans="2:16" x14ac:dyDescent="0.35">
      <c r="B67" s="1041" t="s">
        <v>355</v>
      </c>
      <c r="C67" s="1041"/>
      <c r="D67" s="1041"/>
      <c r="E67" s="1041"/>
      <c r="F67" s="1041"/>
      <c r="G67" s="1041"/>
      <c r="H67" s="1041"/>
      <c r="I67" s="1041"/>
      <c r="J67" s="1041"/>
      <c r="K67" s="1041"/>
      <c r="L67" s="1041"/>
      <c r="M67" s="1041"/>
      <c r="N67" s="1041"/>
      <c r="O67" s="1041"/>
      <c r="P67" s="1041"/>
    </row>
    <row r="68" spans="2:16" x14ac:dyDescent="0.35">
      <c r="B68" s="1046" t="s">
        <v>356</v>
      </c>
      <c r="C68" s="1046"/>
      <c r="D68" s="1046"/>
      <c r="E68" s="1046"/>
      <c r="F68" s="1046"/>
      <c r="G68" s="1046"/>
      <c r="H68" s="1046"/>
      <c r="I68" s="1046"/>
      <c r="J68" s="1046"/>
      <c r="K68" s="1046"/>
      <c r="L68" s="1046"/>
      <c r="M68" s="1046"/>
      <c r="N68" s="1046"/>
      <c r="O68" s="1046"/>
      <c r="P68" s="1046"/>
    </row>
    <row r="69" spans="2:16" x14ac:dyDescent="0.35">
      <c r="B69" s="1047" t="s">
        <v>357</v>
      </c>
      <c r="C69" s="1047"/>
      <c r="D69" s="1047"/>
      <c r="E69" s="1047"/>
      <c r="F69" s="1047"/>
      <c r="G69" s="1047"/>
      <c r="H69" s="1047"/>
      <c r="I69" s="1047"/>
      <c r="J69" s="1047"/>
      <c r="K69" s="1047"/>
      <c r="L69" s="1047"/>
      <c r="M69" s="1047"/>
      <c r="N69" s="1047"/>
      <c r="O69" s="1047"/>
      <c r="P69" s="1047"/>
    </row>
    <row r="70" spans="2:16" x14ac:dyDescent="0.35">
      <c r="B70" s="1042" t="s">
        <v>358</v>
      </c>
      <c r="C70" s="1042"/>
      <c r="D70" s="1042"/>
      <c r="E70" s="1042"/>
      <c r="F70" s="1042"/>
      <c r="G70" s="1042"/>
      <c r="H70" s="1042"/>
      <c r="I70" s="1042"/>
      <c r="J70" s="1042"/>
      <c r="K70" s="1042"/>
      <c r="L70" s="1042"/>
      <c r="M70" s="1042"/>
      <c r="N70" s="1042"/>
      <c r="O70" s="1042"/>
      <c r="P70" s="1042"/>
    </row>
    <row r="71" spans="2:16" x14ac:dyDescent="0.35">
      <c r="B71" s="1041" t="s">
        <v>359</v>
      </c>
      <c r="C71" s="1041"/>
      <c r="D71" s="1041"/>
      <c r="E71" s="1041"/>
      <c r="F71" s="1041"/>
      <c r="G71" s="1041"/>
      <c r="H71" s="1041"/>
      <c r="I71" s="1041"/>
      <c r="J71" s="1041"/>
      <c r="K71" s="1041"/>
      <c r="L71" s="1041"/>
      <c r="M71" s="1041"/>
      <c r="N71" s="1041"/>
      <c r="O71" s="1041"/>
      <c r="P71" s="1041"/>
    </row>
    <row r="72" spans="2:16" x14ac:dyDescent="0.35">
      <c r="B72" s="1041" t="s">
        <v>360</v>
      </c>
      <c r="C72" s="1041"/>
      <c r="D72" s="1041"/>
      <c r="E72" s="1041"/>
      <c r="F72" s="1041"/>
      <c r="G72" s="1041"/>
      <c r="H72" s="1041"/>
      <c r="I72" s="1041"/>
      <c r="J72" s="1041"/>
      <c r="K72" s="1041"/>
      <c r="L72" s="1041"/>
      <c r="M72" s="1041"/>
      <c r="N72" s="1041"/>
      <c r="O72" s="1041"/>
      <c r="P72" s="1041"/>
    </row>
    <row r="73" spans="2:16" x14ac:dyDescent="0.35">
      <c r="B73" s="1042" t="s">
        <v>361</v>
      </c>
      <c r="C73" s="1042"/>
      <c r="D73" s="1042"/>
      <c r="E73" s="1042"/>
      <c r="F73" s="1042"/>
      <c r="G73" s="1042"/>
      <c r="H73" s="1042"/>
      <c r="I73" s="1042"/>
      <c r="J73" s="1042"/>
      <c r="K73" s="1042"/>
      <c r="L73" s="1042"/>
      <c r="M73" s="1042"/>
      <c r="N73" s="1042"/>
      <c r="O73" s="1042"/>
      <c r="P73" s="1042"/>
    </row>
    <row r="74" spans="2:16" x14ac:dyDescent="0.35">
      <c r="B74" s="467"/>
    </row>
    <row r="75" spans="2:16" x14ac:dyDescent="0.35">
      <c r="B75" s="1043" t="s">
        <v>362</v>
      </c>
      <c r="C75" s="1043"/>
      <c r="D75" s="1043"/>
      <c r="E75" s="1043"/>
      <c r="F75" s="1043"/>
      <c r="G75" s="1043"/>
      <c r="H75" s="1043"/>
      <c r="I75" s="1043"/>
      <c r="J75" s="1043"/>
      <c r="K75" s="1043"/>
      <c r="L75" s="1043"/>
      <c r="M75" s="1043"/>
      <c r="N75" s="1043"/>
      <c r="O75" s="1043"/>
      <c r="P75" s="1043"/>
    </row>
    <row r="76" spans="2:16" x14ac:dyDescent="0.35">
      <c r="B76" s="428"/>
    </row>
    <row r="77" spans="2:16" x14ac:dyDescent="0.35">
      <c r="B77" t="s">
        <v>363</v>
      </c>
    </row>
    <row r="79" spans="2:16" x14ac:dyDescent="0.35">
      <c r="B79" t="s">
        <v>364</v>
      </c>
    </row>
    <row r="80" spans="2:16" x14ac:dyDescent="0.35">
      <c r="B80" s="467"/>
    </row>
    <row r="81" spans="2:2" x14ac:dyDescent="0.35">
      <c r="B81" s="817"/>
    </row>
    <row r="83" spans="2:2" x14ac:dyDescent="0.35">
      <c r="B83" t="s">
        <v>365</v>
      </c>
    </row>
    <row r="84" spans="2:2" x14ac:dyDescent="0.35">
      <c r="B84" t="s">
        <v>366</v>
      </c>
    </row>
    <row r="85" spans="2:2" x14ac:dyDescent="0.35">
      <c r="B85" s="427" t="s">
        <v>367</v>
      </c>
    </row>
    <row r="87" spans="2:2" ht="13.75" customHeight="1" x14ac:dyDescent="0.35">
      <c r="B87" t="s">
        <v>363</v>
      </c>
    </row>
    <row r="88" spans="2:2" ht="6" customHeight="1" x14ac:dyDescent="0.35"/>
    <row r="89" spans="2:2" x14ac:dyDescent="0.35">
      <c r="B89" t="s">
        <v>364</v>
      </c>
    </row>
    <row r="91" spans="2:2" x14ac:dyDescent="0.35">
      <c r="B91" s="468"/>
    </row>
    <row r="92" spans="2:2" x14ac:dyDescent="0.35">
      <c r="B92" s="468"/>
    </row>
    <row r="93" spans="2:2" x14ac:dyDescent="0.35">
      <c r="B93" s="468"/>
    </row>
    <row r="99" spans="2:16" x14ac:dyDescent="0.35">
      <c r="B99" s="469"/>
      <c r="C99" s="469"/>
      <c r="D99" s="469"/>
      <c r="E99" s="469"/>
      <c r="F99" s="469"/>
      <c r="G99" s="469"/>
      <c r="H99" s="469"/>
      <c r="I99" s="469"/>
      <c r="J99" s="469"/>
      <c r="K99" s="473"/>
      <c r="L99" s="473"/>
      <c r="M99" s="473"/>
      <c r="N99" s="473"/>
      <c r="O99" s="473"/>
      <c r="P99" s="473"/>
    </row>
    <row r="100" spans="2:16" x14ac:dyDescent="0.35">
      <c r="B100" s="1045"/>
      <c r="C100" s="1045"/>
      <c r="D100" s="1045"/>
      <c r="E100" s="1045"/>
      <c r="F100" s="1045"/>
      <c r="G100" s="1045"/>
      <c r="H100" s="1045"/>
      <c r="I100" s="1045"/>
      <c r="J100" s="1045"/>
      <c r="K100" s="1045"/>
      <c r="L100" s="1045"/>
      <c r="M100" s="1045"/>
      <c r="N100" s="1045"/>
      <c r="O100" s="1045"/>
      <c r="P100" s="1045"/>
    </row>
    <row r="101" spans="2:16" x14ac:dyDescent="0.35">
      <c r="B101" s="1045"/>
      <c r="C101" s="1045"/>
      <c r="D101" s="1045"/>
      <c r="E101" s="1045"/>
      <c r="F101" s="1045"/>
      <c r="G101" s="1045"/>
      <c r="H101" s="1045"/>
      <c r="I101" s="1045"/>
      <c r="J101" s="1045"/>
      <c r="K101" s="1045"/>
      <c r="L101" s="1045"/>
      <c r="M101" s="1045"/>
      <c r="N101" s="1045"/>
      <c r="O101" s="1045"/>
      <c r="P101" s="1045"/>
    </row>
    <row r="102" spans="2:16" x14ac:dyDescent="0.35">
      <c r="B102" s="1045"/>
      <c r="C102" s="1045"/>
      <c r="D102" s="1045"/>
      <c r="E102" s="1045"/>
      <c r="F102" s="1045"/>
      <c r="G102" s="1045"/>
      <c r="H102" s="1045"/>
      <c r="I102" s="474"/>
      <c r="J102" s="474"/>
      <c r="K102" s="469"/>
      <c r="L102" s="469"/>
      <c r="M102" s="469"/>
      <c r="N102" s="469"/>
      <c r="O102" s="469"/>
      <c r="P102" s="469"/>
    </row>
    <row r="103" spans="2:16" x14ac:dyDescent="0.35">
      <c r="B103" s="475"/>
      <c r="C103" s="469"/>
      <c r="D103" s="1044"/>
      <c r="E103" s="1044"/>
      <c r="F103" s="1044"/>
      <c r="G103" s="1044"/>
      <c r="H103" s="1044"/>
      <c r="I103" s="1044"/>
      <c r="J103" s="1044"/>
    </row>
    <row r="104" spans="2:16" x14ac:dyDescent="0.35">
      <c r="B104" s="471"/>
      <c r="C104" s="469"/>
      <c r="D104" s="1044"/>
      <c r="E104" s="1044"/>
      <c r="F104" s="1044"/>
      <c r="G104" s="1044"/>
      <c r="H104" s="1044"/>
      <c r="I104" s="1044"/>
      <c r="J104" s="1044"/>
    </row>
    <row r="105" spans="2:16" x14ac:dyDescent="0.35">
      <c r="B105" s="469"/>
      <c r="C105" s="469"/>
      <c r="D105" s="471"/>
      <c r="E105" s="471"/>
      <c r="F105" s="471"/>
      <c r="G105" s="471"/>
      <c r="H105" s="471"/>
      <c r="I105" s="471"/>
      <c r="J105" s="471"/>
    </row>
    <row r="106" spans="2:16" x14ac:dyDescent="0.35">
      <c r="B106" s="475"/>
      <c r="C106" s="476"/>
      <c r="D106" s="472"/>
      <c r="E106" s="472"/>
      <c r="F106" s="472"/>
      <c r="G106" s="472"/>
      <c r="H106" s="472"/>
      <c r="I106" s="472"/>
      <c r="J106" s="472"/>
    </row>
    <row r="107" spans="2:16" x14ac:dyDescent="0.35">
      <c r="B107" s="475"/>
      <c r="C107" s="476"/>
      <c r="D107" s="472"/>
      <c r="E107" s="472"/>
      <c r="F107" s="472"/>
      <c r="G107" s="472"/>
      <c r="H107" s="472"/>
      <c r="I107" s="472"/>
      <c r="J107" s="472"/>
    </row>
    <row r="108" spans="2:16" x14ac:dyDescent="0.35">
      <c r="B108" s="469"/>
      <c r="C108" s="469"/>
      <c r="D108" s="466"/>
      <c r="E108" s="466"/>
      <c r="F108" s="466"/>
      <c r="G108" s="466"/>
      <c r="H108" s="466"/>
      <c r="I108" s="466"/>
      <c r="J108" s="466"/>
    </row>
    <row r="109" spans="2:16" x14ac:dyDescent="0.35">
      <c r="B109" s="469"/>
      <c r="C109" s="469"/>
      <c r="D109" s="466"/>
      <c r="E109" s="466"/>
      <c r="F109" s="466"/>
      <c r="G109" s="466"/>
      <c r="H109" s="466"/>
      <c r="I109" s="466"/>
      <c r="J109" s="466"/>
    </row>
    <row r="110" spans="2:16" x14ac:dyDescent="0.35">
      <c r="B110" s="469"/>
      <c r="C110" s="469"/>
      <c r="D110" s="466"/>
      <c r="E110" s="466"/>
      <c r="F110" s="466"/>
      <c r="G110" s="466"/>
      <c r="H110" s="466"/>
      <c r="I110" s="466"/>
      <c r="J110" s="466"/>
    </row>
    <row r="111" spans="2:16" x14ac:dyDescent="0.35">
      <c r="B111" s="469"/>
      <c r="C111" s="469"/>
      <c r="D111" s="466"/>
      <c r="E111" s="466"/>
      <c r="F111" s="466"/>
      <c r="G111" s="466"/>
      <c r="H111" s="466"/>
      <c r="I111" s="466"/>
      <c r="J111" s="466"/>
    </row>
    <row r="112" spans="2:16" x14ac:dyDescent="0.35">
      <c r="B112" s="475"/>
      <c r="C112" s="476"/>
      <c r="D112" s="472"/>
      <c r="E112" s="472"/>
      <c r="F112" s="472"/>
      <c r="G112" s="472"/>
      <c r="H112" s="472"/>
      <c r="I112" s="472"/>
      <c r="J112" s="472"/>
    </row>
    <row r="113" spans="2:10" x14ac:dyDescent="0.35">
      <c r="B113" s="469"/>
      <c r="C113" s="469"/>
      <c r="D113" s="466"/>
      <c r="E113" s="466"/>
      <c r="F113" s="466"/>
      <c r="G113" s="466"/>
      <c r="H113" s="466"/>
      <c r="I113" s="466"/>
      <c r="J113" s="466"/>
    </row>
    <row r="114" spans="2:10" x14ac:dyDescent="0.35">
      <c r="B114" s="469"/>
      <c r="C114" s="477"/>
      <c r="D114" s="466"/>
      <c r="E114" s="466"/>
      <c r="F114" s="466"/>
      <c r="G114" s="466"/>
      <c r="H114" s="466"/>
      <c r="I114" s="466"/>
      <c r="J114" s="466"/>
    </row>
    <row r="115" spans="2:10" x14ac:dyDescent="0.35">
      <c r="B115" s="469"/>
      <c r="C115" s="469"/>
      <c r="D115" s="466"/>
      <c r="E115" s="466"/>
      <c r="F115" s="466"/>
      <c r="G115" s="466"/>
      <c r="H115" s="466"/>
      <c r="I115" s="466"/>
      <c r="J115" s="466"/>
    </row>
    <row r="116" spans="2:10" x14ac:dyDescent="0.35">
      <c r="B116" s="469"/>
      <c r="C116" s="469"/>
      <c r="D116" s="466"/>
      <c r="E116" s="466"/>
      <c r="F116" s="466"/>
      <c r="G116" s="466"/>
      <c r="H116" s="466"/>
      <c r="I116" s="466"/>
      <c r="J116" s="466"/>
    </row>
    <row r="117" spans="2:10" x14ac:dyDescent="0.35">
      <c r="B117" s="469"/>
      <c r="C117" s="469"/>
      <c r="D117" s="466"/>
      <c r="E117" s="466"/>
      <c r="F117" s="466"/>
      <c r="G117" s="466"/>
      <c r="H117" s="466"/>
      <c r="I117" s="466"/>
      <c r="J117" s="466"/>
    </row>
    <row r="118" spans="2:10" x14ac:dyDescent="0.35">
      <c r="B118" s="469"/>
      <c r="C118" s="477"/>
      <c r="D118" s="466"/>
      <c r="E118" s="466"/>
      <c r="F118" s="466"/>
      <c r="G118" s="466"/>
      <c r="H118" s="466"/>
      <c r="I118" s="466"/>
      <c r="J118" s="466"/>
    </row>
    <row r="119" spans="2:10" x14ac:dyDescent="0.35">
      <c r="B119" s="469"/>
      <c r="C119" s="469"/>
      <c r="D119" s="466"/>
      <c r="E119" s="466"/>
      <c r="F119" s="466"/>
      <c r="G119" s="466"/>
      <c r="H119" s="466"/>
      <c r="I119" s="466"/>
      <c r="J119" s="466"/>
    </row>
    <row r="120" spans="2:10" x14ac:dyDescent="0.35">
      <c r="B120" s="475"/>
      <c r="C120" s="476"/>
      <c r="D120" s="472"/>
      <c r="E120" s="472"/>
      <c r="F120" s="472"/>
      <c r="G120" s="472"/>
      <c r="H120" s="472"/>
      <c r="I120" s="472"/>
      <c r="J120" s="472"/>
    </row>
    <row r="121" spans="2:10" x14ac:dyDescent="0.35">
      <c r="B121" s="475"/>
      <c r="C121" s="476"/>
      <c r="D121" s="472"/>
      <c r="E121" s="472"/>
      <c r="F121" s="472"/>
      <c r="G121" s="472"/>
      <c r="H121" s="472"/>
      <c r="I121" s="472"/>
      <c r="J121" s="472"/>
    </row>
    <row r="122" spans="2:10" x14ac:dyDescent="0.35">
      <c r="B122" s="469"/>
      <c r="C122" s="469"/>
      <c r="D122" s="466"/>
      <c r="E122" s="466"/>
      <c r="F122" s="466"/>
      <c r="G122" s="466"/>
      <c r="H122" s="466"/>
      <c r="I122" s="466"/>
      <c r="J122" s="466"/>
    </row>
    <row r="123" spans="2:10" x14ac:dyDescent="0.35">
      <c r="B123" s="469"/>
      <c r="C123" s="469"/>
      <c r="D123" s="466"/>
      <c r="E123" s="466"/>
      <c r="F123" s="466"/>
      <c r="G123" s="466"/>
      <c r="H123" s="466"/>
      <c r="I123" s="466"/>
      <c r="J123" s="466"/>
    </row>
    <row r="124" spans="2:10" x14ac:dyDescent="0.35">
      <c r="B124" s="475"/>
      <c r="C124" s="476"/>
      <c r="D124" s="472"/>
      <c r="E124" s="472"/>
      <c r="F124" s="472"/>
      <c r="G124" s="472"/>
      <c r="H124" s="472"/>
      <c r="I124" s="472"/>
      <c r="J124" s="472"/>
    </row>
    <row r="125" spans="2:10" x14ac:dyDescent="0.35">
      <c r="B125" s="469"/>
      <c r="C125" s="469"/>
      <c r="D125" s="466"/>
      <c r="E125" s="466"/>
      <c r="F125" s="466"/>
      <c r="G125" s="466"/>
      <c r="H125" s="466"/>
      <c r="I125" s="466"/>
      <c r="J125" s="466"/>
    </row>
    <row r="126" spans="2:10" x14ac:dyDescent="0.35">
      <c r="B126" s="469"/>
      <c r="C126" s="469"/>
      <c r="D126" s="466"/>
      <c r="E126" s="466"/>
      <c r="F126" s="466"/>
      <c r="G126" s="466"/>
      <c r="H126" s="466"/>
      <c r="I126" s="466"/>
      <c r="J126" s="466"/>
    </row>
    <row r="127" spans="2:10" x14ac:dyDescent="0.35">
      <c r="B127" s="469"/>
      <c r="C127" s="469"/>
      <c r="D127" s="466"/>
      <c r="E127" s="466"/>
      <c r="F127" s="466"/>
      <c r="G127" s="466"/>
      <c r="H127" s="466"/>
      <c r="I127" s="466"/>
      <c r="J127" s="466"/>
    </row>
    <row r="128" spans="2:10" x14ac:dyDescent="0.35">
      <c r="B128" s="469"/>
      <c r="C128" s="477"/>
      <c r="D128" s="466"/>
      <c r="E128" s="466"/>
      <c r="F128" s="466"/>
      <c r="G128" s="466"/>
      <c r="H128" s="466"/>
      <c r="I128" s="466"/>
      <c r="J128" s="466"/>
    </row>
    <row r="129" spans="2:10" x14ac:dyDescent="0.35">
      <c r="B129" s="469"/>
      <c r="C129" s="469"/>
      <c r="D129" s="466"/>
      <c r="E129" s="466"/>
      <c r="F129" s="466"/>
      <c r="G129" s="466"/>
      <c r="H129" s="466"/>
      <c r="I129" s="466"/>
      <c r="J129" s="466"/>
    </row>
    <row r="130" spans="2:10" x14ac:dyDescent="0.35">
      <c r="B130" s="469"/>
      <c r="C130" s="469"/>
      <c r="D130" s="466"/>
      <c r="E130" s="466"/>
      <c r="F130" s="466"/>
      <c r="G130" s="466"/>
      <c r="H130" s="466"/>
      <c r="I130" s="466"/>
      <c r="J130" s="466"/>
    </row>
    <row r="131" spans="2:10" x14ac:dyDescent="0.35">
      <c r="B131" s="469"/>
      <c r="C131" s="469"/>
      <c r="D131" s="466"/>
      <c r="E131" s="466"/>
      <c r="F131" s="466"/>
      <c r="G131" s="466"/>
      <c r="H131" s="466"/>
      <c r="I131" s="466"/>
      <c r="J131" s="466"/>
    </row>
    <row r="132" spans="2:10" x14ac:dyDescent="0.35">
      <c r="B132" s="469"/>
      <c r="C132" s="478"/>
      <c r="D132" s="466"/>
      <c r="E132" s="466"/>
      <c r="F132" s="466"/>
      <c r="G132" s="466"/>
      <c r="H132" s="466"/>
      <c r="I132" s="466"/>
      <c r="J132" s="466"/>
    </row>
    <row r="133" spans="2:10" x14ac:dyDescent="0.35">
      <c r="B133" s="469"/>
      <c r="C133" s="283"/>
      <c r="D133" s="466"/>
      <c r="E133" s="466"/>
      <c r="F133" s="466"/>
      <c r="G133" s="466"/>
      <c r="H133" s="466"/>
      <c r="I133" s="466"/>
      <c r="J133" s="466"/>
    </row>
    <row r="134" spans="2:10" x14ac:dyDescent="0.35">
      <c r="B134" s="469"/>
      <c r="C134" s="479"/>
      <c r="D134" s="466"/>
      <c r="E134" s="466"/>
      <c r="F134" s="466"/>
      <c r="G134" s="466"/>
      <c r="H134" s="466"/>
      <c r="I134" s="466"/>
      <c r="J134" s="466"/>
    </row>
    <row r="135" spans="2:10" x14ac:dyDescent="0.35">
      <c r="B135" s="469"/>
      <c r="C135" s="479"/>
      <c r="D135" s="466"/>
      <c r="E135" s="466"/>
      <c r="F135" s="466"/>
      <c r="G135" s="466"/>
      <c r="H135" s="466"/>
      <c r="I135" s="466"/>
      <c r="J135" s="466"/>
    </row>
    <row r="136" spans="2:10" x14ac:dyDescent="0.35">
      <c r="B136" s="469"/>
      <c r="C136" s="479"/>
      <c r="D136" s="466"/>
      <c r="E136" s="466"/>
      <c r="F136" s="466"/>
      <c r="G136" s="466"/>
      <c r="H136" s="466"/>
      <c r="I136" s="466"/>
      <c r="J136" s="466"/>
    </row>
    <row r="137" spans="2:10" x14ac:dyDescent="0.35">
      <c r="B137" s="469"/>
      <c r="C137" s="469"/>
      <c r="D137" s="466"/>
      <c r="E137" s="466"/>
      <c r="F137" s="466"/>
      <c r="G137" s="466"/>
      <c r="H137" s="466"/>
      <c r="I137" s="466"/>
      <c r="J137" s="466"/>
    </row>
    <row r="138" spans="2:10" x14ac:dyDescent="0.35">
      <c r="B138" s="469"/>
      <c r="C138" s="469"/>
      <c r="D138" s="466"/>
      <c r="E138" s="466"/>
      <c r="F138" s="466"/>
      <c r="G138" s="466"/>
      <c r="H138" s="466"/>
      <c r="I138" s="466"/>
      <c r="J138" s="466"/>
    </row>
    <row r="139" spans="2:10" x14ac:dyDescent="0.35">
      <c r="B139" s="469"/>
      <c r="C139" s="478"/>
      <c r="D139" s="466"/>
      <c r="E139" s="466"/>
      <c r="F139" s="466"/>
      <c r="G139" s="466"/>
      <c r="H139" s="466"/>
      <c r="I139" s="466"/>
      <c r="J139" s="466"/>
    </row>
    <row r="140" spans="2:10" x14ac:dyDescent="0.35">
      <c r="B140" s="469"/>
      <c r="C140" s="283"/>
      <c r="D140" s="466"/>
      <c r="E140" s="466"/>
      <c r="F140" s="466"/>
      <c r="G140" s="466"/>
      <c r="H140" s="466"/>
      <c r="I140" s="466"/>
      <c r="J140" s="466"/>
    </row>
    <row r="141" spans="2:10" x14ac:dyDescent="0.35">
      <c r="B141" s="469"/>
      <c r="C141" s="283"/>
      <c r="D141" s="466"/>
      <c r="E141" s="466"/>
      <c r="F141" s="466"/>
      <c r="G141" s="466"/>
      <c r="H141" s="466"/>
      <c r="I141" s="466"/>
      <c r="J141" s="466"/>
    </row>
    <row r="142" spans="2:10" x14ac:dyDescent="0.35">
      <c r="B142" s="469"/>
      <c r="C142" s="469"/>
      <c r="D142" s="466"/>
      <c r="E142" s="466"/>
      <c r="F142" s="466"/>
      <c r="G142" s="466"/>
      <c r="H142" s="466"/>
      <c r="I142" s="466"/>
      <c r="J142" s="466"/>
    </row>
    <row r="143" spans="2:10" x14ac:dyDescent="0.35">
      <c r="B143" s="469"/>
      <c r="C143" s="469"/>
      <c r="D143" s="466"/>
      <c r="E143" s="466"/>
      <c r="F143" s="466"/>
      <c r="G143" s="466"/>
      <c r="H143" s="466"/>
      <c r="I143" s="466"/>
      <c r="J143" s="466"/>
    </row>
    <row r="144" spans="2:10" x14ac:dyDescent="0.35">
      <c r="B144" s="469"/>
      <c r="C144" s="469"/>
      <c r="D144" s="466"/>
      <c r="E144" s="466"/>
      <c r="F144" s="466"/>
      <c r="G144" s="466"/>
      <c r="H144" s="466"/>
      <c r="I144" s="466"/>
      <c r="J144" s="466"/>
    </row>
    <row r="145" spans="2:16" x14ac:dyDescent="0.35">
      <c r="B145" s="475"/>
      <c r="C145" s="476"/>
      <c r="D145" s="472"/>
      <c r="E145" s="472"/>
      <c r="F145" s="472"/>
      <c r="G145" s="472"/>
      <c r="H145" s="472"/>
      <c r="I145" s="472"/>
      <c r="J145" s="472"/>
    </row>
    <row r="146" spans="2:16" x14ac:dyDescent="0.35">
      <c r="B146" s="475"/>
      <c r="C146" s="476"/>
      <c r="D146" s="472"/>
      <c r="E146" s="472"/>
      <c r="F146" s="472"/>
      <c r="G146" s="472"/>
      <c r="H146" s="472"/>
      <c r="I146" s="472"/>
      <c r="J146" s="472"/>
    </row>
    <row r="147" spans="2:16" x14ac:dyDescent="0.35">
      <c r="B147" s="475"/>
      <c r="C147" s="476"/>
      <c r="D147" s="472"/>
      <c r="E147" s="472"/>
      <c r="F147" s="472"/>
      <c r="G147" s="472"/>
      <c r="H147" s="472"/>
      <c r="I147" s="472"/>
      <c r="J147" s="472"/>
    </row>
    <row r="148" spans="2:16" x14ac:dyDescent="0.35">
      <c r="B148" s="475"/>
      <c r="C148" s="476"/>
      <c r="D148" s="472"/>
      <c r="E148" s="472"/>
      <c r="F148" s="472"/>
      <c r="G148" s="472"/>
      <c r="H148" s="472"/>
      <c r="I148" s="472"/>
      <c r="J148" s="472"/>
    </row>
    <row r="149" spans="2:16" x14ac:dyDescent="0.35">
      <c r="B149" s="469"/>
      <c r="C149" s="469"/>
      <c r="D149" s="466"/>
      <c r="E149" s="466"/>
      <c r="F149" s="466"/>
      <c r="G149" s="466"/>
      <c r="H149" s="466"/>
      <c r="I149" s="466"/>
      <c r="J149" s="466"/>
    </row>
    <row r="150" spans="2:16" x14ac:dyDescent="0.35">
      <c r="B150" s="469"/>
      <c r="C150" s="469"/>
      <c r="D150" s="466"/>
      <c r="E150" s="466"/>
      <c r="F150" s="466"/>
      <c r="G150" s="466"/>
      <c r="H150" s="466"/>
      <c r="I150" s="466"/>
      <c r="J150" s="466"/>
    </row>
    <row r="151" spans="2:16" x14ac:dyDescent="0.35">
      <c r="B151" s="469"/>
      <c r="C151" s="480"/>
      <c r="D151" s="466"/>
      <c r="E151" s="466"/>
      <c r="F151" s="466"/>
      <c r="G151" s="466"/>
      <c r="H151" s="466"/>
      <c r="I151" s="466"/>
      <c r="J151" s="466"/>
    </row>
    <row r="152" spans="2:16" x14ac:dyDescent="0.35">
      <c r="B152" s="469"/>
      <c r="C152" s="479"/>
      <c r="D152" s="466"/>
      <c r="E152" s="466"/>
      <c r="F152" s="466"/>
      <c r="G152" s="466"/>
      <c r="H152" s="466"/>
      <c r="I152" s="466"/>
      <c r="J152" s="466"/>
    </row>
    <row r="153" spans="2:16" x14ac:dyDescent="0.35">
      <c r="B153" s="469"/>
      <c r="C153" s="469"/>
      <c r="D153" s="466"/>
      <c r="E153" s="466"/>
      <c r="F153" s="466"/>
      <c r="G153" s="466"/>
      <c r="H153" s="466"/>
      <c r="I153" s="466"/>
      <c r="J153" s="466"/>
    </row>
    <row r="154" spans="2:16" x14ac:dyDescent="0.35">
      <c r="B154" s="469"/>
      <c r="C154" s="469"/>
      <c r="D154" s="466"/>
      <c r="E154" s="466"/>
      <c r="F154" s="466"/>
      <c r="G154" s="466"/>
      <c r="H154" s="466"/>
      <c r="I154" s="466"/>
      <c r="J154" s="466"/>
    </row>
    <row r="155" spans="2:16" x14ac:dyDescent="0.35">
      <c r="B155" s="469"/>
      <c r="C155" s="469"/>
      <c r="D155" s="466"/>
      <c r="E155" s="466"/>
      <c r="F155" s="466"/>
      <c r="G155" s="466"/>
      <c r="H155" s="466"/>
      <c r="I155" s="466"/>
      <c r="J155" s="466"/>
    </row>
    <row r="156" spans="2:16" x14ac:dyDescent="0.35">
      <c r="B156" s="475"/>
      <c r="C156" s="476"/>
      <c r="D156" s="472"/>
      <c r="E156" s="472"/>
      <c r="F156" s="472"/>
      <c r="G156" s="472"/>
      <c r="H156" s="472"/>
      <c r="I156" s="472"/>
      <c r="J156" s="472"/>
    </row>
    <row r="157" spans="2:16" x14ac:dyDescent="0.35">
      <c r="B157" s="469"/>
      <c r="C157" s="469"/>
      <c r="D157" s="469"/>
      <c r="E157" s="469"/>
      <c r="F157" s="469"/>
      <c r="G157" s="469"/>
      <c r="H157" s="469"/>
      <c r="I157" s="469"/>
      <c r="J157" s="469"/>
      <c r="K157" s="469"/>
      <c r="L157" s="469"/>
      <c r="M157" s="469"/>
      <c r="N157" s="469"/>
      <c r="O157" s="469"/>
      <c r="P157" s="469"/>
    </row>
    <row r="158" spans="2:16" x14ac:dyDescent="0.35">
      <c r="B158" s="469"/>
      <c r="C158" s="481"/>
      <c r="D158" s="469"/>
      <c r="E158" s="469"/>
      <c r="F158" s="469"/>
      <c r="G158" s="469"/>
      <c r="H158" s="469"/>
      <c r="I158" s="469"/>
      <c r="J158" s="469"/>
      <c r="K158" s="469"/>
      <c r="L158" s="469"/>
      <c r="M158" s="469"/>
      <c r="N158" s="469"/>
      <c r="O158" s="469"/>
      <c r="P158" s="469"/>
    </row>
    <row r="159" spans="2:16" x14ac:dyDescent="0.35">
      <c r="B159" s="469"/>
      <c r="C159" s="469"/>
      <c r="D159" s="469"/>
      <c r="E159" s="469"/>
      <c r="F159" s="469"/>
      <c r="G159" s="469"/>
      <c r="H159" s="469"/>
      <c r="I159" s="469"/>
      <c r="J159" s="469"/>
      <c r="K159" s="469"/>
      <c r="L159" s="469"/>
      <c r="M159" s="469"/>
      <c r="N159" s="469"/>
      <c r="O159" s="469"/>
      <c r="P159" s="469"/>
    </row>
    <row r="160" spans="2:16" x14ac:dyDescent="0.35">
      <c r="B160" s="469"/>
      <c r="C160" s="469"/>
      <c r="D160" s="469"/>
      <c r="E160" s="469"/>
      <c r="F160" s="469"/>
      <c r="G160" s="469"/>
      <c r="H160" s="469"/>
      <c r="I160" s="469"/>
      <c r="J160" s="469"/>
      <c r="K160" s="469"/>
      <c r="L160" s="469"/>
      <c r="M160" s="469"/>
      <c r="N160" s="469"/>
      <c r="O160" s="469"/>
      <c r="P160" s="469"/>
    </row>
    <row r="161" spans="2:16" x14ac:dyDescent="0.35">
      <c r="B161" s="469"/>
      <c r="C161" s="469"/>
      <c r="D161" s="469"/>
      <c r="E161" s="469"/>
      <c r="F161" s="469"/>
      <c r="G161" s="469"/>
      <c r="H161" s="469"/>
      <c r="I161" s="469"/>
      <c r="J161" s="469"/>
      <c r="K161" s="469"/>
      <c r="L161" s="469"/>
      <c r="M161" s="469"/>
      <c r="N161" s="469"/>
      <c r="O161" s="469"/>
      <c r="P161" s="469"/>
    </row>
    <row r="162" spans="2:16" x14ac:dyDescent="0.35">
      <c r="B162" s="469"/>
      <c r="C162" s="469"/>
      <c r="D162" s="469"/>
      <c r="E162" s="469"/>
      <c r="F162" s="469"/>
      <c r="G162" s="469"/>
      <c r="H162" s="469"/>
      <c r="I162" s="469"/>
      <c r="J162" s="469"/>
      <c r="K162" s="469"/>
      <c r="L162" s="469"/>
      <c r="M162" s="469"/>
      <c r="N162" s="469"/>
      <c r="O162" s="469"/>
      <c r="P162" s="469"/>
    </row>
    <row r="163" spans="2:16" x14ac:dyDescent="0.35">
      <c r="B163" s="469"/>
      <c r="C163" s="469"/>
      <c r="D163" s="469"/>
      <c r="E163" s="469"/>
      <c r="F163" s="469"/>
      <c r="G163" s="469"/>
      <c r="H163" s="469"/>
      <c r="I163" s="469"/>
      <c r="J163" s="469"/>
      <c r="K163" s="469"/>
      <c r="L163" s="469"/>
      <c r="M163" s="469"/>
      <c r="N163" s="469"/>
      <c r="O163" s="469"/>
      <c r="P163" s="469"/>
    </row>
    <row r="164" spans="2:16" x14ac:dyDescent="0.35">
      <c r="B164" s="469"/>
      <c r="C164" s="469"/>
      <c r="D164" s="469"/>
      <c r="E164" s="469"/>
      <c r="F164" s="469"/>
      <c r="G164" s="469"/>
      <c r="H164" s="469"/>
      <c r="I164" s="469"/>
      <c r="J164" s="469"/>
      <c r="K164" s="469"/>
      <c r="L164" s="469"/>
      <c r="M164" s="469"/>
      <c r="N164" s="469"/>
      <c r="O164" s="469"/>
      <c r="P164" s="469"/>
    </row>
    <row r="165" spans="2:16" x14ac:dyDescent="0.35">
      <c r="B165" s="482"/>
      <c r="C165" s="482"/>
      <c r="D165" s="482"/>
      <c r="E165" s="482"/>
      <c r="F165" s="482"/>
      <c r="G165" s="482"/>
      <c r="H165" s="482"/>
      <c r="I165" s="482"/>
      <c r="J165" s="469"/>
      <c r="K165" s="469"/>
      <c r="L165" s="469"/>
      <c r="M165" s="469"/>
      <c r="N165" s="469"/>
      <c r="O165" s="469"/>
      <c r="P165" s="469"/>
    </row>
    <row r="166" spans="2:16" x14ac:dyDescent="0.35">
      <c r="B166" s="483"/>
      <c r="C166" s="481"/>
      <c r="D166" s="481"/>
      <c r="E166" s="481"/>
      <c r="F166" s="481"/>
      <c r="G166" s="481"/>
      <c r="H166" s="481"/>
      <c r="I166" s="481"/>
      <c r="J166" s="469"/>
      <c r="K166" s="469"/>
      <c r="L166" s="469"/>
      <c r="M166" s="469"/>
      <c r="N166" s="469"/>
      <c r="O166" s="469"/>
      <c r="P166" s="469"/>
    </row>
    <row r="167" spans="2:16" x14ac:dyDescent="0.35">
      <c r="B167" s="484"/>
      <c r="C167" s="482"/>
      <c r="D167" s="469"/>
      <c r="E167" s="469"/>
      <c r="F167" s="469"/>
      <c r="G167" s="469"/>
      <c r="H167" s="469"/>
      <c r="I167" s="469"/>
      <c r="J167" s="469"/>
      <c r="K167" s="469"/>
      <c r="L167" s="469"/>
      <c r="M167" s="469"/>
      <c r="N167" s="469"/>
      <c r="O167" s="469"/>
      <c r="P167" s="469"/>
    </row>
    <row r="168" spans="2:16" x14ac:dyDescent="0.35">
      <c r="B168" s="482"/>
      <c r="C168" s="482"/>
      <c r="D168" s="482"/>
      <c r="E168" s="482"/>
      <c r="F168" s="482"/>
      <c r="G168" s="482"/>
      <c r="H168" s="482"/>
      <c r="I168" s="482"/>
      <c r="J168" s="469"/>
      <c r="K168" s="469"/>
      <c r="L168" s="469"/>
      <c r="M168" s="469"/>
      <c r="N168" s="469"/>
      <c r="O168" s="469"/>
      <c r="P168" s="469"/>
    </row>
    <row r="169" spans="2:16" x14ac:dyDescent="0.35">
      <c r="B169" s="482"/>
      <c r="C169" s="482"/>
      <c r="D169" s="469"/>
      <c r="E169" s="469"/>
      <c r="F169" s="469"/>
      <c r="G169" s="469"/>
      <c r="H169" s="469"/>
      <c r="I169" s="469"/>
      <c r="J169" s="469"/>
      <c r="K169" s="469"/>
      <c r="L169" s="469"/>
      <c r="M169" s="469"/>
      <c r="N169" s="469"/>
      <c r="O169" s="469"/>
      <c r="P169" s="469"/>
    </row>
    <row r="170" spans="2:16" x14ac:dyDescent="0.35">
      <c r="B170" s="481"/>
      <c r="C170" s="481"/>
      <c r="D170" s="481"/>
      <c r="E170" s="481"/>
      <c r="F170" s="481"/>
      <c r="G170" s="481"/>
      <c r="H170" s="481"/>
      <c r="I170" s="481"/>
      <c r="J170" s="469"/>
      <c r="K170" s="469"/>
      <c r="L170" s="469"/>
      <c r="M170" s="469"/>
      <c r="N170" s="469"/>
      <c r="O170" s="469"/>
      <c r="P170" s="469"/>
    </row>
    <row r="171" spans="2:16" x14ac:dyDescent="0.35">
      <c r="B171" s="484"/>
      <c r="C171" s="485"/>
      <c r="D171" s="469"/>
      <c r="E171" s="469"/>
      <c r="F171" s="469"/>
      <c r="G171" s="469"/>
      <c r="H171" s="469"/>
      <c r="I171" s="469"/>
      <c r="J171" s="469"/>
      <c r="K171" s="469"/>
      <c r="L171" s="469"/>
      <c r="M171" s="469"/>
      <c r="N171" s="469"/>
      <c r="O171" s="469"/>
      <c r="P171" s="469"/>
    </row>
    <row r="172" spans="2:16" x14ac:dyDescent="0.35">
      <c r="B172" s="486"/>
      <c r="C172" s="486"/>
      <c r="D172" s="486"/>
      <c r="E172" s="486"/>
      <c r="F172" s="486"/>
      <c r="G172" s="486"/>
      <c r="H172" s="486"/>
      <c r="I172" s="486"/>
      <c r="J172" s="486"/>
      <c r="K172" s="469"/>
      <c r="L172" s="469"/>
      <c r="M172" s="469"/>
      <c r="N172" s="469"/>
      <c r="O172" s="469"/>
      <c r="P172" s="469"/>
    </row>
    <row r="173" spans="2:16" x14ac:dyDescent="0.35">
      <c r="B173" s="483"/>
      <c r="C173" s="487"/>
      <c r="D173" s="469"/>
      <c r="E173" s="469"/>
      <c r="F173" s="469"/>
      <c r="G173" s="469"/>
      <c r="H173" s="469"/>
      <c r="I173" s="469"/>
      <c r="J173" s="469"/>
      <c r="K173" s="469"/>
      <c r="L173" s="469"/>
      <c r="M173" s="469"/>
      <c r="N173" s="469"/>
      <c r="O173" s="469"/>
      <c r="P173" s="469"/>
    </row>
    <row r="174" spans="2:16" x14ac:dyDescent="0.35">
      <c r="B174" s="482"/>
      <c r="C174" s="482"/>
      <c r="D174" s="482"/>
      <c r="E174" s="482"/>
      <c r="F174" s="482"/>
      <c r="G174" s="482"/>
      <c r="H174" s="482"/>
      <c r="I174" s="482"/>
      <c r="J174" s="469"/>
      <c r="K174" s="469"/>
      <c r="L174" s="469"/>
      <c r="M174" s="469"/>
      <c r="N174" s="469"/>
      <c r="O174" s="469"/>
      <c r="P174" s="469"/>
    </row>
    <row r="175" spans="2:16" x14ac:dyDescent="0.35">
      <c r="B175" s="482"/>
      <c r="C175" s="482"/>
      <c r="D175" s="482"/>
      <c r="E175" s="482"/>
      <c r="F175" s="482"/>
      <c r="G175" s="482"/>
      <c r="H175" s="482"/>
      <c r="I175" s="482"/>
      <c r="J175" s="469"/>
      <c r="K175" s="469"/>
      <c r="L175" s="469"/>
      <c r="M175" s="469"/>
      <c r="N175" s="469"/>
      <c r="O175" s="469"/>
      <c r="P175" s="469"/>
    </row>
    <row r="176" spans="2:16" x14ac:dyDescent="0.35">
      <c r="B176" s="482"/>
      <c r="C176" s="482"/>
      <c r="D176" s="482"/>
      <c r="E176" s="482"/>
      <c r="F176" s="482"/>
      <c r="G176" s="482"/>
      <c r="H176" s="482"/>
      <c r="I176" s="482"/>
      <c r="J176" s="469"/>
      <c r="K176" s="469"/>
      <c r="L176" s="469"/>
      <c r="M176" s="469"/>
      <c r="N176" s="469"/>
      <c r="O176" s="469"/>
      <c r="P176" s="469"/>
    </row>
    <row r="177" spans="2:16" x14ac:dyDescent="0.35">
      <c r="B177" s="482"/>
      <c r="C177" s="482"/>
      <c r="D177" s="469"/>
      <c r="E177" s="469"/>
      <c r="F177" s="469"/>
      <c r="G177" s="469"/>
      <c r="H177" s="469"/>
      <c r="I177" s="469"/>
      <c r="J177" s="469"/>
      <c r="K177" s="469"/>
      <c r="L177" s="469"/>
      <c r="M177" s="469"/>
      <c r="N177" s="469"/>
      <c r="O177" s="469"/>
      <c r="P177" s="469"/>
    </row>
    <row r="178" spans="2:16" x14ac:dyDescent="0.35">
      <c r="B178" s="486"/>
      <c r="C178" s="486"/>
      <c r="D178" s="486"/>
      <c r="E178" s="486"/>
      <c r="F178" s="486"/>
      <c r="G178" s="486"/>
      <c r="H178" s="486"/>
      <c r="I178" s="486"/>
      <c r="J178" s="469"/>
      <c r="K178" s="469"/>
      <c r="L178" s="469"/>
      <c r="M178" s="469"/>
      <c r="N178" s="469"/>
      <c r="O178" s="469"/>
      <c r="P178" s="469"/>
    </row>
    <row r="179" spans="2:16" x14ac:dyDescent="0.35">
      <c r="B179" s="484"/>
      <c r="C179" s="488"/>
      <c r="D179" s="469"/>
      <c r="E179" s="469"/>
      <c r="F179" s="469"/>
      <c r="G179" s="469"/>
      <c r="H179" s="469"/>
      <c r="I179" s="469"/>
      <c r="J179" s="469"/>
      <c r="K179" s="469"/>
      <c r="L179" s="469"/>
      <c r="M179" s="469"/>
      <c r="N179" s="469"/>
      <c r="O179" s="469"/>
      <c r="P179" s="469"/>
    </row>
    <row r="180" spans="2:16" x14ac:dyDescent="0.35">
      <c r="B180" s="469"/>
      <c r="C180" s="469"/>
      <c r="D180" s="469"/>
      <c r="E180" s="469"/>
      <c r="F180" s="469"/>
      <c r="G180" s="469"/>
      <c r="H180" s="469"/>
      <c r="I180" s="469"/>
      <c r="J180" s="469"/>
      <c r="K180" s="469"/>
      <c r="L180" s="469"/>
      <c r="M180" s="469"/>
      <c r="N180" s="469"/>
      <c r="O180" s="469"/>
      <c r="P180" s="469"/>
    </row>
    <row r="181" spans="2:16" x14ac:dyDescent="0.35">
      <c r="B181" s="469"/>
      <c r="C181" s="469"/>
      <c r="D181" s="469"/>
      <c r="E181" s="469"/>
      <c r="F181" s="469"/>
      <c r="G181" s="469"/>
      <c r="H181" s="469"/>
      <c r="I181" s="469"/>
      <c r="J181" s="469"/>
      <c r="K181" s="469"/>
      <c r="L181" s="469"/>
      <c r="M181" s="469"/>
      <c r="N181" s="469"/>
      <c r="O181" s="469"/>
      <c r="P181" s="469"/>
    </row>
    <row r="182" spans="2:16" x14ac:dyDescent="0.35">
      <c r="B182" s="469"/>
      <c r="C182" s="469"/>
      <c r="D182" s="469"/>
      <c r="E182" s="469"/>
      <c r="F182" s="469"/>
      <c r="G182" s="469"/>
      <c r="H182" s="469"/>
      <c r="I182" s="469"/>
      <c r="J182" s="469"/>
      <c r="K182" s="469"/>
      <c r="L182" s="469"/>
      <c r="M182" s="469"/>
      <c r="N182" s="469"/>
      <c r="O182" s="469"/>
      <c r="P182" s="469"/>
    </row>
    <row r="183" spans="2:16" x14ac:dyDescent="0.35">
      <c r="B183" s="483"/>
      <c r="C183" s="481"/>
      <c r="D183" s="481"/>
      <c r="E183" s="481"/>
      <c r="F183" s="481"/>
      <c r="G183" s="481"/>
      <c r="H183" s="481"/>
      <c r="I183" s="481"/>
      <c r="J183" s="469"/>
      <c r="K183" s="469"/>
      <c r="L183" s="469"/>
      <c r="M183" s="469"/>
      <c r="N183" s="469"/>
      <c r="O183" s="469"/>
      <c r="P183" s="469"/>
    </row>
    <row r="184" spans="2:16" x14ac:dyDescent="0.35">
      <c r="B184" s="469"/>
      <c r="C184" s="469"/>
      <c r="D184" s="469"/>
      <c r="E184" s="469"/>
      <c r="F184" s="469"/>
      <c r="G184" s="469"/>
      <c r="H184" s="469"/>
      <c r="I184" s="469"/>
      <c r="J184" s="469"/>
      <c r="K184" s="469"/>
      <c r="L184" s="469"/>
      <c r="M184" s="469"/>
      <c r="N184" s="469"/>
      <c r="O184" s="469"/>
      <c r="P184" s="469"/>
    </row>
    <row r="185" spans="2:16" x14ac:dyDescent="0.35">
      <c r="B185" s="469"/>
      <c r="C185" s="469"/>
      <c r="D185" s="469"/>
      <c r="E185" s="469"/>
      <c r="F185" s="469"/>
      <c r="G185" s="469"/>
      <c r="H185" s="469"/>
      <c r="I185" s="469"/>
      <c r="J185" s="469"/>
      <c r="K185" s="469"/>
      <c r="L185" s="469"/>
      <c r="M185" s="469"/>
      <c r="N185" s="469"/>
      <c r="O185" s="469"/>
      <c r="P185" s="469"/>
    </row>
    <row r="186" spans="2:16" x14ac:dyDescent="0.35">
      <c r="B186" s="469"/>
      <c r="C186" s="469"/>
      <c r="D186" s="469"/>
      <c r="E186" s="469"/>
      <c r="F186" s="469"/>
      <c r="G186" s="469"/>
      <c r="H186" s="469"/>
      <c r="I186" s="469"/>
      <c r="J186" s="469"/>
      <c r="K186" s="469"/>
      <c r="L186" s="469"/>
      <c r="M186" s="469"/>
      <c r="N186" s="469"/>
      <c r="O186" s="469"/>
      <c r="P186" s="469"/>
    </row>
    <row r="187" spans="2:16" x14ac:dyDescent="0.35">
      <c r="B187" s="469"/>
      <c r="C187" s="469"/>
      <c r="D187" s="469"/>
      <c r="E187" s="469"/>
      <c r="F187" s="469"/>
      <c r="G187" s="469"/>
      <c r="H187" s="469"/>
      <c r="I187" s="469"/>
      <c r="J187" s="469"/>
      <c r="K187" s="469"/>
      <c r="L187" s="469"/>
      <c r="M187" s="469"/>
      <c r="N187" s="469"/>
      <c r="O187" s="469"/>
      <c r="P187" s="469"/>
    </row>
    <row r="188" spans="2:16" x14ac:dyDescent="0.35">
      <c r="B188" s="469"/>
      <c r="C188" s="469"/>
      <c r="D188" s="469"/>
      <c r="E188" s="469"/>
      <c r="F188" s="469"/>
      <c r="G188" s="469"/>
      <c r="H188" s="469"/>
      <c r="I188" s="469"/>
      <c r="J188" s="469"/>
      <c r="K188" s="469"/>
      <c r="L188" s="469"/>
      <c r="M188" s="469"/>
      <c r="N188" s="469"/>
      <c r="O188" s="469"/>
      <c r="P188" s="469"/>
    </row>
    <row r="189" spans="2:16" x14ac:dyDescent="0.35">
      <c r="B189" s="470"/>
      <c r="C189" s="469"/>
      <c r="D189" s="469"/>
      <c r="E189" s="469"/>
      <c r="F189" s="469"/>
      <c r="G189" s="469"/>
      <c r="H189" s="469"/>
      <c r="I189" s="469"/>
      <c r="J189" s="469"/>
      <c r="K189" s="469"/>
      <c r="L189" s="469"/>
      <c r="M189" s="469"/>
      <c r="N189" s="469"/>
      <c r="O189" s="469"/>
      <c r="P189" s="469"/>
    </row>
    <row r="190" spans="2:16" x14ac:dyDescent="0.35">
      <c r="B190" s="470"/>
      <c r="C190" s="469"/>
      <c r="D190" s="469"/>
      <c r="E190" s="469"/>
      <c r="F190" s="469"/>
      <c r="G190" s="469"/>
      <c r="H190" s="469"/>
      <c r="I190" s="469"/>
      <c r="J190" s="469"/>
      <c r="K190" s="469"/>
      <c r="L190" s="469"/>
      <c r="M190" s="469"/>
      <c r="N190" s="469"/>
      <c r="O190" s="469"/>
      <c r="P190" s="469"/>
    </row>
    <row r="191" spans="2:16" x14ac:dyDescent="0.35">
      <c r="B191" s="470"/>
      <c r="C191" s="469"/>
      <c r="D191" s="469"/>
      <c r="E191" s="469"/>
      <c r="F191" s="469"/>
      <c r="G191" s="469"/>
      <c r="H191" s="469"/>
      <c r="I191" s="469"/>
      <c r="J191" s="469"/>
      <c r="K191" s="469"/>
      <c r="L191" s="469"/>
      <c r="M191" s="469"/>
      <c r="N191" s="469"/>
      <c r="O191" s="469"/>
      <c r="P191" s="469"/>
    </row>
  </sheetData>
  <mergeCells count="20">
    <mergeCell ref="B67:P67"/>
    <mergeCell ref="B68:P68"/>
    <mergeCell ref="B69:P69"/>
    <mergeCell ref="B2:K4"/>
    <mergeCell ref="B1:K1"/>
    <mergeCell ref="B5:E5"/>
    <mergeCell ref="D6:K6"/>
    <mergeCell ref="B65:P65"/>
    <mergeCell ref="B66:P66"/>
    <mergeCell ref="D104:F104"/>
    <mergeCell ref="G104:J104"/>
    <mergeCell ref="B100:P100"/>
    <mergeCell ref="B101:P101"/>
    <mergeCell ref="B102:H102"/>
    <mergeCell ref="D103:J103"/>
    <mergeCell ref="B71:P71"/>
    <mergeCell ref="B72:P72"/>
    <mergeCell ref="B73:P73"/>
    <mergeCell ref="B75:P75"/>
    <mergeCell ref="B70:P70"/>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2021-10-29T16:19:04Z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