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results/4-2021/inputs/"/>
    </mc:Choice>
  </mc:AlternateContent>
  <xr:revisionPtr revIDLastSave="0" documentId="8_{AD47FB5E-60B2-244F-8585-BADF2DFF1646}" xr6:coauthVersionLast="47" xr6:coauthVersionMax="47" xr10:uidLastSave="{00000000-0000-0000-0000-000000000000}"/>
  <bookViews>
    <workbookView xWindow="0" yWindow="500" windowWidth="33600" windowHeight="19720" activeTab="3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69" i="5" l="1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E62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E55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8" i="5"/>
  <c r="G48" i="5"/>
  <c r="H48" i="5"/>
  <c r="I48" i="5"/>
  <c r="J48" i="5"/>
  <c r="K48" i="5"/>
  <c r="L48" i="5"/>
  <c r="E48" i="5"/>
  <c r="F42" i="5"/>
  <c r="G42" i="5"/>
  <c r="H42" i="5"/>
  <c r="I42" i="5"/>
  <c r="J42" i="5"/>
  <c r="K42" i="5"/>
  <c r="E42" i="5"/>
  <c r="F36" i="5"/>
  <c r="G36" i="5"/>
  <c r="H36" i="5"/>
  <c r="I36" i="5"/>
  <c r="J36" i="5"/>
  <c r="K36" i="5"/>
  <c r="E36" i="5"/>
  <c r="X29" i="5"/>
  <c r="Y29" i="5"/>
  <c r="Z29" i="5"/>
  <c r="AA29" i="5"/>
  <c r="M29" i="5"/>
  <c r="N29" i="5"/>
  <c r="O29" i="5"/>
  <c r="P29" i="5"/>
  <c r="Q29" i="5"/>
  <c r="R29" i="5"/>
  <c r="S29" i="5"/>
  <c r="T29" i="5"/>
  <c r="U29" i="5"/>
  <c r="V29" i="5"/>
  <c r="W29" i="5"/>
  <c r="F29" i="5"/>
  <c r="G29" i="5"/>
  <c r="H29" i="5"/>
  <c r="I29" i="5"/>
  <c r="J29" i="5"/>
  <c r="K29" i="5"/>
  <c r="L29" i="5"/>
  <c r="E29" i="5"/>
  <c r="X22" i="5"/>
  <c r="Y22" i="5"/>
  <c r="Z22" i="5"/>
  <c r="AA22" i="5"/>
  <c r="T22" i="5"/>
  <c r="U22" i="5"/>
  <c r="V22" i="5"/>
  <c r="W22" i="5"/>
  <c r="M22" i="5"/>
  <c r="N22" i="5"/>
  <c r="O22" i="5"/>
  <c r="P22" i="5"/>
  <c r="Q22" i="5"/>
  <c r="R22" i="5"/>
  <c r="S22" i="5"/>
  <c r="F22" i="5"/>
  <c r="G22" i="5"/>
  <c r="H22" i="5"/>
  <c r="I22" i="5"/>
  <c r="J22" i="5"/>
  <c r="K22" i="5"/>
  <c r="L22" i="5"/>
  <c r="E22" i="5"/>
  <c r="J16" i="9"/>
  <c r="J15" i="9"/>
  <c r="J14" i="9"/>
  <c r="J13" i="9"/>
  <c r="J12" i="9"/>
  <c r="J11" i="9"/>
  <c r="J10" i="9"/>
  <c r="J9" i="9"/>
  <c r="J8" i="9"/>
  <c r="J7" i="9"/>
  <c r="J6" i="9"/>
  <c r="F21" i="5"/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7" i="1"/>
  <c r="O8" i="1" s="1"/>
  <c r="O5" i="1"/>
  <c r="O6" i="1" s="1"/>
  <c r="N5" i="1"/>
  <c r="F11" i="1"/>
  <c r="G11" i="1"/>
  <c r="H11" i="1"/>
  <c r="I11" i="1"/>
  <c r="J11" i="1"/>
  <c r="K11" i="1"/>
  <c r="L11" i="1"/>
  <c r="AC12" i="1"/>
  <c r="AD12" i="1"/>
  <c r="AG12" i="1"/>
  <c r="N15" i="1"/>
  <c r="AC15" i="1"/>
  <c r="AD15" i="1"/>
  <c r="AG15" i="1"/>
  <c r="AC18" i="1"/>
  <c r="AD18" i="1"/>
  <c r="AG18" i="1"/>
  <c r="N21" i="1"/>
  <c r="AC21" i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P21" i="1" l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O11" i="1"/>
  <c r="P12" i="1"/>
  <c r="N11" i="1"/>
  <c r="AE18" i="1"/>
  <c r="N8" i="1"/>
  <c r="N6" i="1"/>
  <c r="N30" i="1" s="1"/>
  <c r="N31" i="1" s="1"/>
  <c r="N26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B14" i="17"/>
  <c r="B15" i="17" s="1"/>
  <c r="C9" i="17"/>
  <c r="H7" i="17"/>
  <c r="E6" i="17"/>
  <c r="F6" i="17"/>
  <c r="G6" i="17"/>
  <c r="H6" i="17"/>
  <c r="I6" i="17"/>
  <c r="D6" i="17"/>
  <c r="D5" i="17"/>
  <c r="E5" i="17"/>
  <c r="F5" i="17"/>
  <c r="G5" i="17"/>
  <c r="H5" i="17"/>
  <c r="H9" i="17" s="1"/>
  <c r="C5" i="17"/>
  <c r="C4" i="17"/>
  <c r="D4" i="17"/>
  <c r="D9" i="17" s="1"/>
  <c r="E4" i="17"/>
  <c r="F4" i="17"/>
  <c r="G4" i="17"/>
  <c r="B4" i="17"/>
  <c r="B9" i="17" s="1"/>
  <c r="B12" i="17" s="1"/>
  <c r="B13" i="17" s="1"/>
  <c r="E2" i="17"/>
  <c r="E7" i="17" s="1"/>
  <c r="E9" i="17" l="1"/>
  <c r="F9" i="17"/>
  <c r="G7" i="17"/>
  <c r="G9" i="17" s="1"/>
  <c r="J7" i="17"/>
  <c r="J9" i="17" s="1"/>
  <c r="I7" i="17"/>
  <c r="I9" i="17" s="1"/>
  <c r="D12" i="17" s="1"/>
  <c r="D13" i="17" s="1"/>
  <c r="F7" i="17"/>
  <c r="C14" i="17"/>
  <c r="C15" i="17" s="1"/>
  <c r="Q11" i="1"/>
  <c r="R12" i="1"/>
  <c r="AE12" i="1"/>
  <c r="P26" i="1"/>
  <c r="Q27" i="1"/>
  <c r="C12" i="17" l="1"/>
  <c r="C13" i="17" s="1"/>
  <c r="R11" i="1"/>
  <c r="S12" i="1"/>
  <c r="Q26" i="1"/>
  <c r="R27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L12" i="9"/>
  <c r="L11" i="9"/>
  <c r="L10" i="9"/>
  <c r="L9" i="9"/>
  <c r="F28" i="5" l="1"/>
  <c r="F35" i="5"/>
  <c r="E41" i="5"/>
  <c r="F41" i="5"/>
  <c r="F47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G21" i="5" s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E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O92" i="1" l="1"/>
  <c r="P92" i="1"/>
  <c r="Q92" i="1"/>
  <c r="R92" i="1"/>
  <c r="O63" i="1"/>
  <c r="P63" i="1"/>
  <c r="P91" i="1"/>
  <c r="Q91" i="1"/>
  <c r="R91" i="1"/>
  <c r="O91" i="1"/>
  <c r="T80" i="1"/>
  <c r="O80" i="1"/>
  <c r="O90" i="1"/>
  <c r="P90" i="1"/>
  <c r="Q90" i="1"/>
  <c r="R90" i="1"/>
  <c r="P79" i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O55" i="1" l="1"/>
  <c r="R89" i="1"/>
  <c r="Q89" i="1"/>
  <c r="P89" i="1"/>
  <c r="O89" i="1"/>
  <c r="V78" i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L35" i="1"/>
  <c r="AK35" i="1"/>
  <c r="AJ35" i="1"/>
  <c r="AI35" i="1"/>
  <c r="H50" i="1"/>
  <c r="W56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35" i="1" l="1"/>
  <c r="Q35" i="1" s="1"/>
  <c r="R35" i="1" s="1"/>
  <c r="L4" i="10"/>
  <c r="G38" i="11" s="1"/>
  <c r="G41" i="11" s="1"/>
  <c r="Q70" i="5"/>
  <c r="R70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M63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P54" i="1"/>
  <c r="Q54" i="1"/>
  <c r="R54" i="1"/>
  <c r="F71" i="5"/>
  <c r="D69" i="5"/>
  <c r="D62" i="5"/>
  <c r="L56" i="5"/>
  <c r="P36" i="1"/>
  <c r="O36" i="1"/>
  <c r="T6" i="10" l="1"/>
  <c r="V93" i="1"/>
  <c r="V112" i="1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J17" i="9" s="1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J18" i="9" s="1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J19" i="9" s="1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J20" i="9" s="1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J21" i="9" s="1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J22" i="9" s="1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J23" i="9" s="1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Z71" i="5"/>
  <c r="AJ34" i="1"/>
  <c r="AJ50" i="1" s="1"/>
  <c r="AK34" i="1"/>
  <c r="AK50" i="1" s="1"/>
  <c r="AA71" i="5" l="1"/>
  <c r="J24" i="9"/>
  <c r="B2" i="12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H68" i="5"/>
  <c r="H47" i="5"/>
  <c r="H50" i="5" s="1"/>
  <c r="G24" i="5" l="1"/>
  <c r="H21" i="5"/>
  <c r="H71" i="5"/>
  <c r="J5" i="9"/>
  <c r="I68" i="5"/>
  <c r="I71" i="5" s="1"/>
  <c r="P112" i="1"/>
  <c r="P95" i="1"/>
  <c r="I47" i="5" s="1"/>
  <c r="I50" i="5" s="1"/>
  <c r="H24" i="5" l="1"/>
  <c r="I21" i="5"/>
  <c r="J68" i="5"/>
  <c r="J71" i="5" s="1"/>
  <c r="Q112" i="1"/>
  <c r="Q95" i="1"/>
  <c r="J47" i="5" s="1"/>
  <c r="I24" i="5" l="1"/>
  <c r="J21" i="5"/>
  <c r="K47" i="5"/>
  <c r="K50" i="5" s="1"/>
  <c r="J50" i="5"/>
  <c r="K68" i="5"/>
  <c r="K71" i="5" s="1"/>
  <c r="R95" i="1"/>
  <c r="R112" i="1"/>
  <c r="J24" i="5" l="1"/>
  <c r="K21" i="5"/>
  <c r="L47" i="5"/>
  <c r="M47" i="5" s="1"/>
  <c r="N47" i="5" s="1"/>
  <c r="O47" i="5" s="1"/>
  <c r="P47" i="5" s="1"/>
  <c r="I3" i="9" a="1"/>
  <c r="I5" i="9" s="1"/>
  <c r="I2" i="12" a="1"/>
  <c r="S112" i="1"/>
  <c r="S95" i="1"/>
  <c r="K24" i="5" l="1"/>
  <c r="L21" i="5"/>
  <c r="O50" i="5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T95" i="1"/>
  <c r="M50" i="5" s="1"/>
  <c r="L24" i="5" l="1"/>
  <c r="M21" i="5"/>
  <c r="R47" i="5"/>
  <c r="Q50" i="5"/>
  <c r="U95" i="1"/>
  <c r="N50" i="5" s="1"/>
  <c r="U112" i="1"/>
  <c r="N21" i="5" s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P111" i="1"/>
  <c r="N5" i="10"/>
  <c r="I31" i="11" s="1"/>
  <c r="I34" i="11" s="1"/>
  <c r="P24" i="5"/>
  <c r="U50" i="5"/>
  <c r="V47" i="5"/>
  <c r="Q97" i="1"/>
  <c r="P113" i="1" l="1"/>
  <c r="I28" i="5" s="1"/>
  <c r="I31" i="5" s="1"/>
  <c r="Q111" i="1"/>
  <c r="O5" i="10"/>
  <c r="J31" i="11" s="1"/>
  <c r="J34" i="11" s="1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X47" i="5"/>
  <c r="W50" i="5"/>
  <c r="S97" i="1"/>
  <c r="T98" i="1"/>
  <c r="R113" i="1" l="1"/>
  <c r="K28" i="5" s="1"/>
  <c r="K31" i="5" s="1"/>
  <c r="S111" i="1"/>
  <c r="Q5" i="10"/>
  <c r="L31" i="11" s="1"/>
  <c r="S24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<sst xmlns="http://schemas.openxmlformats.org/spreadsheetml/2006/main" count="1041" uniqueCount="400">
  <si>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</si>
  <si>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</si>
  <si>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</si>
  <si>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</si>
  <si>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</si>
  <si>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</si>
  <si>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</si>
  <si>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</si>
  <si>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</si>
  <si>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</si>
  <si>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</si>
  <si>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</si>
  <si>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</si>
  <si>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</si>
  <si>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</si>
  <si>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</si>
  <si>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</si>
  <si>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</si>
  <si>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</si>
  <si>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</si>
  <si>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</si>
  <si>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</si>
  <si>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</si>
  <si>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</si>
  <si>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</si>
  <si>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</si>
  <si>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</si>
  <si>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</si>
  <si>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</si>
  <si>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</si>
  <si>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</si>
  <si>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</si>
  <si>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</si>
  <si>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</si>
  <si>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</si>
  <si>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</si>
  <si>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</si>
  <si>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</si>
  <si>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</si>
  <si>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</si>
  <si>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</si>
  <si>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</si>
  <si>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</si>
  <si>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</si>
  <si>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</si>
  <si>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</si>
  <si>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</si>
  <si>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</si>
  <si>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</si>
  <si>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</si>
  <si>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</si>
  <si>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</si>
  <si>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</si>
  <si>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</si>
  <si>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</si>
  <si>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</si>
  <si>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</si>
  <si>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</si>
  <si>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</si>
  <si>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</si>
  <si>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</si>
  <si>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</si>
  <si>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</si>
  <si>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</si>
  <si>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</si>
  <si>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</si>
  <si>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</si>
  <si>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</si>
  <si>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</si>
  <si>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</si>
  <si>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</si>
  <si>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</si>
  <si>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</si>
  <si>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</si>
  <si>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</si>
  <si>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</si>
  <si>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</si>
  <si>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</si>
  <si>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</si>
  <si>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</si>
  <si>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</si>
  <si>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</si>
  <si>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</si>
  <si>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</si>
  <si>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</si>
  <si>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</si>
  <si>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</si>
  <si>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</si>
  <si>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</si>
  <si>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</si>
  <si>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</si>
  <si>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</si>
  <si>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</si>
  <si>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</si>
  <si>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</si>
  <si>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</si>
  <si>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</si>
  <si>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</si>
  <si>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</si>
  <si>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</si>
  <si>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</si>
  <si>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</si>
  <si>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</si>
  <si>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</si>
  <si>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</si>
  <si>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</si>
  <si>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</si>
  <si>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</si>
  <si>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</si>
  <si>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</si>
  <si>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</si>
  <si>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</si>
  <si>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</si>
  <si>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</si>
  <si>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</si>
  <si>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</si>
  <si>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</si>
  <si>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</si>
  <si>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</si>
  <si>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</si>
  <si>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</si>
  <si>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</si>
  <si>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</si>
  <si>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</si>
  <si>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</si>
  <si>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</si>
  <si>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</si>
  <si>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</si>
  <si>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</si>
  <si>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</si>
  <si>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</si>
  <si>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</si>
  <si>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</si>
  <si>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</si>
  <si>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</si>
  <si>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</si>
  <si>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</si>
  <si>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</si>
  <si>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</si>
  <si>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</si>
  <si>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</si>
  <si>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</si>
  <si>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</si>
  <si>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</si>
  <si>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</si>
  <si>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</si>
  <si>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</si>
  <si>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</si>
  <si>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</si>
  <si>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</si>
  <si>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</si>
  <si>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</si>
  <si>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</si>
  <si>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</si>
  <si>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</si>
  <si>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</si>
  <si>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</si>
  <si>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</si>
  <si>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</si>
  <si>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</si>
  <si>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</si>
  <si>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</si>
  <si>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</si>
  <si>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</si>
  <si>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</si>
  <si>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</si>
  <si>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</si>
  <si>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</si>
  <si>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</si>
  <si>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</si>
  <si>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</si>
  <si>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</si>
  <si>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</si>
  <si>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</si>
  <si>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</si>
  <si>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</si>
  <si>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</si>
  <si>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</si>
  <si>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</si>
  <si>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</si>
  <si>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</si>
  <si>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</si>
  <si>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</si>
  <si>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</si>
  <si>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</si>
  <si>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</si>
  <si>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</si>
  <si>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</si>
  <si>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</si>
  <si>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</si>
  <si>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</si>
  <si>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</si>
  <si>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</si>
  <si>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</si>
  <si>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</si>
  <si>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</si>
  <si>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</si>
  <si>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</si>
  <si>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</si>
  <si>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</si>
  <si>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</si>
  <si>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</si>
  <si>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</si>
  <si>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</si>
  <si>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</si>
  <si>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</si>
  <si>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</si>
  <si>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</si>
  <si>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</si>
  <si>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</si>
  <si>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</si>
  <si>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</si>
  <si>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</si>
  <si>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</si>
  <si>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</si>
  <si>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</si>
  <si>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</si>
  <si>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</si>
  <si>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</si>
  <si>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</si>
  <si>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</si>
  <si>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</si>
  <si>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</si>
  <si>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</si>
  <si>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</si>
  <si>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</si>
  <si>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</si>
  <si>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</si>
  <si>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</si>
  <si>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</si>
  <si>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</si>
  <si>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</si>
  <si>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</si>
  <si>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</si>
  <si>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</si>
  <si>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</si>
  <si>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</si>
  <si>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</si>
  <si>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</si>
  <si>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</si>
  <si>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</si>
  <si>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</si>
  <si>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</si>
  <si>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</si>
  <si>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</si>
  <si>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</si>
  <si>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</si>
  <si>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</si>
  <si>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</si>
  <si>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</si>
  <si>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</si>
  <si>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</si>
  <si>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</si>
  <si>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</si>
  <si>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</si>
  <si>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</si>
  <si>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</si>
  <si>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</si>
  <si>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</si>
  <si>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</si>
  <si>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</si>
  <si>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</si>
  <si>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</si>
  <si>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</si>
  <si>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</si>
  <si>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</si>
  <si>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</si>
  <si>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</si>
  <si>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</si>
  <si>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</si>
  <si>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</si>
  <si>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</si>
  <si>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</si>
  <si>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</si>
  <si>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</si>
  <si>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</si>
  <si>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</si>
  <si>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</si>
  <si>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</si>
  <si>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</si>
  <si>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</si>
  <si>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</si>
  <si>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</si>
  <si>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</si>
  <si>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</si>
  <si>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</si>
  <si>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</si>
  <si>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</si>
  <si>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</si>
  <si>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</si>
  <si>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</si>
  <si>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</si>
  <si>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</si>
  <si>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</si>
  <si>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</si>
  <si>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</si>
  <si>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</si>
  <si>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</si>
  <si>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</si>
  <si>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</si>
  <si>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</si>
  <si>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</si>
  <si>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</si>
  <si>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</si>
  <si>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</si>
  <si>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</si>
  <si>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</si>
  <si>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</si>
  <si>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</si>
  <si>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</si>
  <si>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</si>
  <si>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</si>
  <si>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</si>
  <si>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</si>
  <si>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</si>
  <si>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</si>
  <si>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</si>
  <si>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</si>
  <si>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</si>
  <si>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</si>
  <si>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</si>
  <si>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</si>
  <si>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</si>
  <si>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</si>
  <si>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</si>
  <si>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</si>
  <si>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</si>
  <si>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</si>
  <si>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</si>
  <si>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</si>
  <si>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</si>
  <si>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</si>
  <si>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</si>
  <si>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</si>
  <si>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</si>
  <si>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</si>
  <si>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</si>
  <si>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</si>
  <si>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</si>
  <si>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</si>
  <si>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</si>
  <si>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</si>
  <si>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</si>
  <si>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</si>
  <si>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</si>
  <si>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</si>
  <si>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</si>
  <si>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</si>
  <si>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</si>
  <si>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</si>
  <si>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</si>
  <si>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</si>
  <si>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</si>
  <si>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</si>
  <si>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</si>
  <si>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</si>
  <si>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</si>
  <si>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</si>
  <si>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</si>
  <si>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</si>
  <si>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</si>
  <si>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</si>
  <si>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</si>
  <si>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</si>
  <si>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</si>
  <si>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</si>
  <si>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</si>
  <si>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</si>
  <si>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</si>
  <si>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</si>
  <si>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</si>
  <si>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</si>
  <si>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</si>
  <si>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</si>
  <si>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</si>
  <si>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</si>
  <si>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</si>
  <si>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</si>
  <si>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</si>
  <si>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</si>
  <si>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</si>
  <si>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</si>
  <si>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</si>
  <si>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</si>
  <si>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</si>
  <si>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</si>
  <si>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</si>
  <si>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</si>
  <si>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</si>
  <si>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</si>
  <si>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</si>
  <si>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</si>
  <si>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</si>
  <si>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</si>
  <si>
    <t>consumption_grants_override</t>
  </si>
  <si>
    <t>ui_override</t>
  </si>
  <si>
    <t>federal_ui_override</t>
  </si>
  <si>
    <t>state_ui_override</t>
  </si>
  <si>
    <t>add_state_non_corporate_taxes</t>
  </si>
  <si>
    <t>add_consumption_grants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</si>
</sst>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14" fontId="3" fillId="0" borderId="0" xfId="0" applyNumberFormat="1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57" zoomScaleNormal="110" workbookViewId="0">
      <pane xSplit="2" ySplit="3" topLeftCell="L96" activePane="bottomRight" state="frozen"/>
      <selection pane="topRight" activeCell="C1" sqref="C1"/>
      <selection pane="bottomLeft" activeCell="A4" sqref="A4"/>
      <selection pane="bottomRight" activeCell="W112" sqref="W11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53" t="s">
        <v>360</v>
      </c>
      <c r="B1" s="353"/>
      <c r="C1" s="268"/>
      <c r="D1" s="268"/>
      <c r="E1" s="35"/>
      <c r="N1" t="s">
        <v>362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272</v>
      </c>
      <c r="AJ1" s="355"/>
      <c r="AK1" s="355"/>
      <c r="AL1" s="355"/>
      <c r="AM1" s="354" t="s">
        <v>270</v>
      </c>
      <c r="AN1" s="354"/>
      <c r="AO1" s="354"/>
      <c r="AP1" s="354"/>
    </row>
    <row r="2" spans="1:43" ht="23" customHeight="1" x14ac:dyDescent="0.2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9" x14ac:dyDescent="0.2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254</v>
      </c>
      <c r="B5" t="s">
        <v>274</v>
      </c>
      <c r="C5" s="35" t="s">
        <v>282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01">
        <f>VLOOKUP($C$5,'Haver NA'!$A$1:$K$34,11,0)</f>
        <v>22048.9</v>
      </c>
      <c r="P5">
        <f t="shared" ref="P5:Z5" si="0">O5*(1+P6)</f>
        <v>22274.929756211415</v>
      </c>
      <c r="Q5">
        <f t="shared" si="0"/>
        <v>22597.425783377344</v>
      </c>
      <c r="R5">
        <f t="shared" si="0"/>
        <v>22897.823365627963</v>
      </c>
      <c r="S5">
        <f t="shared" si="0"/>
        <v>23182.07596529205</v>
      </c>
      <c r="T5">
        <f t="shared" si="0"/>
        <v>23416.783649643719</v>
      </c>
      <c r="U5">
        <f t="shared" si="0"/>
        <v>23668.746284134751</v>
      </c>
      <c r="V5">
        <f t="shared" si="0"/>
        <v>23917.379015967304</v>
      </c>
      <c r="W5">
        <f t="shared" si="0"/>
        <v>24146.234144131366</v>
      </c>
      <c r="X5">
        <f t="shared" si="0"/>
        <v>24402.333930410194</v>
      </c>
      <c r="Y5">
        <f t="shared" si="0"/>
        <v>24671.652421181738</v>
      </c>
      <c r="Z5">
        <f t="shared" si="0"/>
        <v>24949.245215528885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02">
        <f t="shared" si="1"/>
        <v>2.6508996950580954E-2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255</v>
      </c>
      <c r="B7" t="s">
        <v>274</v>
      </c>
      <c r="C7" s="35" t="s">
        <v>283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01">
        <f>VLOOKUP($C$7,'Haver NA'!$A$1:$K$34,11,0)</f>
        <v>19087.599999999999</v>
      </c>
      <c r="P7">
        <f t="shared" ref="P7:Z7" si="2">O7*(1+P8)</f>
        <v>19205.769010980937</v>
      </c>
      <c r="Q7">
        <f t="shared" si="2"/>
        <v>19386.02682434169</v>
      </c>
      <c r="R7">
        <f t="shared" si="2"/>
        <v>19558.77389547908</v>
      </c>
      <c r="S7">
        <f t="shared" si="2"/>
        <v>19700.176135737627</v>
      </c>
      <c r="T7">
        <f t="shared" si="2"/>
        <v>19806.628388850117</v>
      </c>
      <c r="U7">
        <f t="shared" si="2"/>
        <v>19924.897543060702</v>
      </c>
      <c r="V7">
        <f t="shared" si="2"/>
        <v>20035.455668588631</v>
      </c>
      <c r="W7">
        <f t="shared" si="2"/>
        <v>20128.789158617648</v>
      </c>
      <c r="X7">
        <f t="shared" si="2"/>
        <v>20241.650578427409</v>
      </c>
      <c r="Y7">
        <f t="shared" si="2"/>
        <v>20362.623599838404</v>
      </c>
      <c r="Z7">
        <f t="shared" si="2"/>
        <v>20486.300488449808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9.8835802435941478E-3</v>
      </c>
      <c r="O8" s="302">
        <f t="shared" si="8"/>
        <v>1.6362890901636229E-2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2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3333.1</v>
      </c>
      <c r="O11" s="340">
        <f t="shared" si="9"/>
        <v>3333.7</v>
      </c>
      <c r="P11" s="167">
        <f t="shared" si="9"/>
        <v>3365.4895999999999</v>
      </c>
      <c r="Q11" s="167">
        <f t="shared" si="9"/>
        <v>3397.7383168000001</v>
      </c>
      <c r="R11" s="167">
        <f t="shared" si="9"/>
        <v>3459.0311575040005</v>
      </c>
      <c r="S11" s="167">
        <f t="shared" si="9"/>
        <v>3499.02081627904</v>
      </c>
      <c r="T11" s="167">
        <f t="shared" si="9"/>
        <v>3539.6263455298304</v>
      </c>
      <c r="U11" s="167">
        <f t="shared" si="9"/>
        <v>3580.8625429166486</v>
      </c>
      <c r="V11" s="167">
        <f t="shared" si="9"/>
        <v>3652.4797937749818</v>
      </c>
      <c r="W11" s="168"/>
      <c r="AD11" s="95"/>
      <c r="AE11" s="146"/>
      <c r="AI11" s="146"/>
      <c r="AJ11" s="146"/>
    </row>
    <row r="12" spans="1:43" x14ac:dyDescent="0.2">
      <c r="A12" s="211" t="s">
        <v>24</v>
      </c>
      <c r="B12" t="s">
        <v>274</v>
      </c>
      <c r="C12" t="s">
        <v>284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NA'!$A$1:$K$34,10,0)</f>
        <v>1710.3</v>
      </c>
      <c r="O12" s="319">
        <f>VLOOKUP($C$12,'Haver NA'!$A$1:$K$34,11,0)</f>
        <v>1722.1</v>
      </c>
      <c r="P12" s="168">
        <f t="shared" ref="P12:U12" si="11">O12*(1+P14)</f>
        <v>1735.8768</v>
      </c>
      <c r="Q12" s="168">
        <f t="shared" si="11"/>
        <v>1749.7638144</v>
      </c>
      <c r="R12" s="168">
        <f t="shared" si="11"/>
        <v>1767.2614525440001</v>
      </c>
      <c r="S12" s="168">
        <f t="shared" si="11"/>
        <v>1784.9340670694401</v>
      </c>
      <c r="T12" s="168">
        <f t="shared" si="11"/>
        <v>1802.7834077401344</v>
      </c>
      <c r="U12" s="168">
        <f t="shared" si="11"/>
        <v>1820.8112418175358</v>
      </c>
      <c r="V12" s="168">
        <f>U12*(1+V14)</f>
        <v>1857.2274666538865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1729.5101536</v>
      </c>
      <c r="AF12" s="45">
        <f>AVERAGE(R12:U12)</f>
        <v>1793.9475422927778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365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25</v>
      </c>
      <c r="B15" t="s">
        <v>274</v>
      </c>
      <c r="C15" t="s">
        <v>285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319">
        <f>VLOOKUP($C$15,'Haver NA'!$A$1:$K$34,11,0)</f>
        <v>160</v>
      </c>
      <c r="P15" s="168">
        <f t="shared" ref="P15:V15" si="12">O15*(1+P17)</f>
        <v>166.4</v>
      </c>
      <c r="Q15" s="168">
        <f t="shared" si="12"/>
        <v>173.05600000000001</v>
      </c>
      <c r="R15" s="168">
        <f t="shared" si="12"/>
        <v>179.97824000000003</v>
      </c>
      <c r="S15" s="168">
        <f t="shared" si="12"/>
        <v>187.17736960000005</v>
      </c>
      <c r="T15" s="168">
        <f t="shared" si="12"/>
        <v>194.66446438400007</v>
      </c>
      <c r="U15" s="168">
        <f t="shared" si="12"/>
        <v>202.45104295936008</v>
      </c>
      <c r="V15" s="168">
        <f t="shared" si="12"/>
        <v>206.50006381854729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162.68900000000002</v>
      </c>
      <c r="AF15" s="45">
        <f>AVERAGE(R15:U15)</f>
        <v>191.06777923584005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365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26</v>
      </c>
      <c r="B18" t="s">
        <v>274</v>
      </c>
      <c r="C18" t="s">
        <v>286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NA'!$A$1:$K$34,11,0)</f>
        <v>1471.5</v>
      </c>
      <c r="O18" s="319">
        <f>VLOOKUP($C$18,'Haver NA'!$A$1:$J$34,10,0)</f>
        <v>1451.6</v>
      </c>
      <c r="P18" s="168">
        <f t="shared" ref="P18:V18" si="13">O18*(1+P20)</f>
        <v>1463.2128</v>
      </c>
      <c r="Q18" s="168">
        <f t="shared" si="13"/>
        <v>1474.9185024000001</v>
      </c>
      <c r="R18" s="168">
        <f t="shared" si="13"/>
        <v>1511.79146496</v>
      </c>
      <c r="S18" s="168">
        <f t="shared" si="13"/>
        <v>1526.9093796095999</v>
      </c>
      <c r="T18" s="168">
        <f t="shared" si="13"/>
        <v>1542.178473405696</v>
      </c>
      <c r="U18" s="168">
        <f t="shared" si="13"/>
        <v>1557.6002581397529</v>
      </c>
      <c r="V18" s="168">
        <f t="shared" si="13"/>
        <v>1588.752263302548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1465.3078255999999</v>
      </c>
      <c r="AF18" s="45">
        <f>AVERAGE(R18:U18)</f>
        <v>1534.6198940287622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365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274</v>
      </c>
      <c r="C21" t="s">
        <v>287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>
        <f>VLOOKUP($C$21,'Haver NA'!$A$1:$K$34,11,0)</f>
        <v>236.9</v>
      </c>
      <c r="P21" s="168">
        <f t="shared" ref="P21" si="14">O21*(1+P23)</f>
        <v>240.45349999999999</v>
      </c>
      <c r="Q21" s="168">
        <f t="shared" ref="Q21" si="15">P21*(1+Q23)</f>
        <v>244.06030249999998</v>
      </c>
      <c r="R21" s="168">
        <f t="shared" ref="R21" si="16">Q21*(1+R23)</f>
        <v>258.70392064999999</v>
      </c>
      <c r="S21" s="168">
        <f t="shared" ref="S21" si="17">R21*(1+S23)</f>
        <v>274.22615588899998</v>
      </c>
      <c r="T21" s="168">
        <f t="shared" ref="T21" si="18">S21*(1+T23)</f>
        <v>290.67972524234</v>
      </c>
      <c r="U21" s="168">
        <f t="shared" ref="U21:V21" si="19">T21*(1+U23)</f>
        <v>308.12050875688044</v>
      </c>
      <c r="V21" s="168">
        <f t="shared" si="19"/>
        <v>326.60773928229327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233.39720062499998</v>
      </c>
      <c r="AF21" s="45">
        <f>AVERAGE(R21:U21)</f>
        <v>282.93257763455506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365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1872.9389999999999</v>
      </c>
      <c r="O26" s="341">
        <f t="shared" si="20"/>
        <v>1931.039</v>
      </c>
      <c r="P26" s="102">
        <f t="shared" si="20"/>
        <v>1950.8346485087573</v>
      </c>
      <c r="Q26" s="102">
        <f t="shared" si="20"/>
        <v>1979.078797006073</v>
      </c>
      <c r="R26" s="102">
        <f t="shared" si="20"/>
        <v>2005.3875673679349</v>
      </c>
      <c r="S26" s="102">
        <f t="shared" si="20"/>
        <v>2030.2823628363137</v>
      </c>
      <c r="T26" s="102">
        <f t="shared" si="20"/>
        <v>2050.8380228503174</v>
      </c>
      <c r="U26" s="102">
        <f t="shared" si="20"/>
        <v>2072.9048685317312</v>
      </c>
      <c r="V26" s="102">
        <f t="shared" ref="V26" si="22">SUM(V27:V29)</f>
        <v>2094.6800818913639</v>
      </c>
    </row>
    <row r="27" spans="1:39" x14ac:dyDescent="0.2">
      <c r="A27" s="211" t="s">
        <v>21</v>
      </c>
      <c r="C27" t="s">
        <v>288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318">
        <f>VLOOKUP($C$27,'Haver NA'!$A$1:$K$34,11,0)</f>
        <v>556.79999999999995</v>
      </c>
      <c r="P27" s="102">
        <f t="shared" ref="P27:V29" si="23">O27*(1+P$6)</f>
        <v>562.50792049755387</v>
      </c>
      <c r="Q27" s="102">
        <f t="shared" si="23"/>
        <v>570.65189992174237</v>
      </c>
      <c r="R27" s="102">
        <f t="shared" si="23"/>
        <v>578.2378281901432</v>
      </c>
      <c r="S27" s="102">
        <f t="shared" si="23"/>
        <v>585.41604785157597</v>
      </c>
      <c r="T27" s="102">
        <f t="shared" si="23"/>
        <v>591.34311172537514</v>
      </c>
      <c r="U27" s="102">
        <f t="shared" si="23"/>
        <v>597.70591417287164</v>
      </c>
      <c r="V27" s="102">
        <f t="shared" si="23"/>
        <v>603.98462672018081</v>
      </c>
    </row>
    <row r="28" spans="1:39" x14ac:dyDescent="0.2">
      <c r="A28" s="211" t="s">
        <v>22</v>
      </c>
      <c r="C28" t="s">
        <v>289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318">
        <f>VLOOKUP($C$28,'Haver NA'!$A$1:$K$34,10,0)</f>
        <v>1352.4</v>
      </c>
      <c r="P28" s="102">
        <f t="shared" si="23"/>
        <v>1366.2638500016019</v>
      </c>
      <c r="Q28" s="102">
        <f t="shared" si="23"/>
        <v>1386.0445931288873</v>
      </c>
      <c r="R28" s="102">
        <f t="shared" si="23"/>
        <v>1404.4698973497661</v>
      </c>
      <c r="S28" s="102">
        <f t="shared" si="23"/>
        <v>1421.9049265705305</v>
      </c>
      <c r="T28" s="102">
        <f t="shared" si="23"/>
        <v>1436.3010493846937</v>
      </c>
      <c r="U28" s="102">
        <f t="shared" si="23"/>
        <v>1451.7555286052293</v>
      </c>
      <c r="V28" s="102">
        <f t="shared" si="23"/>
        <v>1467.0057636069912</v>
      </c>
    </row>
    <row r="29" spans="1:39" x14ac:dyDescent="0.2">
      <c r="A29" s="211" t="s">
        <v>23</v>
      </c>
      <c r="C29" t="s">
        <v>290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NA'!$A$1:$J$34,10,0)</f>
        <v>21.838999999999999</v>
      </c>
      <c r="O29" s="318">
        <f>VLOOKUP($C$29,'Haver NA'!$A$1:$K$34,10,0)</f>
        <v>21.838999999999999</v>
      </c>
      <c r="P29" s="102">
        <f t="shared" si="23"/>
        <v>22.062878009601434</v>
      </c>
      <c r="Q29" s="102">
        <f t="shared" si="23"/>
        <v>22.382303955443479</v>
      </c>
      <c r="R29" s="102">
        <f t="shared" si="23"/>
        <v>22.679841828025388</v>
      </c>
      <c r="S29" s="102">
        <f t="shared" si="23"/>
        <v>22.961388414207192</v>
      </c>
      <c r="T29" s="102">
        <f t="shared" si="23"/>
        <v>23.193861740248678</v>
      </c>
      <c r="U29" s="102">
        <f t="shared" si="23"/>
        <v>23.443425753630279</v>
      </c>
      <c r="V29" s="102">
        <f t="shared" si="23"/>
        <v>23.689691564191854</v>
      </c>
    </row>
    <row r="30" spans="1:39" x14ac:dyDescent="0.2">
      <c r="A30" s="176" t="s">
        <v>0</v>
      </c>
      <c r="C30" t="s">
        <v>291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91.517404099138886</v>
      </c>
      <c r="O30" s="341">
        <f t="shared" si="24"/>
        <v>93.943438685328047</v>
      </c>
      <c r="P30" s="102">
        <f t="shared" si="24"/>
        <v>94.906480494384581</v>
      </c>
      <c r="Q30" s="102">
        <f t="shared" si="24"/>
        <v>96.28053478980631</v>
      </c>
      <c r="R30" s="102">
        <f t="shared" si="24"/>
        <v>97.560434551217611</v>
      </c>
      <c r="S30" s="102">
        <f t="shared" si="24"/>
        <v>98.77154561198202</v>
      </c>
      <c r="T30" s="102">
        <f t="shared" si="24"/>
        <v>99.771561347636251</v>
      </c>
      <c r="U30" s="102">
        <f t="shared" si="24"/>
        <v>100.84509500710688</v>
      </c>
      <c r="V30" s="102">
        <f t="shared" si="24"/>
        <v>101.90444099706906</v>
      </c>
    </row>
    <row r="31" spans="1:39" s="185" customFormat="1" ht="12" x14ac:dyDescent="0.15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0.43132981783498947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A33" t="s">
        <v>393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274</v>
      </c>
      <c r="C34" t="s">
        <v>292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303">
        <f>VLOOKUP($C$34,'Haver NA'!$A$1:$K$34,11,0)</f>
        <v>5166912</v>
      </c>
      <c r="P34" s="133">
        <f t="shared" ref="P34:U34" si="26">P35+P40+P50</f>
        <v>2705730.7097351807</v>
      </c>
      <c r="Q34" s="133">
        <f t="shared" si="26"/>
        <v>2608406.1184375221</v>
      </c>
      <c r="R34" s="133">
        <f t="shared" si="26"/>
        <v>2675260.9058893258</v>
      </c>
      <c r="S34" s="133">
        <f t="shared" si="26"/>
        <v>2731866.8126938515</v>
      </c>
      <c r="T34" s="133">
        <f t="shared" si="26"/>
        <v>2789882.180047215</v>
      </c>
      <c r="U34" s="133">
        <f t="shared" si="26"/>
        <v>2849346.4737674939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ht="16" x14ac:dyDescent="0.2">
      <c r="A35" s="86" t="s">
        <v>3</v>
      </c>
      <c r="B35" t="s">
        <v>274</v>
      </c>
      <c r="C35" t="s">
        <v>293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303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892.3796116912655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ht="16" x14ac:dyDescent="0.2">
      <c r="A36" s="93" t="s">
        <v>329</v>
      </c>
      <c r="B36" t="s">
        <v>274</v>
      </c>
      <c r="C36" t="s">
        <v>294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337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323</v>
      </c>
      <c r="B41" t="s">
        <v>274</v>
      </c>
      <c r="C41" t="s">
        <v>295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303">
        <f>VLOOKUP($C$41,'Haver NA'!$A$1:$K$34,11,0)</f>
        <v>880104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335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202</v>
      </c>
      <c r="B48" s="107" t="s">
        <v>274</v>
      </c>
      <c r="C48" s="107" t="s">
        <v>296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371</v>
      </c>
      <c r="B49" s="107" t="s">
        <v>274</v>
      </c>
      <c r="C49" s="107" t="s">
        <v>297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298">
        <f>N50*(1+O52)</f>
        <v>1663323.8025</v>
      </c>
      <c r="P50" s="88">
        <f t="shared" ref="P50:Q50" si="32">O50*(1+P52)</f>
        <v>1650848.87398125</v>
      </c>
      <c r="Q50" s="88">
        <f t="shared" si="32"/>
        <v>1638467.5074263907</v>
      </c>
      <c r="R50" s="88">
        <f>Q50*(1+R52)</f>
        <v>1663044.5200377863</v>
      </c>
      <c r="S50" s="88">
        <f t="shared" ref="S50:U50" si="33">R50*(1+S52)</f>
        <v>1687990.187838353</v>
      </c>
      <c r="T50" s="88">
        <f t="shared" si="33"/>
        <v>1713310.0406559282</v>
      </c>
      <c r="U50" s="88">
        <f t="shared" si="33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28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3.6483389338011207E-3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274</v>
      </c>
      <c r="C54" t="s">
        <v>298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308">
        <f>VLOOKUP($C$54,'Haver NA'!$A$1:$K$34,11,0)</f>
        <v>404854</v>
      </c>
      <c r="P54" s="144">
        <f t="shared" ref="P54:Z54" si="36">P55+AVERAGE($H$54:$K$54)</f>
        <v>847383.58333333337</v>
      </c>
      <c r="Q54" s="144">
        <f t="shared" si="36"/>
        <v>107416.91666666667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473700</v>
      </c>
      <c r="O55" s="299">
        <f>O57+O58+SUM(O63:O66)</f>
        <v>778604.6</v>
      </c>
      <c r="P55" s="116">
        <f t="shared" ref="P55:V55" si="38">P57+P58+SUM(P63:P66)</f>
        <v>772553.33333333337</v>
      </c>
      <c r="Q55" s="116">
        <f t="shared" si="38"/>
        <v>32586.666666666672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327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325</v>
      </c>
      <c r="C57" t="s">
        <v>299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308">
        <f>VLOOKUP($C$57,'Haver NA'!$A$1:$K$34,11,0)</f>
        <v>184.6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266</v>
      </c>
      <c r="C58" t="s">
        <v>324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275</v>
      </c>
      <c r="B59" s="185" t="s">
        <v>274</v>
      </c>
      <c r="C59" t="s">
        <v>300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309">
        <f>VLOOKUP($C$59,'Haver NA'!$A$1:$K$34,11,0)</f>
        <v>38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276</v>
      </c>
      <c r="B60" s="185" t="s">
        <v>274</v>
      </c>
      <c r="C60" t="s">
        <v>301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309">
        <f>VLOOKUP($C$60,'Haver NA'!$A$1:$K$34,11,0)</f>
        <v>73.3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277</v>
      </c>
      <c r="B61" s="185" t="s">
        <v>274</v>
      </c>
      <c r="C61" t="s">
        <v>302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309">
        <f>VLOOKUP($C$61,'Haver NA'!$A$1:$K$34,11,0)</f>
        <v>8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328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326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387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276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274</v>
      </c>
      <c r="C68" t="s">
        <v>303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VLOOKUP($C$68,'Haver NA'!$A$1:$K$34,11,0)</f>
        <v>783864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225951</v>
      </c>
      <c r="O70" s="308">
        <f>O68-O93</f>
        <v>260701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299">
        <f t="shared" ref="O71:Z71" si="40">N71*(1+O87)</f>
        <v>197738.804</v>
      </c>
      <c r="P71" s="116">
        <f t="shared" si="40"/>
        <v>198529.75921600001</v>
      </c>
      <c r="Q71" s="116">
        <f t="shared" si="40"/>
        <v>199323.878252864</v>
      </c>
      <c r="R71" s="116">
        <f t="shared" si="40"/>
        <v>200121.17376587546</v>
      </c>
      <c r="S71" s="116">
        <f t="shared" si="40"/>
        <v>200921.65846093895</v>
      </c>
      <c r="T71" s="116">
        <f t="shared" si="40"/>
        <v>201725.34509478271</v>
      </c>
      <c r="U71" s="116">
        <f t="shared" si="40"/>
        <v>202532.24647516184</v>
      </c>
      <c r="V71" s="116">
        <f t="shared" si="40"/>
        <v>203342.37546106247</v>
      </c>
      <c r="W71" s="116">
        <f t="shared" si="40"/>
        <v>204155.74496290673</v>
      </c>
      <c r="X71" s="116">
        <f t="shared" si="40"/>
        <v>204972.36794275834</v>
      </c>
      <c r="Y71" s="116">
        <f t="shared" si="40"/>
        <v>205792.25741452936</v>
      </c>
      <c r="Z71" s="116">
        <f t="shared" si="40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205</v>
      </c>
      <c r="B72" s="138" t="s">
        <v>274</v>
      </c>
      <c r="C72" t="s">
        <v>304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205">
        <f>VLOOKUP($C$72,'Haver NA'!$A$1:$J$34,10,0)</f>
        <v>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372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195</v>
      </c>
      <c r="B75" s="35" t="s">
        <v>274</v>
      </c>
      <c r="C75" s="35" t="s">
        <v>366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370</v>
      </c>
      <c r="B76" s="107" t="s">
        <v>274</v>
      </c>
      <c r="C76" s="107" t="s">
        <v>367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199</v>
      </c>
      <c r="B77" s="107" t="s">
        <v>274</v>
      </c>
      <c r="C77" s="107" t="s">
        <v>368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338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339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294151</v>
      </c>
      <c r="O83" s="299">
        <f t="shared" si="44"/>
        <v>322638.804</v>
      </c>
      <c r="P83" s="144">
        <f t="shared" si="44"/>
        <v>324529.75921599998</v>
      </c>
      <c r="Q83" s="144">
        <f t="shared" si="44"/>
        <v>319323.878252864</v>
      </c>
      <c r="R83" s="144">
        <f t="shared" si="44"/>
        <v>319121.17376587546</v>
      </c>
      <c r="S83" s="144">
        <f t="shared" si="44"/>
        <v>309921.65846093895</v>
      </c>
      <c r="T83" s="144">
        <f t="shared" si="44"/>
        <v>310725.34509478271</v>
      </c>
      <c r="U83" s="144">
        <f t="shared" si="44"/>
        <v>311532.24647516187</v>
      </c>
      <c r="V83" s="144">
        <f t="shared" si="44"/>
        <v>312342.37546106247</v>
      </c>
      <c r="W83" s="144">
        <f t="shared" si="44"/>
        <v>313155.7449629067</v>
      </c>
      <c r="X83" s="144">
        <f t="shared" si="44"/>
        <v>273972.36794275837</v>
      </c>
      <c r="Y83" s="144">
        <f t="shared" si="44"/>
        <v>264792.25741452933</v>
      </c>
      <c r="Z83" s="144">
        <f t="shared" si="44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274</v>
      </c>
      <c r="C85" t="s">
        <v>305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308">
        <f>VLOOKUP($C$85,'Haver NA'!$A$1:$K$34,11,0)/1000</f>
        <v>1376.097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201</v>
      </c>
      <c r="B86" s="35" t="s">
        <v>274</v>
      </c>
      <c r="C86" t="s">
        <v>306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 s="301">
        <f>VLOOKUP($C$86,'Haver NA'!$A$1:$K$34,11,0)/1000</f>
        <v>1557.0050000000001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369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388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344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389</v>
      </c>
      <c r="B93" s="35" t="s">
        <v>274</v>
      </c>
      <c r="C93" t="s">
        <v>307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308">
        <f>VLOOKUP($C$93,'Haver NA'!$A$1:$K$34,11,0)</f>
        <v>523163</v>
      </c>
      <c r="P93" s="116">
        <f t="shared" ref="P93:S93" si="46">P100*0.74</f>
        <v>513657.86006521928</v>
      </c>
      <c r="Q93" s="116">
        <f t="shared" si="46"/>
        <v>513657.86006521928</v>
      </c>
      <c r="R93" s="116">
        <f t="shared" si="46"/>
        <v>513657.86006521928</v>
      </c>
      <c r="S93" s="116">
        <f t="shared" si="46"/>
        <v>513657.86006521928</v>
      </c>
      <c r="T93" s="116">
        <f>T100*0.68</f>
        <v>472009.92546533665</v>
      </c>
      <c r="U93" s="116">
        <f>U100*0.68</f>
        <v>472009.92546533665</v>
      </c>
      <c r="V93" s="116">
        <f>V100*0.68</f>
        <v>472009.92546533665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515667.93003260961</v>
      </c>
      <c r="AF93" s="45">
        <f>AVERAGE(R93:U93)</f>
        <v>492833.892765278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2027793</v>
      </c>
      <c r="O94" s="298">
        <f t="shared" ref="O94:Z94" si="48">O50+O47+O36+O42+O37+O38+O39</f>
        <v>3118123.8025000002</v>
      </c>
      <c r="P94" s="142">
        <f t="shared" si="48"/>
        <v>1874848.87398125</v>
      </c>
      <c r="Q94" s="142">
        <f t="shared" si="48"/>
        <v>1686467.5074263907</v>
      </c>
      <c r="R94" s="142">
        <f t="shared" si="48"/>
        <v>1683044.5200377863</v>
      </c>
      <c r="S94" s="142">
        <f t="shared" si="48"/>
        <v>1687990.187838353</v>
      </c>
      <c r="T94" s="142">
        <f t="shared" si="48"/>
        <v>1713310.0406559282</v>
      </c>
      <c r="U94" s="142">
        <f t="shared" si="48"/>
        <v>1739009.691265767</v>
      </c>
      <c r="V94" s="142">
        <f t="shared" si="48"/>
        <v>1756399.7881784246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2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 t="shared" si="49"/>
        <v>1416539.69581915</v>
      </c>
      <c r="Q95" s="143">
        <f t="shared" si="49"/>
        <v>1439596.4710763504</v>
      </c>
      <c r="R95" s="143">
        <f t="shared" si="49"/>
        <v>1481874.2459167584</v>
      </c>
      <c r="S95" s="143">
        <f t="shared" si="49"/>
        <v>1513534.4849207178</v>
      </c>
      <c r="T95" s="143">
        <f t="shared" si="49"/>
        <v>1504582.0648566233</v>
      </c>
      <c r="U95" s="143">
        <f t="shared" si="49"/>
        <v>1538346.7079670634</v>
      </c>
      <c r="V95" s="143">
        <f t="shared" si="49"/>
        <v>1549092.2814333434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2">
      <c r="A97" s="35" t="s">
        <v>15</v>
      </c>
      <c r="B97" s="35" t="s">
        <v>274</v>
      </c>
      <c r="C97" t="s">
        <v>308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303">
        <f>VLOOKUP($C$97,'Haver NA'!$A$1:$K$34,11,0)</f>
        <v>833185</v>
      </c>
      <c r="P97" s="133">
        <f t="shared" ref="P97:U97" si="50">P98+P100</f>
        <v>839966.69025637733</v>
      </c>
      <c r="Q97" s="133">
        <f t="shared" si="50"/>
        <v>840695.86249100231</v>
      </c>
      <c r="R97" s="133">
        <f t="shared" si="50"/>
        <v>841795.08963469951</v>
      </c>
      <c r="S97" s="133">
        <f t="shared" si="50"/>
        <v>843271.71809773275</v>
      </c>
      <c r="T97" s="133">
        <f t="shared" si="50"/>
        <v>844616.81782463961</v>
      </c>
      <c r="U97" s="133">
        <f t="shared" si="50"/>
        <v>846048.30010281573</v>
      </c>
      <c r="V97" s="133">
        <f t="shared" ref="V97" si="51">V98+V100</f>
        <v>847541.48420332698</v>
      </c>
      <c r="AM97" s="233"/>
    </row>
    <row r="98" spans="1:39" s="35" customFormat="1" x14ac:dyDescent="0.2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343">
        <f>N98*(1+O110)</f>
        <v>145470.76999999999</v>
      </c>
      <c r="P98" s="133">
        <f t="shared" ref="P98:S98" si="53">O98*(1+P110)</f>
        <v>145834.44692499997</v>
      </c>
      <c r="Q98" s="133">
        <f t="shared" si="53"/>
        <v>146563.61915962494</v>
      </c>
      <c r="R98" s="133">
        <f t="shared" si="53"/>
        <v>147662.84630332215</v>
      </c>
      <c r="S98" s="133">
        <f t="shared" si="53"/>
        <v>149139.47476635536</v>
      </c>
      <c r="T98" s="133">
        <f t="shared" ref="T98:V98" si="54">S98*(1+T109)</f>
        <v>150484.57449326222</v>
      </c>
      <c r="U98" s="133">
        <f t="shared" si="54"/>
        <v>151916.05677143831</v>
      </c>
      <c r="V98" s="133">
        <f t="shared" si="54"/>
        <v>153409.24087194959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2">
      <c r="A100" s="35" t="s">
        <v>221</v>
      </c>
      <c r="B100" s="35" t="s">
        <v>274</v>
      </c>
      <c r="C100" t="s">
        <v>309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310">
        <f>VLOOKUP($C$100,'Haver NA'!$A$1:$K$34,11,0)</f>
        <v>687274</v>
      </c>
      <c r="P100" s="135">
        <f>O100*(($AJ$100/$AI$100)^0.1)</f>
        <v>694132.24333137739</v>
      </c>
      <c r="Q100" s="135">
        <f>P100*(1+Q101)</f>
        <v>694132.24333137739</v>
      </c>
      <c r="R100" s="135">
        <f t="shared" ref="R100:V100" si="55">Q100*(1+R101)</f>
        <v>694132.24333137739</v>
      </c>
      <c r="S100" s="135">
        <f t="shared" si="55"/>
        <v>694132.24333137739</v>
      </c>
      <c r="T100" s="135">
        <f t="shared" si="55"/>
        <v>694132.24333137739</v>
      </c>
      <c r="U100" s="135">
        <f t="shared" si="55"/>
        <v>694132.24333137739</v>
      </c>
      <c r="V100" s="135">
        <f t="shared" si="55"/>
        <v>694132.24333137739</v>
      </c>
      <c r="AD100" s="45">
        <f>AVERAGE(J100:M100)/1000</f>
        <v>649.06349999999998</v>
      </c>
      <c r="AE100" s="45">
        <f>AVERAGE(N100:Q100)/1000</f>
        <v>687.29262166568867</v>
      </c>
      <c r="AF100" s="45">
        <f>AVERAGE(R100:U100)/1000</f>
        <v>694.13224333137737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0.76034541114436371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390</v>
      </c>
      <c r="B103" s="35" t="s">
        <v>274</v>
      </c>
      <c r="C103" t="s">
        <v>310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01">
        <f>VLOOKUP($C$103,'Haver NA'!$A$1:$K$34,11,0)/1000</f>
        <v>1997.62</v>
      </c>
      <c r="P103" s="35">
        <f t="shared" ref="P103:V103" si="58">O103*(1+P105)</f>
        <v>2019.4226894563426</v>
      </c>
      <c r="Q103" s="35">
        <f t="shared" si="58"/>
        <v>2033.8206919275121</v>
      </c>
      <c r="R103" s="35">
        <f t="shared" si="58"/>
        <v>2043.796450782537</v>
      </c>
      <c r="S103" s="35">
        <f t="shared" si="58"/>
        <v>2053.6693667627678</v>
      </c>
      <c r="T103" s="35">
        <f t="shared" si="58"/>
        <v>2060.8683679983528</v>
      </c>
      <c r="U103" s="35">
        <f t="shared" si="58"/>
        <v>2065.2906116144977</v>
      </c>
      <c r="V103" s="35">
        <f t="shared" si="58"/>
        <v>2066.9360976112025</v>
      </c>
      <c r="AM103" s="233"/>
    </row>
    <row r="104" spans="1:39" s="185" customFormat="1" x14ac:dyDescent="0.2">
      <c r="A104" s="169" t="s">
        <v>278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-4.2668250837534227E-3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279</v>
      </c>
      <c r="B105" s="35" t="s">
        <v>274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391</v>
      </c>
      <c r="B106" s="35" t="s">
        <v>274</v>
      </c>
      <c r="C106" t="s">
        <v>311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 s="301">
        <f>VLOOKUP($C$106,'Haver NA'!$A$1:$K$34,11,0)/1000</f>
        <v>2395.9470000000001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2">
      <c r="A108" s="169" t="s">
        <v>278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1.3106483787577172E-2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279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392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343247</v>
      </c>
      <c r="O111" s="298">
        <f t="shared" si="65"/>
        <v>370022</v>
      </c>
      <c r="P111" s="215">
        <f t="shared" si="65"/>
        <v>370308.83019115805</v>
      </c>
      <c r="Q111" s="215">
        <f t="shared" si="65"/>
        <v>371038.00242578302</v>
      </c>
      <c r="R111" s="215">
        <f t="shared" si="65"/>
        <v>372137.22956948023</v>
      </c>
      <c r="S111" s="215">
        <f t="shared" si="65"/>
        <v>373613.85803251347</v>
      </c>
      <c r="T111" s="215">
        <f t="shared" si="65"/>
        <v>416606.89235930296</v>
      </c>
      <c r="U111" s="215">
        <f t="shared" si="65"/>
        <v>418038.37463747908</v>
      </c>
      <c r="V111" s="215">
        <f t="shared" si="65"/>
        <v>419531.55873799033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2">
      <c r="A112" s="141" t="s">
        <v>208</v>
      </c>
      <c r="B112" s="141"/>
      <c r="E112" s="141"/>
      <c r="F112" s="201">
        <f t="shared" ref="F112:L112" si="66">F100-F93</f>
        <v>200195</v>
      </c>
      <c r="G112" s="201">
        <f t="shared" si="66"/>
        <v>194843</v>
      </c>
      <c r="H112" s="201">
        <f t="shared" si="66"/>
        <v>195304</v>
      </c>
      <c r="I112" s="201">
        <f t="shared" si="66"/>
        <v>203441</v>
      </c>
      <c r="J112" s="201">
        <f t="shared" si="66"/>
        <v>208223</v>
      </c>
      <c r="K112" s="201">
        <f t="shared" si="66"/>
        <v>200667</v>
      </c>
      <c r="L112" s="201">
        <f t="shared" si="66"/>
        <v>156183</v>
      </c>
      <c r="M112" s="301">
        <v>197631</v>
      </c>
      <c r="N112" s="306">
        <f>N100-N93</f>
        <v>161439</v>
      </c>
      <c r="O112" s="298">
        <f t="shared" ref="O112:Y112" si="67">O100-O93</f>
        <v>164111</v>
      </c>
      <c r="P112" s="142">
        <f t="shared" si="67"/>
        <v>180474.38326615811</v>
      </c>
      <c r="Q112" s="142">
        <f t="shared" si="67"/>
        <v>180474.38326615811</v>
      </c>
      <c r="R112" s="142">
        <f t="shared" si="67"/>
        <v>180474.38326615811</v>
      </c>
      <c r="S112" s="142">
        <f t="shared" si="67"/>
        <v>180474.38326615811</v>
      </c>
      <c r="T112" s="142">
        <f t="shared" si="67"/>
        <v>222122.31786604074</v>
      </c>
      <c r="U112" s="142">
        <f t="shared" si="67"/>
        <v>222122.31786604074</v>
      </c>
      <c r="V112" s="142">
        <f t="shared" si="67"/>
        <v>222122.31786604074</v>
      </c>
      <c r="W112" s="142">
        <f t="shared" si="67"/>
        <v>0</v>
      </c>
      <c r="X112" s="142">
        <f t="shared" si="67"/>
        <v>0</v>
      </c>
      <c r="Y112" s="142">
        <f t="shared" si="67"/>
        <v>0</v>
      </c>
      <c r="AM112" s="233"/>
    </row>
    <row r="113" spans="1:39" s="141" customFormat="1" x14ac:dyDescent="0.2">
      <c r="A113" s="141" t="s">
        <v>225</v>
      </c>
      <c r="C113" s="35"/>
      <c r="D113" s="35"/>
      <c r="F113" s="201">
        <f t="shared" ref="F113:K113" si="68">F111-F112</f>
        <v>139025</v>
      </c>
      <c r="G113" s="201">
        <f t="shared" si="68"/>
        <v>139342</v>
      </c>
      <c r="H113" s="201">
        <f t="shared" si="68"/>
        <v>140228</v>
      </c>
      <c r="I113" s="201">
        <f t="shared" si="68"/>
        <v>141105</v>
      </c>
      <c r="J113" s="201">
        <f t="shared" si="68"/>
        <v>141335</v>
      </c>
      <c r="K113" s="201">
        <f t="shared" si="68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298">
        <f t="shared" ref="O113:Y113" si="69">O111-O112</f>
        <v>205911</v>
      </c>
      <c r="P113" s="142">
        <f t="shared" si="69"/>
        <v>189834.44692499994</v>
      </c>
      <c r="Q113" s="142">
        <f t="shared" si="69"/>
        <v>190563.61915962491</v>
      </c>
      <c r="R113" s="142">
        <f t="shared" si="69"/>
        <v>191662.84630332212</v>
      </c>
      <c r="S113" s="142">
        <f t="shared" si="69"/>
        <v>193139.47476635536</v>
      </c>
      <c r="T113" s="142">
        <f t="shared" si="69"/>
        <v>194484.57449326222</v>
      </c>
      <c r="U113" s="142">
        <f t="shared" si="69"/>
        <v>195916.05677143834</v>
      </c>
      <c r="V113" s="142">
        <f t="shared" si="69"/>
        <v>197409.24087194959</v>
      </c>
      <c r="W113" s="142">
        <f t="shared" si="69"/>
        <v>0</v>
      </c>
      <c r="X113" s="142">
        <f t="shared" si="69"/>
        <v>0</v>
      </c>
      <c r="Y113" s="142">
        <f t="shared" si="69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373</v>
      </c>
      <c r="C1" t="s">
        <v>374</v>
      </c>
      <c r="D1" t="s">
        <v>375</v>
      </c>
      <c r="E1" t="s">
        <v>376</v>
      </c>
      <c r="F1" t="s">
        <v>116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2">
      <c r="A2" t="s">
        <v>377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373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374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375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376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109</v>
      </c>
      <c r="C11" t="s">
        <v>110</v>
      </c>
      <c r="D11" t="s">
        <v>111</v>
      </c>
      <c r="E11" t="s">
        <v>134</v>
      </c>
    </row>
    <row r="12" spans="1:10" x14ac:dyDescent="0.2">
      <c r="A12" t="s">
        <v>383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382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384</v>
      </c>
      <c r="B14">
        <f>SUM(B2:D2)*4</f>
        <v>716</v>
      </c>
      <c r="C14">
        <f>E2*4</f>
        <v>328</v>
      </c>
    </row>
    <row r="15" spans="1:10" x14ac:dyDescent="0.2">
      <c r="A15" t="s">
        <v>385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386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345</v>
      </c>
      <c r="B1" s="97" t="s">
        <v>346</v>
      </c>
      <c r="C1" s="97" t="s">
        <v>347</v>
      </c>
    </row>
    <row r="2" spans="1:3" x14ac:dyDescent="0.2">
      <c r="A2" s="289" t="s">
        <v>349</v>
      </c>
      <c r="B2" s="289">
        <v>325</v>
      </c>
      <c r="C2" s="290">
        <f>B2*1000</f>
        <v>325000</v>
      </c>
    </row>
    <row r="3" spans="1:3" x14ac:dyDescent="0.2">
      <c r="A3" s="289" t="s">
        <v>350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19</v>
      </c>
      <c r="B4" s="289">
        <v>166</v>
      </c>
      <c r="C4" s="290">
        <f t="shared" si="0"/>
        <v>166000</v>
      </c>
    </row>
    <row r="5" spans="1:3" x14ac:dyDescent="0.2">
      <c r="A5" s="289" t="s">
        <v>196</v>
      </c>
      <c r="B5" s="289">
        <v>82</v>
      </c>
      <c r="C5" s="290">
        <f t="shared" si="0"/>
        <v>82000</v>
      </c>
    </row>
    <row r="6" spans="1:3" x14ac:dyDescent="0.2">
      <c r="A6" s="289" t="s">
        <v>351</v>
      </c>
      <c r="B6" s="289">
        <v>63</v>
      </c>
      <c r="C6" s="290">
        <f t="shared" si="0"/>
        <v>63000</v>
      </c>
    </row>
    <row r="7" spans="1:3" x14ac:dyDescent="0.2">
      <c r="A7" s="291" t="s">
        <v>342</v>
      </c>
      <c r="B7">
        <v>22</v>
      </c>
      <c r="C7" s="290">
        <f>B7*1000</f>
        <v>22000</v>
      </c>
    </row>
    <row r="8" spans="1:3" x14ac:dyDescent="0.2">
      <c r="A8" s="176" t="s">
        <v>343</v>
      </c>
      <c r="B8">
        <v>20</v>
      </c>
      <c r="C8" s="290">
        <f>B8*1000</f>
        <v>20000</v>
      </c>
    </row>
    <row r="9" spans="1:3" x14ac:dyDescent="0.2">
      <c r="A9" s="176" t="s">
        <v>344</v>
      </c>
      <c r="B9">
        <v>9</v>
      </c>
      <c r="C9" s="290">
        <f>B9*1000</f>
        <v>9000</v>
      </c>
    </row>
    <row r="10" spans="1:3" x14ac:dyDescent="0.2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352</v>
      </c>
      <c r="B11" s="289">
        <v>45</v>
      </c>
      <c r="C11" s="290">
        <f t="shared" si="0"/>
        <v>45000</v>
      </c>
    </row>
    <row r="12" spans="1:3" x14ac:dyDescent="0.2">
      <c r="A12" s="291" t="s">
        <v>353</v>
      </c>
      <c r="B12" s="289">
        <v>16</v>
      </c>
      <c r="C12" s="290">
        <f t="shared" si="0"/>
        <v>16000</v>
      </c>
    </row>
    <row r="13" spans="1:3" x14ac:dyDescent="0.2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354</v>
      </c>
      <c r="B14" s="289">
        <v>80</v>
      </c>
      <c r="C14" s="290">
        <f t="shared" si="0"/>
        <v>80000</v>
      </c>
    </row>
    <row r="15" spans="1:3" x14ac:dyDescent="0.2">
      <c r="A15" s="291" t="s">
        <v>337</v>
      </c>
      <c r="B15" s="289">
        <v>26</v>
      </c>
      <c r="C15" s="290">
        <f t="shared" si="0"/>
        <v>26000</v>
      </c>
    </row>
    <row r="16" spans="1:3" x14ac:dyDescent="0.2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355</v>
      </c>
      <c r="B17">
        <v>30</v>
      </c>
      <c r="C17" s="290">
        <f t="shared" si="0"/>
        <v>30000</v>
      </c>
    </row>
    <row r="18" spans="1:3" x14ac:dyDescent="0.2">
      <c r="A18" s="291" t="s">
        <v>356</v>
      </c>
      <c r="B18">
        <v>20</v>
      </c>
      <c r="C18" s="290">
        <f t="shared" si="0"/>
        <v>20000</v>
      </c>
    </row>
    <row r="19" spans="1:3" x14ac:dyDescent="0.2">
      <c r="A19" s="291" t="s">
        <v>357</v>
      </c>
      <c r="B19">
        <v>5</v>
      </c>
      <c r="C19" s="290">
        <f t="shared" si="0"/>
        <v>5000</v>
      </c>
    </row>
    <row r="20" spans="1:3" ht="16" thickBot="1" x14ac:dyDescent="0.25">
      <c r="A20" s="293" t="s">
        <v>358</v>
      </c>
      <c r="B20" s="294">
        <v>5</v>
      </c>
      <c r="C20" s="295">
        <f t="shared" si="0"/>
        <v>5000</v>
      </c>
    </row>
    <row r="21" spans="1:3" x14ac:dyDescent="0.2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25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69" sqref="H69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60" t="s">
        <v>203</v>
      </c>
      <c r="B1" s="361"/>
      <c r="C1" s="35"/>
      <c r="H1"/>
      <c r="I1" s="240"/>
      <c r="J1" s="368" t="s">
        <v>273</v>
      </c>
      <c r="V1" s="352"/>
      <c r="W1" s="352"/>
      <c r="X1" s="352"/>
      <c r="Y1" s="352"/>
    </row>
    <row r="2" spans="1:50" x14ac:dyDescent="0.2">
      <c r="A2" s="362" t="s">
        <v>189</v>
      </c>
      <c r="B2" s="126"/>
      <c r="C2" t="s">
        <v>190</v>
      </c>
      <c r="I2" s="241"/>
      <c r="J2" s="368"/>
    </row>
    <row r="3" spans="1:50" x14ac:dyDescent="0.2">
      <c r="A3" s="363"/>
      <c r="B3" s="127"/>
      <c r="C3" t="s">
        <v>191</v>
      </c>
      <c r="I3" s="241"/>
      <c r="J3" s="368"/>
    </row>
    <row r="4" spans="1:50" x14ac:dyDescent="0.2">
      <c r="A4" s="363"/>
      <c r="B4" s="128"/>
      <c r="C4" t="s">
        <v>192</v>
      </c>
    </row>
    <row r="5" spans="1:50" x14ac:dyDescent="0.2">
      <c r="A5" s="364"/>
      <c r="B5" s="129"/>
      <c r="C5" t="s">
        <v>179</v>
      </c>
    </row>
    <row r="7" spans="1:50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50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168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164.137</v>
      </c>
      <c r="I10">
        <v>168.283382790221</v>
      </c>
      <c r="J10">
        <v>172.42976558044199</v>
      </c>
      <c r="K10">
        <v>173.014858331521</v>
      </c>
      <c r="L10">
        <v>173.599951082601</v>
      </c>
      <c r="M10">
        <v>174.18504383368</v>
      </c>
      <c r="N10">
        <v>174.77013658476</v>
      </c>
      <c r="O10">
        <v>172.87701948733101</v>
      </c>
      <c r="P10">
        <v>170.983902389902</v>
      </c>
      <c r="Q10">
        <v>169.09078529247299</v>
      </c>
      <c r="R10">
        <v>167.197668195044</v>
      </c>
      <c r="S10">
        <v>168.18650468764599</v>
      </c>
      <c r="T10">
        <v>169.17534118024699</v>
      </c>
      <c r="U10">
        <v>170.16417767284801</v>
      </c>
      <c r="V10">
        <v>171.15301416545</v>
      </c>
      <c r="W10">
        <v>173.69648926200901</v>
      </c>
      <c r="X10">
        <v>176.23996435856799</v>
      </c>
      <c r="Y10">
        <v>178.783439455127</v>
      </c>
      <c r="Z10">
        <v>181.326914551686</v>
      </c>
      <c r="AA10">
        <v>183.85985203006999</v>
      </c>
      <c r="AB10">
        <v>186.392789508455</v>
      </c>
      <c r="AC10">
        <v>188.92572698683901</v>
      </c>
      <c r="AD10">
        <v>191.45866446522299</v>
      </c>
      <c r="AE10">
        <v>194.36254309952099</v>
      </c>
      <c r="AF10">
        <v>197.26642173381799</v>
      </c>
      <c r="AG10">
        <v>200.17030036811499</v>
      </c>
      <c r="AH10">
        <v>203.07417900241299</v>
      </c>
      <c r="AI10">
        <v>206.00159731602</v>
      </c>
      <c r="AJ10">
        <v>208.929015629627</v>
      </c>
      <c r="AK10">
        <v>211.856433943235</v>
      </c>
      <c r="AL10">
        <v>214.78385225684201</v>
      </c>
      <c r="AM10">
        <v>217.808743538567</v>
      </c>
      <c r="AN10">
        <v>220.833634820291</v>
      </c>
      <c r="AO10">
        <v>223.85852610201599</v>
      </c>
      <c r="AP10">
        <v>226.883417383741</v>
      </c>
      <c r="AQ10">
        <v>230.07495599805301</v>
      </c>
      <c r="AR10">
        <v>233.26649461236599</v>
      </c>
      <c r="AS10">
        <v>236.458033226678</v>
      </c>
      <c r="AT10">
        <v>239.649571840991</v>
      </c>
      <c r="AU10">
        <v>242.96586225756701</v>
      </c>
      <c r="AV10">
        <v>246.28215267414299</v>
      </c>
      <c r="AW10">
        <v>249.598443090719</v>
      </c>
      <c r="AX10">
        <v>252.91473350729501</v>
      </c>
    </row>
    <row r="11" spans="1:50" ht="16" x14ac:dyDescent="0.2">
      <c r="B11" s="86" t="s">
        <v>169</v>
      </c>
      <c r="D11">
        <v>143</v>
      </c>
      <c r="E11">
        <v>143.4</v>
      </c>
      <c r="F11">
        <v>144.80000000000001</v>
      </c>
      <c r="G11">
        <v>145.19999999999999</v>
      </c>
      <c r="H11">
        <v>145.9</v>
      </c>
      <c r="I11">
        <v>148.62914612772201</v>
      </c>
      <c r="J11">
        <v>147.84327450886599</v>
      </c>
      <c r="K11">
        <v>159.196596921229</v>
      </c>
      <c r="L11">
        <v>170.768954252019</v>
      </c>
      <c r="M11">
        <v>182.563822209747</v>
      </c>
      <c r="N11">
        <v>193.49547667995401</v>
      </c>
      <c r="O11">
        <v>213.89148204176601</v>
      </c>
      <c r="P11">
        <v>233.327403374037</v>
      </c>
      <c r="Q11">
        <v>252.90456298421299</v>
      </c>
      <c r="R11">
        <v>272.47132474139602</v>
      </c>
      <c r="S11">
        <v>280.38602200487202</v>
      </c>
      <c r="T11">
        <v>288.71641952254998</v>
      </c>
      <c r="U11">
        <v>297.42472636223198</v>
      </c>
      <c r="V11">
        <v>305.60396015110899</v>
      </c>
      <c r="W11">
        <v>306.70650516123197</v>
      </c>
      <c r="X11">
        <v>307.77125923915401</v>
      </c>
      <c r="Y11">
        <v>308.79822238487702</v>
      </c>
      <c r="Z11">
        <v>309.82518553059901</v>
      </c>
      <c r="AA11">
        <v>310.89627343168797</v>
      </c>
      <c r="AB11">
        <v>311.96736133277602</v>
      </c>
      <c r="AC11">
        <v>313.07624016606502</v>
      </c>
      <c r="AD11">
        <v>314.18511899935402</v>
      </c>
      <c r="AE11">
        <v>313.77852620698599</v>
      </c>
      <c r="AF11">
        <v>313.37193341461699</v>
      </c>
      <c r="AG11">
        <v>313.003131554449</v>
      </c>
      <c r="AH11">
        <v>312.67212062648099</v>
      </c>
      <c r="AI11">
        <v>312.242540688541</v>
      </c>
      <c r="AJ11">
        <v>311.81296075060101</v>
      </c>
      <c r="AK11">
        <v>311.42117174486202</v>
      </c>
      <c r="AL11">
        <v>311.02938273912201</v>
      </c>
      <c r="AM11">
        <v>310.26723067844398</v>
      </c>
      <c r="AN11">
        <v>309.505078617766</v>
      </c>
      <c r="AO11">
        <v>308.742926557087</v>
      </c>
      <c r="AP11">
        <v>308.01856542860901</v>
      </c>
      <c r="AQ11">
        <v>306.67197450909902</v>
      </c>
      <c r="AR11">
        <v>305.363174521791</v>
      </c>
      <c r="AS11">
        <v>304.12995639888197</v>
      </c>
      <c r="AT11">
        <v>302.97232014037399</v>
      </c>
      <c r="AU11">
        <v>301.36788557789703</v>
      </c>
      <c r="AV11">
        <v>299.83903287982002</v>
      </c>
      <c r="AW11">
        <v>298.42355297834399</v>
      </c>
      <c r="AX11">
        <v>297.04586400906902</v>
      </c>
    </row>
    <row r="12" spans="1:50" ht="16" x14ac:dyDescent="0.2">
      <c r="B12" s="86" t="s">
        <v>170</v>
      </c>
      <c r="D12">
        <v>1862.4</v>
      </c>
      <c r="E12">
        <v>1779.8</v>
      </c>
      <c r="F12">
        <v>1871.3</v>
      </c>
      <c r="G12">
        <v>1907.1</v>
      </c>
      <c r="H12">
        <v>1958.3</v>
      </c>
      <c r="I12">
        <v>1978.3751090344099</v>
      </c>
      <c r="J12">
        <v>2007.0179878174299</v>
      </c>
      <c r="K12">
        <v>2033.6981662082601</v>
      </c>
      <c r="L12">
        <v>2058.9444082394798</v>
      </c>
      <c r="M12">
        <v>2079.7902580671698</v>
      </c>
      <c r="N12">
        <v>2102.1686273791902</v>
      </c>
      <c r="O12">
        <v>2124.25124731704</v>
      </c>
      <c r="P12">
        <v>2144.5772952143798</v>
      </c>
      <c r="Q12">
        <v>2167.3231107185502</v>
      </c>
      <c r="R12">
        <v>2191.2429616171398</v>
      </c>
      <c r="S12">
        <v>2215.89770490003</v>
      </c>
      <c r="T12">
        <v>2239.1633223345498</v>
      </c>
      <c r="U12">
        <v>2263.8359898219301</v>
      </c>
      <c r="V12">
        <v>2288.6968614565099</v>
      </c>
      <c r="W12">
        <v>2314.5704506450502</v>
      </c>
      <c r="X12">
        <v>2339.87046528976</v>
      </c>
      <c r="Y12">
        <v>2365.3049114681799</v>
      </c>
      <c r="Z12">
        <v>2390.1837073072502</v>
      </c>
      <c r="AA12">
        <v>2414.9370337148598</v>
      </c>
      <c r="AB12">
        <v>2439.8964884741599</v>
      </c>
      <c r="AC12">
        <v>2464.3361413031098</v>
      </c>
      <c r="AD12">
        <v>2488.5158931668698</v>
      </c>
      <c r="AE12">
        <v>2512.2565020205102</v>
      </c>
      <c r="AF12">
        <v>2535.6655130909999</v>
      </c>
      <c r="AG12">
        <v>2559.0834862637298</v>
      </c>
      <c r="AH12">
        <v>2582.8330572196101</v>
      </c>
      <c r="AI12">
        <v>2607.0934680036098</v>
      </c>
      <c r="AJ12">
        <v>2631.7661354909901</v>
      </c>
      <c r="AK12">
        <v>2656.7704007615298</v>
      </c>
      <c r="AL12">
        <v>2681.7298555208299</v>
      </c>
      <c r="AM12">
        <v>2706.7878934048499</v>
      </c>
      <c r="AN12">
        <v>2731.9265902091001</v>
      </c>
      <c r="AO12">
        <v>2757.0204765021099</v>
      </c>
      <c r="AP12">
        <v>2782.0157796704102</v>
      </c>
      <c r="AQ12">
        <v>2807.24409749713</v>
      </c>
      <c r="AR12">
        <v>2832.5441121418398</v>
      </c>
      <c r="AS12">
        <v>2858.14883826296</v>
      </c>
      <c r="AT12">
        <v>2884.24648000769</v>
      </c>
      <c r="AU12">
        <v>2910.8011889670502</v>
      </c>
      <c r="AV12">
        <v>2937.8756998567601</v>
      </c>
      <c r="AW12">
        <v>2965.0487938711899</v>
      </c>
      <c r="AX12">
        <v>2992.3742436238399</v>
      </c>
    </row>
    <row r="13" spans="1:50" ht="16" x14ac:dyDescent="0.2">
      <c r="B13" s="86" t="s">
        <v>171</v>
      </c>
      <c r="D13">
        <v>62.7</v>
      </c>
      <c r="E13">
        <v>54.2</v>
      </c>
      <c r="F13">
        <v>90.2</v>
      </c>
      <c r="G13">
        <v>95.9</v>
      </c>
      <c r="H13">
        <v>95.9</v>
      </c>
      <c r="I13">
        <v>96.883099094316506</v>
      </c>
      <c r="J13">
        <v>98.285770837814496</v>
      </c>
      <c r="K13">
        <v>99.592327089502007</v>
      </c>
      <c r="L13">
        <v>100.82866197731001</v>
      </c>
      <c r="M13">
        <v>101.849505054712</v>
      </c>
      <c r="N13">
        <v>102.94539721476001</v>
      </c>
      <c r="O13">
        <v>104.026806218508</v>
      </c>
      <c r="P13">
        <v>105.022194051504</v>
      </c>
      <c r="Q13">
        <v>106.136080436046</v>
      </c>
      <c r="R13">
        <v>107.30746056226501</v>
      </c>
      <c r="S13">
        <v>108.514829137473</v>
      </c>
      <c r="T13">
        <v>109.654170766422</v>
      </c>
      <c r="U13">
        <v>110.86241710867699</v>
      </c>
      <c r="V13">
        <v>112.07988000494301</v>
      </c>
      <c r="W13">
        <v>113.346936739448</v>
      </c>
      <c r="X13">
        <v>114.58590492840101</v>
      </c>
      <c r="Y13">
        <v>115.83145637021801</v>
      </c>
      <c r="Z13">
        <v>117.049797033532</v>
      </c>
      <c r="AA13">
        <v>118.261993327506</v>
      </c>
      <c r="AB13">
        <v>119.484283942538</v>
      </c>
      <c r="AC13">
        <v>120.68111931316299</v>
      </c>
      <c r="AD13">
        <v>121.865227061586</v>
      </c>
      <c r="AE13">
        <v>123.02782951732</v>
      </c>
      <c r="AF13">
        <v>124.174193282657</v>
      </c>
      <c r="AG13">
        <v>125.320995931518</v>
      </c>
      <c r="AH13">
        <v>126.484037270776</v>
      </c>
      <c r="AI13">
        <v>127.672094970917</v>
      </c>
      <c r="AJ13">
        <v>128.88034131317301</v>
      </c>
      <c r="AK13">
        <v>130.10482634582601</v>
      </c>
      <c r="AL13">
        <v>131.32711696085801</v>
      </c>
      <c r="AM13">
        <v>132.554235294656</v>
      </c>
      <c r="AN13">
        <v>133.78530358017301</v>
      </c>
      <c r="AO13">
        <v>135.01417744806901</v>
      </c>
      <c r="AP13">
        <v>136.23822359719799</v>
      </c>
      <c r="AQ13">
        <v>137.473680717957</v>
      </c>
      <c r="AR13">
        <v>138.71264890691</v>
      </c>
      <c r="AS13">
        <v>139.96653913568801</v>
      </c>
      <c r="AT13">
        <v>141.244567958299</v>
      </c>
      <c r="AU13">
        <v>142.54497984064699</v>
      </c>
      <c r="AV13">
        <v>143.870846967402</v>
      </c>
      <c r="AW13">
        <v>145.20154181292301</v>
      </c>
      <c r="AX13">
        <v>146.53969767835699</v>
      </c>
    </row>
    <row r="14" spans="1:50" ht="16" x14ac:dyDescent="0.2">
      <c r="B14" s="86" t="s">
        <v>173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1394.63952711825</v>
      </c>
      <c r="J14">
        <v>1386.0160542364999</v>
      </c>
      <c r="K14">
        <v>1416.24742986613</v>
      </c>
      <c r="L14">
        <v>1446.4788054957501</v>
      </c>
      <c r="M14">
        <v>1476.7101811253699</v>
      </c>
      <c r="N14">
        <v>1506.941556755</v>
      </c>
      <c r="O14">
        <v>1519.7601557667999</v>
      </c>
      <c r="P14">
        <v>1532.5787547785901</v>
      </c>
      <c r="Q14">
        <v>1545.3973537903901</v>
      </c>
      <c r="R14">
        <v>1558.21595280219</v>
      </c>
      <c r="S14">
        <v>1568.7825477363999</v>
      </c>
      <c r="T14">
        <v>1579.34914267061</v>
      </c>
      <c r="U14">
        <v>1589.9157376048099</v>
      </c>
      <c r="V14">
        <v>1600.48233253902</v>
      </c>
      <c r="W14">
        <v>1639.9186754518</v>
      </c>
      <c r="X14">
        <v>1679.35501836459</v>
      </c>
      <c r="Y14">
        <v>1718.79136127737</v>
      </c>
      <c r="Z14">
        <v>1758.22770419015</v>
      </c>
      <c r="AA14">
        <v>1787.6196955994999</v>
      </c>
      <c r="AB14">
        <v>1817.01168700885</v>
      </c>
      <c r="AC14">
        <v>1846.4036784181901</v>
      </c>
      <c r="AD14">
        <v>1875.79566982754</v>
      </c>
      <c r="AE14">
        <v>1908.2148727936301</v>
      </c>
      <c r="AF14">
        <v>1940.63407575972</v>
      </c>
      <c r="AG14">
        <v>1973.0532787258101</v>
      </c>
      <c r="AH14">
        <v>2005.4724816918999</v>
      </c>
      <c r="AI14">
        <v>2057.1759873287501</v>
      </c>
      <c r="AJ14">
        <v>2108.8794929656101</v>
      </c>
      <c r="AK14">
        <v>2160.5829986024601</v>
      </c>
      <c r="AL14">
        <v>2212.28650423931</v>
      </c>
      <c r="AM14">
        <v>2211.5343138466101</v>
      </c>
      <c r="AN14">
        <v>2210.7821234539101</v>
      </c>
      <c r="AO14">
        <v>2210.0299330612002</v>
      </c>
      <c r="AP14">
        <v>2209.2777426685002</v>
      </c>
      <c r="AQ14">
        <v>2261.6493087725698</v>
      </c>
      <c r="AR14">
        <v>2314.0208748766299</v>
      </c>
      <c r="AS14">
        <v>2366.3924409807</v>
      </c>
      <c r="AT14">
        <v>2418.7640070847701</v>
      </c>
      <c r="AU14">
        <v>2464.36520513099</v>
      </c>
      <c r="AV14">
        <v>2509.9664031771999</v>
      </c>
      <c r="AW14">
        <v>2555.5676012234098</v>
      </c>
      <c r="AX14">
        <v>2601.1687992696202</v>
      </c>
    </row>
    <row r="15" spans="1:50" ht="16" x14ac:dyDescent="0.2">
      <c r="B15" s="86" t="s">
        <v>164</v>
      </c>
      <c r="D15">
        <v>1574.4</v>
      </c>
      <c r="E15">
        <v>1828.5</v>
      </c>
      <c r="F15">
        <v>1861.4</v>
      </c>
      <c r="G15">
        <v>1756.2</v>
      </c>
      <c r="H15">
        <v>1808.7</v>
      </c>
      <c r="I15">
        <v>1629.3563571043301</v>
      </c>
      <c r="J15">
        <v>1501.6652887165701</v>
      </c>
      <c r="K15">
        <v>1514.2729452476999</v>
      </c>
      <c r="L15">
        <v>1515.61502429495</v>
      </c>
      <c r="M15">
        <v>1509.9264163187599</v>
      </c>
      <c r="N15">
        <v>1493.71783405563</v>
      </c>
      <c r="O15">
        <v>1512.9609535468801</v>
      </c>
      <c r="P15">
        <v>1522.99399388232</v>
      </c>
      <c r="Q15">
        <v>1526.52581787499</v>
      </c>
      <c r="R15">
        <v>1522.58327322214</v>
      </c>
      <c r="S15">
        <v>1530.28560256998</v>
      </c>
      <c r="T15">
        <v>1538.9373350641299</v>
      </c>
      <c r="U15">
        <v>1547.1929515766401</v>
      </c>
      <c r="V15">
        <v>1555.9808389633299</v>
      </c>
      <c r="W15">
        <v>1592.1555871790999</v>
      </c>
      <c r="X15">
        <v>1622.7235946783901</v>
      </c>
      <c r="Y15">
        <v>1646.251758186</v>
      </c>
      <c r="Z15">
        <v>1663.41962105019</v>
      </c>
      <c r="AA15">
        <v>1671.4306991660901</v>
      </c>
      <c r="AB15">
        <v>1682.1431104472799</v>
      </c>
      <c r="AC15">
        <v>1694.6607802102701</v>
      </c>
      <c r="AD15">
        <v>1709.3896382183</v>
      </c>
      <c r="AE15">
        <v>1722.3726155766301</v>
      </c>
      <c r="AF15">
        <v>1735.04294744297</v>
      </c>
      <c r="AG15">
        <v>1746.49533930811</v>
      </c>
      <c r="AH15">
        <v>1757.18821215652</v>
      </c>
      <c r="AI15">
        <v>1788.9509959744801</v>
      </c>
      <c r="AJ15">
        <v>1816.7189541257301</v>
      </c>
      <c r="AK15">
        <v>1839.6922791597999</v>
      </c>
      <c r="AL15">
        <v>1858.25973323063</v>
      </c>
      <c r="AM15">
        <v>1832.42941895323</v>
      </c>
      <c r="AN15">
        <v>1818.5767493211199</v>
      </c>
      <c r="AO15">
        <v>1816.44046526276</v>
      </c>
      <c r="AP15">
        <v>1826.1076220744501</v>
      </c>
      <c r="AQ15">
        <v>1883.5218401063901</v>
      </c>
      <c r="AR15">
        <v>1928.4971849546901</v>
      </c>
      <c r="AS15">
        <v>1962.1388593722199</v>
      </c>
      <c r="AT15">
        <v>1983.8010497242601</v>
      </c>
      <c r="AU15">
        <v>1944.7885028241201</v>
      </c>
      <c r="AV15">
        <v>1906.4485972733501</v>
      </c>
      <c r="AW15">
        <v>1870.23933365998</v>
      </c>
      <c r="AX15">
        <v>1835.4218257479599</v>
      </c>
    </row>
    <row r="16" spans="1:50" ht="16" x14ac:dyDescent="0.2">
      <c r="B16" s="86" t="s">
        <v>167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402.3</v>
      </c>
      <c r="I16">
        <v>404.18538158623397</v>
      </c>
      <c r="J16">
        <v>406.11408156777497</v>
      </c>
      <c r="K16">
        <v>408.08197438316603</v>
      </c>
      <c r="L16">
        <v>410.07255778657401</v>
      </c>
      <c r="M16">
        <v>412.05076450561</v>
      </c>
      <c r="N16">
        <v>413.998029513711</v>
      </c>
      <c r="O16">
        <v>415.93291783743899</v>
      </c>
      <c r="P16">
        <v>417.86368059970903</v>
      </c>
      <c r="Q16">
        <v>419.80063170416599</v>
      </c>
      <c r="R16">
        <v>421.75614783518301</v>
      </c>
      <c r="S16">
        <v>423.73022899275998</v>
      </c>
      <c r="T16">
        <v>425.71668683471103</v>
      </c>
      <c r="U16">
        <v>427.69901911520401</v>
      </c>
      <c r="V16">
        <v>429.68753973788398</v>
      </c>
      <c r="W16">
        <v>431.68018592202202</v>
      </c>
      <c r="X16">
        <v>433.67076932543</v>
      </c>
      <c r="Y16">
        <v>435.63659936009202</v>
      </c>
      <c r="Z16">
        <v>437.58798992965097</v>
      </c>
      <c r="AA16">
        <v>439.524941034108</v>
      </c>
      <c r="AB16">
        <v>441.44951545419099</v>
      </c>
      <c r="AC16">
        <v>443.35552484771398</v>
      </c>
      <c r="AD16">
        <v>445.259471460508</v>
      </c>
      <c r="AE16">
        <v>447.16548085403099</v>
      </c>
      <c r="AF16">
        <v>449.07355302828302</v>
      </c>
      <c r="AG16">
        <v>450.98368798326402</v>
      </c>
      <c r="AH16">
        <v>452.90619962261798</v>
      </c>
      <c r="AI16">
        <v>454.83283682343102</v>
      </c>
      <c r="AJ16">
        <v>456.76772514715901</v>
      </c>
      <c r="AK16">
        <v>458.72736683963302</v>
      </c>
      <c r="AL16">
        <v>460.70763633939799</v>
      </c>
      <c r="AM16">
        <v>462.71059642718001</v>
      </c>
      <c r="AN16">
        <v>464.73212154152202</v>
      </c>
      <c r="AO16">
        <v>466.76808612096698</v>
      </c>
      <c r="AP16">
        <v>468.801987919684</v>
      </c>
      <c r="AQ16">
        <v>470.83176415694197</v>
      </c>
      <c r="AR16">
        <v>472.86360317492898</v>
      </c>
      <c r="AS16">
        <v>474.89544219291599</v>
      </c>
      <c r="AT16">
        <v>476.927281210903</v>
      </c>
      <c r="AU16">
        <v>478.965308571077</v>
      </c>
      <c r="AV16">
        <v>481.00539871197998</v>
      </c>
      <c r="AW16">
        <v>483.04961441434102</v>
      </c>
      <c r="AX16">
        <v>485.09176733597201</v>
      </c>
    </row>
    <row r="17" spans="1:50" x14ac:dyDescent="0.2">
      <c r="B17" t="s">
        <v>193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260.73700000000002</v>
      </c>
      <c r="I17">
        <v>255.59948840017799</v>
      </c>
      <c r="J17">
        <v>254.55541346215</v>
      </c>
      <c r="K17">
        <v>256.89572380491899</v>
      </c>
      <c r="L17">
        <v>259.47104592492298</v>
      </c>
      <c r="M17">
        <v>261.94028245643398</v>
      </c>
      <c r="N17">
        <v>264.42386516359801</v>
      </c>
      <c r="O17">
        <v>266.96509198785299</v>
      </c>
      <c r="P17">
        <v>269.50680093709798</v>
      </c>
      <c r="Q17">
        <v>272.09622896230098</v>
      </c>
      <c r="R17">
        <v>274.73279727509299</v>
      </c>
      <c r="S17">
        <v>277.43299355096599</v>
      </c>
      <c r="T17">
        <v>280.18660377739002</v>
      </c>
      <c r="U17">
        <v>282.96027933542803</v>
      </c>
      <c r="V17">
        <v>285.76787991439801</v>
      </c>
      <c r="W17">
        <v>288.60599468885499</v>
      </c>
      <c r="X17">
        <v>291.45669283695003</v>
      </c>
      <c r="Y17">
        <v>294.32349490703803</v>
      </c>
      <c r="Z17">
        <v>297.203923810513</v>
      </c>
      <c r="AA17">
        <v>300.10743213158901</v>
      </c>
      <c r="AB17">
        <v>303.03076239752602</v>
      </c>
      <c r="AC17">
        <v>305.96732781542198</v>
      </c>
      <c r="AD17">
        <v>308.933269814786</v>
      </c>
      <c r="AE17">
        <v>311.92682031928803</v>
      </c>
      <c r="AF17">
        <v>314.95057777842101</v>
      </c>
      <c r="AG17">
        <v>317.99988617750199</v>
      </c>
      <c r="AH17">
        <v>321.08460698104102</v>
      </c>
      <c r="AI17">
        <v>324.19918656622298</v>
      </c>
      <c r="AJ17">
        <v>327.32952746436501</v>
      </c>
      <c r="AK17">
        <v>330.49490821139301</v>
      </c>
      <c r="AL17">
        <v>333.69267244823402</v>
      </c>
      <c r="AM17">
        <v>336.92458346914202</v>
      </c>
      <c r="AN17">
        <v>340.18041466745098</v>
      </c>
      <c r="AO17">
        <v>343.46484362914902</v>
      </c>
      <c r="AP17">
        <v>346.76592631979901</v>
      </c>
      <c r="AQ17">
        <v>350.08468421354098</v>
      </c>
      <c r="AR17">
        <v>353.42318738029297</v>
      </c>
      <c r="AS17">
        <v>356.77995072225002</v>
      </c>
      <c r="AT17">
        <v>360.15500702948498</v>
      </c>
      <c r="AU17">
        <v>363.555644240942</v>
      </c>
      <c r="AV17">
        <v>366.97627559402702</v>
      </c>
      <c r="AW17">
        <v>370.42373968929098</v>
      </c>
      <c r="AX17">
        <v>373.88820823868502</v>
      </c>
    </row>
    <row r="19" spans="1:50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9" x14ac:dyDescent="0.2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2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161.43899999999999</v>
      </c>
      <c r="H21" s="104">
        <f>main!O112/1000</f>
        <v>164.11099999999999</v>
      </c>
      <c r="I21" s="104">
        <f>main!P112/1000</f>
        <v>180.4743832661581</v>
      </c>
      <c r="J21" s="104">
        <f>main!Q112/1000</f>
        <v>180.4743832661581</v>
      </c>
      <c r="K21" s="104">
        <f>main!R112/1000</f>
        <v>180.4743832661581</v>
      </c>
      <c r="L21" s="104">
        <f>main!S112/1000</f>
        <v>180.4743832661581</v>
      </c>
      <c r="M21" s="104">
        <f>main!T112/1000</f>
        <v>222.12231786604073</v>
      </c>
      <c r="N21" s="104">
        <f>main!U112/1000</f>
        <v>222.12231786604073</v>
      </c>
      <c r="O21" s="104">
        <f>main!V112/1000</f>
        <v>222.12231786604073</v>
      </c>
      <c r="P21" s="104">
        <f>O21*(1+P23)</f>
        <v>219.68993235338107</v>
      </c>
      <c r="Q21" s="104">
        <f t="shared" ref="Q21:AA21" si="0">P21*(1+Q23)</f>
        <v>217.25754684072143</v>
      </c>
      <c r="R21" s="104">
        <f t="shared" si="0"/>
        <v>214.82516132806182</v>
      </c>
      <c r="S21" s="104">
        <f t="shared" si="0"/>
        <v>216.09567521347375</v>
      </c>
      <c r="T21" s="104">
        <f t="shared" si="0"/>
        <v>217.3661890988844</v>
      </c>
      <c r="U21" s="104">
        <f t="shared" si="0"/>
        <v>218.63670298429506</v>
      </c>
      <c r="V21" s="104">
        <f t="shared" si="0"/>
        <v>219.90721686970699</v>
      </c>
      <c r="W21" s="104">
        <f t="shared" si="0"/>
        <v>223.17521967052829</v>
      </c>
      <c r="X21" s="104">
        <f t="shared" si="0"/>
        <v>226.44322247134954</v>
      </c>
      <c r="Y21" s="104">
        <f t="shared" si="0"/>
        <v>229.71122527217085</v>
      </c>
      <c r="Z21" s="104">
        <f t="shared" si="0"/>
        <v>232.97922807299216</v>
      </c>
      <c r="AA21" s="104">
        <f t="shared" si="0"/>
        <v>236.23369153711755</v>
      </c>
      <c r="AB21" s="95"/>
    </row>
    <row r="22" spans="1:50" x14ac:dyDescent="0.2">
      <c r="B22" t="s">
        <v>175</v>
      </c>
      <c r="D22" s="102" t="e">
        <f>#REF!</f>
        <v>#REF!</v>
      </c>
      <c r="E22" s="104">
        <f>E10</f>
        <v>156.16</v>
      </c>
      <c r="F22" s="104">
        <f t="shared" ref="F22:AA22" si="1">F10</f>
        <v>197.62799999999999</v>
      </c>
      <c r="G22" s="104">
        <f t="shared" si="1"/>
        <v>170.20699999999999</v>
      </c>
      <c r="H22" s="104">
        <f t="shared" si="1"/>
        <v>164.137</v>
      </c>
      <c r="I22" s="104">
        <f t="shared" si="1"/>
        <v>168.283382790221</v>
      </c>
      <c r="J22" s="104">
        <f t="shared" si="1"/>
        <v>172.42976558044199</v>
      </c>
      <c r="K22" s="104">
        <f t="shared" si="1"/>
        <v>173.014858331521</v>
      </c>
      <c r="L22" s="104">
        <f t="shared" si="1"/>
        <v>173.599951082601</v>
      </c>
      <c r="M22" s="104">
        <f t="shared" si="1"/>
        <v>174.18504383368</v>
      </c>
      <c r="N22" s="104">
        <f t="shared" si="1"/>
        <v>174.77013658476</v>
      </c>
      <c r="O22" s="104">
        <f t="shared" si="1"/>
        <v>172.87701948733101</v>
      </c>
      <c r="P22" s="104">
        <f t="shared" si="1"/>
        <v>170.983902389902</v>
      </c>
      <c r="Q22" s="104">
        <f t="shared" si="1"/>
        <v>169.09078529247299</v>
      </c>
      <c r="R22" s="104">
        <f t="shared" si="1"/>
        <v>167.197668195044</v>
      </c>
      <c r="S22" s="104">
        <f t="shared" si="1"/>
        <v>168.18650468764599</v>
      </c>
      <c r="T22" s="104">
        <f t="shared" si="1"/>
        <v>169.17534118024699</v>
      </c>
      <c r="U22" s="104">
        <f t="shared" si="1"/>
        <v>170.16417767284801</v>
      </c>
      <c r="V22" s="104">
        <f t="shared" si="1"/>
        <v>171.15301416545</v>
      </c>
      <c r="W22" s="104">
        <f t="shared" si="1"/>
        <v>173.69648926200901</v>
      </c>
      <c r="X22" s="104">
        <f t="shared" si="1"/>
        <v>176.23996435856799</v>
      </c>
      <c r="Y22" s="104">
        <f t="shared" si="1"/>
        <v>178.783439455127</v>
      </c>
      <c r="Z22" s="104">
        <f t="shared" si="1"/>
        <v>181.326914551686</v>
      </c>
      <c r="AA22" s="104">
        <f t="shared" si="1"/>
        <v>183.85985203006999</v>
      </c>
      <c r="AB22" s="95"/>
    </row>
    <row r="23" spans="1:50" s="170" customFormat="1" ht="12" x14ac:dyDescent="0.15">
      <c r="B23" s="210" t="s">
        <v>271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3.3590297892549525E-3</v>
      </c>
      <c r="O23" s="246">
        <f t="shared" ref="O23" si="3">(O22/N22)-1</f>
        <v>-1.0832039926402803E-2</v>
      </c>
      <c r="P23" s="230">
        <f t="shared" ref="P23" si="4">(P22/O22)-1</f>
        <v>-1.0950657889886584E-2</v>
      </c>
      <c r="Q23" s="230">
        <f t="shared" ref="Q23" si="5">(Q22/P22)-1</f>
        <v>-1.1071902506424536E-2</v>
      </c>
      <c r="R23" s="230">
        <f t="shared" ref="R23" si="6">(R22/Q22)-1</f>
        <v>-1.1195861998952172E-2</v>
      </c>
      <c r="S23" s="246">
        <f t="shared" ref="S23" si="7">(S22/R22)-1</f>
        <v>5.9141763355723409E-3</v>
      </c>
      <c r="T23" s="230">
        <f t="shared" ref="T23" si="8">(T22/S22)-1</f>
        <v>5.8794045006016482E-3</v>
      </c>
      <c r="U23" s="230">
        <f t="shared" ref="U23" si="9">(U22/T22)-1</f>
        <v>5.8450391511104538E-3</v>
      </c>
      <c r="V23" s="230">
        <f t="shared" ref="V23" si="10">(V22/U22)-1</f>
        <v>5.8110732007479182E-3</v>
      </c>
      <c r="W23" s="246">
        <f t="shared" ref="W23" si="11">(W22/V22)-1</f>
        <v>1.4860825612456274E-2</v>
      </c>
      <c r="X23" s="230">
        <f t="shared" ref="X23" si="12">(X22/W22)-1</f>
        <v>1.464321534284041E-2</v>
      </c>
      <c r="Y23" s="230">
        <f t="shared" ref="Y23" si="13">(Y22/X22)-1</f>
        <v>1.4431886126487159E-2</v>
      </c>
      <c r="Z23" s="230">
        <f t="shared" ref="Z23" si="14">(Z22/Y22)-1</f>
        <v>1.4226569889866036E-2</v>
      </c>
      <c r="AA23" s="246">
        <f t="shared" ref="AA23" si="15">(AA22/Z22)-1</f>
        <v>1.396889967849746E-2</v>
      </c>
      <c r="AB23" s="243"/>
    </row>
    <row r="24" spans="1:50" s="97" customFormat="1" x14ac:dyDescent="0.2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-8.7680000000000007</v>
      </c>
      <c r="H24" s="217">
        <f t="shared" ref="H24" si="18">H21-H22</f>
        <v>-2.6000000000010459E-2</v>
      </c>
      <c r="I24" s="217">
        <f t="shared" ref="I24" si="19">I21-I22</f>
        <v>12.191000475937102</v>
      </c>
      <c r="J24" s="217">
        <f t="shared" ref="J24" si="20">J21-J22</f>
        <v>8.0446176857161049</v>
      </c>
      <c r="K24" s="150">
        <f t="shared" ref="K24:AA24" si="21">K21-K22</f>
        <v>7.459524934637102</v>
      </c>
      <c r="L24" s="217">
        <f t="shared" si="21"/>
        <v>6.8744321835571043</v>
      </c>
      <c r="M24" s="239">
        <f t="shared" si="21"/>
        <v>47.937274032360733</v>
      </c>
      <c r="N24" s="217">
        <f t="shared" si="21"/>
        <v>47.352181281280735</v>
      </c>
      <c r="O24" s="150">
        <f t="shared" si="21"/>
        <v>49.24529837870972</v>
      </c>
      <c r="P24" s="217">
        <f t="shared" si="21"/>
        <v>48.706029963479068</v>
      </c>
      <c r="Q24" s="217">
        <f t="shared" si="21"/>
        <v>48.166761548248445</v>
      </c>
      <c r="R24" s="217">
        <f t="shared" si="21"/>
        <v>47.627493133017822</v>
      </c>
      <c r="S24" s="150">
        <f t="shared" si="21"/>
        <v>47.909170525827761</v>
      </c>
      <c r="T24" s="217">
        <f t="shared" si="21"/>
        <v>48.190847918637417</v>
      </c>
      <c r="U24" s="217">
        <f t="shared" si="21"/>
        <v>48.472525311447043</v>
      </c>
      <c r="V24" s="217">
        <f t="shared" si="21"/>
        <v>48.754202704256983</v>
      </c>
      <c r="W24" s="150">
        <f t="shared" si="21"/>
        <v>49.478730408519283</v>
      </c>
      <c r="X24" s="217">
        <f t="shared" si="21"/>
        <v>50.203258112781555</v>
      </c>
      <c r="Y24" s="217">
        <f t="shared" si="21"/>
        <v>50.927785817043855</v>
      </c>
      <c r="Z24" s="217">
        <f t="shared" si="21"/>
        <v>51.652313521306155</v>
      </c>
      <c r="AA24" s="150">
        <f t="shared" si="21"/>
        <v>52.373839507047563</v>
      </c>
      <c r="AB24" s="244"/>
    </row>
    <row r="25" spans="1:50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9" x14ac:dyDescent="0.2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2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205.911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206.47945574985528</v>
      </c>
      <c r="N28" s="104">
        <f t="shared" ref="N28:AA28" si="22">M28*(1 + N30)</f>
        <v>218.84314335309011</v>
      </c>
      <c r="O28" s="104">
        <f t="shared" si="22"/>
        <v>241.91100003796859</v>
      </c>
      <c r="P28" s="104">
        <f t="shared" si="22"/>
        <v>263.89300288009605</v>
      </c>
      <c r="Q28" s="104">
        <f t="shared" si="22"/>
        <v>286.03474603878726</v>
      </c>
      <c r="R28" s="104">
        <f t="shared" si="22"/>
        <v>308.16472923868179</v>
      </c>
      <c r="S28" s="104">
        <f t="shared" si="22"/>
        <v>317.11624199518968</v>
      </c>
      <c r="T28" s="104">
        <f t="shared" si="22"/>
        <v>326.53791122193229</v>
      </c>
      <c r="U28" s="104">
        <f t="shared" si="22"/>
        <v>336.38699542161817</v>
      </c>
      <c r="V28" s="104">
        <f t="shared" si="22"/>
        <v>345.63769865918431</v>
      </c>
      <c r="W28" s="104">
        <f t="shared" si="22"/>
        <v>346.88467569370516</v>
      </c>
      <c r="X28" s="104">
        <f t="shared" si="22"/>
        <v>348.0889112309311</v>
      </c>
      <c r="Y28" s="104">
        <f t="shared" si="22"/>
        <v>349.25040527086435</v>
      </c>
      <c r="Z28" s="104">
        <f t="shared" si="22"/>
        <v>350.4118993107964</v>
      </c>
      <c r="AA28" s="104">
        <f t="shared" si="22"/>
        <v>351.62329839414281</v>
      </c>
      <c r="AB28" s="95"/>
    </row>
    <row r="29" spans="1:50" x14ac:dyDescent="0.2">
      <c r="B29" t="s">
        <v>175</v>
      </c>
      <c r="D29" s="102" t="e">
        <f>#REF!</f>
        <v>#REF!</v>
      </c>
      <c r="E29" s="104">
        <f>E11</f>
        <v>143.4</v>
      </c>
      <c r="F29" s="104">
        <f t="shared" ref="F29:U29" si="23">F11</f>
        <v>144.80000000000001</v>
      </c>
      <c r="G29" s="104">
        <f t="shared" si="23"/>
        <v>145.19999999999999</v>
      </c>
      <c r="H29" s="104">
        <f t="shared" si="23"/>
        <v>145.9</v>
      </c>
      <c r="I29" s="104">
        <f t="shared" si="23"/>
        <v>148.62914612772201</v>
      </c>
      <c r="J29" s="104">
        <f t="shared" si="23"/>
        <v>147.84327450886599</v>
      </c>
      <c r="K29" s="104">
        <f t="shared" si="23"/>
        <v>159.196596921229</v>
      </c>
      <c r="L29" s="104">
        <f t="shared" si="23"/>
        <v>170.768954252019</v>
      </c>
      <c r="M29" s="104">
        <f t="shared" si="23"/>
        <v>182.563822209747</v>
      </c>
      <c r="N29" s="104">
        <f t="shared" si="23"/>
        <v>193.49547667995401</v>
      </c>
      <c r="O29" s="104">
        <f t="shared" si="23"/>
        <v>213.89148204176601</v>
      </c>
      <c r="P29" s="104">
        <f t="shared" si="23"/>
        <v>233.327403374037</v>
      </c>
      <c r="Q29" s="104">
        <f t="shared" si="23"/>
        <v>252.90456298421299</v>
      </c>
      <c r="R29" s="104">
        <f t="shared" si="23"/>
        <v>272.47132474139602</v>
      </c>
      <c r="S29" s="104">
        <f t="shared" si="23"/>
        <v>280.38602200487202</v>
      </c>
      <c r="T29" s="104">
        <f t="shared" si="23"/>
        <v>288.71641952254998</v>
      </c>
      <c r="U29" s="104">
        <f t="shared" si="23"/>
        <v>297.42472636223198</v>
      </c>
      <c r="V29" s="104">
        <f t="shared" ref="V29:AA29" si="24">V11</f>
        <v>305.60396015110899</v>
      </c>
      <c r="W29" s="104">
        <f t="shared" si="24"/>
        <v>306.70650516123197</v>
      </c>
      <c r="X29" s="104">
        <f t="shared" si="24"/>
        <v>307.77125923915401</v>
      </c>
      <c r="Y29" s="104">
        <f t="shared" si="24"/>
        <v>308.79822238487702</v>
      </c>
      <c r="Z29" s="104">
        <f t="shared" si="24"/>
        <v>309.82518553059901</v>
      </c>
      <c r="AA29" s="104">
        <f t="shared" si="24"/>
        <v>310.89627343168797</v>
      </c>
      <c r="AB29" s="95"/>
    </row>
    <row r="30" spans="1:50" s="170" customFormat="1" ht="12" x14ac:dyDescent="0.15">
      <c r="B30" s="210" t="s">
        <v>271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5">(M29/L29)-1</f>
        <v>6.9069158439192924E-2</v>
      </c>
      <c r="N30" s="230">
        <f t="shared" ref="N30" si="26">(N29/M29)-1</f>
        <v>5.9878536381910763E-2</v>
      </c>
      <c r="O30" s="246">
        <f t="shared" ref="O30" si="27">(O29/N29)-1</f>
        <v>0.10540817652056789</v>
      </c>
      <c r="P30" s="230">
        <f t="shared" ref="P30" si="28">(P29/O29)-1</f>
        <v>9.0868140922394369E-2</v>
      </c>
      <c r="Q30" s="230">
        <f t="shared" ref="Q30" si="29">(Q29/P29)-1</f>
        <v>8.3904244966857444E-2</v>
      </c>
      <c r="R30" s="230">
        <f t="shared" ref="R30" si="30">(R29/Q29)-1</f>
        <v>7.7368164205105394E-2</v>
      </c>
      <c r="S30" s="246">
        <f t="shared" ref="S30" si="31">(S29/R29)-1</f>
        <v>2.9047817310639434E-2</v>
      </c>
      <c r="T30" s="230">
        <f t="shared" ref="T30" si="32">(T29/S29)-1</f>
        <v>2.9710459380650533E-2</v>
      </c>
      <c r="U30" s="230">
        <f t="shared" ref="U30" si="33">(U29/T29)-1</f>
        <v>3.0162146143551283E-2</v>
      </c>
      <c r="V30" s="230">
        <f t="shared" ref="V30" si="34">(V29/U29)-1</f>
        <v>2.7500180932891194E-2</v>
      </c>
      <c r="W30" s="246">
        <f t="shared" ref="W30" si="35">(W29/V29)-1</f>
        <v>3.607757600974093E-3</v>
      </c>
      <c r="X30" s="230">
        <f t="shared" ref="X30" si="36">(X29/W29)-1</f>
        <v>3.4715731815413431E-3</v>
      </c>
      <c r="Y30" s="230">
        <f t="shared" ref="Y30" si="37">(Y29/X29)-1</f>
        <v>3.3367740323180239E-3</v>
      </c>
      <c r="Z30" s="230">
        <f t="shared" ref="Z30" si="38">(Z29/Y29)-1</f>
        <v>3.3256769996623525E-3</v>
      </c>
      <c r="AA30" s="246">
        <f t="shared" ref="AA30" si="39">(AA29/Z29)-1</f>
        <v>3.4570717653397143E-3</v>
      </c>
      <c r="AB30" s="243"/>
    </row>
    <row r="31" spans="1:50" s="97" customFormat="1" x14ac:dyDescent="0.2">
      <c r="B31" s="99" t="s">
        <v>176</v>
      </c>
      <c r="D31" s="103"/>
      <c r="E31" s="217"/>
      <c r="F31" s="217">
        <f t="shared" ref="F31" si="40">F28-F29</f>
        <v>185.97699999999998</v>
      </c>
      <c r="G31" s="150">
        <f t="shared" ref="G31" si="41">G28-G29</f>
        <v>36.608000000000004</v>
      </c>
      <c r="H31" s="217">
        <f t="shared" ref="H31" si="42">H28-H29</f>
        <v>60.010999999999996</v>
      </c>
      <c r="I31" s="217">
        <f t="shared" ref="I31" si="43">I28-I29</f>
        <v>41.205300797277943</v>
      </c>
      <c r="J31" s="217">
        <f t="shared" ref="J31" si="44">J28-J29</f>
        <v>42.720344650758932</v>
      </c>
      <c r="K31" s="150">
        <f t="shared" ref="K31:N31" si="45">K28-K29</f>
        <v>32.46624938209311</v>
      </c>
      <c r="L31" s="239">
        <f t="shared" si="45"/>
        <v>22.370520514336363</v>
      </c>
      <c r="M31" s="217">
        <f t="shared" si="45"/>
        <v>23.915633540108274</v>
      </c>
      <c r="N31" s="217">
        <f t="shared" si="45"/>
        <v>25.347666673136104</v>
      </c>
      <c r="O31" s="150">
        <f t="shared" ref="O31:AA31" si="46">O28-O29</f>
        <v>28.01951799620258</v>
      </c>
      <c r="P31" s="150">
        <f t="shared" si="46"/>
        <v>30.565599506059044</v>
      </c>
      <c r="Q31" s="150">
        <f t="shared" si="46"/>
        <v>33.130183054574275</v>
      </c>
      <c r="R31" s="150">
        <f t="shared" si="46"/>
        <v>35.693404497285769</v>
      </c>
      <c r="S31" s="150">
        <f t="shared" si="46"/>
        <v>36.730219990317664</v>
      </c>
      <c r="T31" s="150">
        <f t="shared" si="46"/>
        <v>37.821491699382307</v>
      </c>
      <c r="U31" s="150">
        <f t="shared" si="46"/>
        <v>38.962269059386188</v>
      </c>
      <c r="V31" s="150">
        <f t="shared" si="46"/>
        <v>40.033738508075317</v>
      </c>
      <c r="W31" s="150">
        <f t="shared" si="46"/>
        <v>40.178170532473189</v>
      </c>
      <c r="X31" s="150">
        <f t="shared" si="46"/>
        <v>40.317651991777097</v>
      </c>
      <c r="Y31" s="150">
        <f t="shared" si="46"/>
        <v>40.452182885987327</v>
      </c>
      <c r="Z31" s="150">
        <f t="shared" si="46"/>
        <v>40.586713780197385</v>
      </c>
      <c r="AA31" s="150">
        <f t="shared" si="46"/>
        <v>40.727024962454834</v>
      </c>
      <c r="AB31" s="244"/>
    </row>
    <row r="32" spans="1:50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1872.9389999999999</v>
      </c>
      <c r="H35" s="104">
        <f>main!O26</f>
        <v>1931.039</v>
      </c>
      <c r="I35" s="104">
        <f>main!P26</f>
        <v>1950.8346485087573</v>
      </c>
      <c r="J35" s="104">
        <f>main!Q26</f>
        <v>1979.078797006073</v>
      </c>
      <c r="K35" s="149">
        <f>main!R26</f>
        <v>2005.3875673679349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175</v>
      </c>
      <c r="D36" s="102" t="e">
        <f>#REF!</f>
        <v>#REF!</v>
      </c>
      <c r="E36" s="104">
        <f>E12</f>
        <v>1779.8</v>
      </c>
      <c r="F36" s="104">
        <f t="shared" ref="F36:K36" si="47">F12</f>
        <v>1871.3</v>
      </c>
      <c r="G36" s="104">
        <f t="shared" si="47"/>
        <v>1907.1</v>
      </c>
      <c r="H36" s="104">
        <f t="shared" si="47"/>
        <v>1958.3</v>
      </c>
      <c r="I36" s="104">
        <f t="shared" si="47"/>
        <v>1978.3751090344099</v>
      </c>
      <c r="J36" s="104">
        <f t="shared" si="47"/>
        <v>2007.0179878174299</v>
      </c>
      <c r="K36" s="104">
        <f t="shared" si="47"/>
        <v>2033.6981662082601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8">G35-G36</f>
        <v>-34.161000000000058</v>
      </c>
      <c r="H37" s="217">
        <f t="shared" si="48"/>
        <v>-27.260999999999967</v>
      </c>
      <c r="I37" s="217">
        <f t="shared" si="48"/>
        <v>-27.540460525652634</v>
      </c>
      <c r="J37" s="217">
        <f t="shared" si="48"/>
        <v>-27.939190811356866</v>
      </c>
      <c r="K37" s="150">
        <f t="shared" si="48"/>
        <v>-28.310598840325156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93.943438685328047</v>
      </c>
      <c r="I41" s="104">
        <f>main!P30</f>
        <v>94.906480494384581</v>
      </c>
      <c r="J41" s="104">
        <f>main!Q30</f>
        <v>96.28053478980631</v>
      </c>
      <c r="K41" s="149">
        <f>main!R30</f>
        <v>97.560434551217611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175</v>
      </c>
      <c r="D42" s="102" t="e">
        <f>#REF!</f>
        <v>#REF!</v>
      </c>
      <c r="E42" s="104">
        <f>E13</f>
        <v>54.2</v>
      </c>
      <c r="F42" s="104">
        <f t="shared" ref="F42:K42" si="49">F13</f>
        <v>90.2</v>
      </c>
      <c r="G42" s="104">
        <f t="shared" si="49"/>
        <v>95.9</v>
      </c>
      <c r="H42" s="104">
        <f t="shared" si="49"/>
        <v>95.9</v>
      </c>
      <c r="I42" s="104">
        <f t="shared" si="49"/>
        <v>96.883099094316506</v>
      </c>
      <c r="J42" s="104">
        <f t="shared" si="49"/>
        <v>98.285770837814496</v>
      </c>
      <c r="K42" s="104">
        <f t="shared" si="49"/>
        <v>99.592327089502007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176</v>
      </c>
      <c r="D43" s="103"/>
      <c r="E43" s="217"/>
      <c r="F43" s="217">
        <f>F41-F42</f>
        <v>0</v>
      </c>
      <c r="G43" s="150">
        <f t="shared" ref="G43:K43" si="50">G41-G42</f>
        <v>-4.3825959008611193</v>
      </c>
      <c r="H43" s="217">
        <f t="shared" si="50"/>
        <v>-1.9565613146719585</v>
      </c>
      <c r="I43" s="217">
        <f t="shared" si="50"/>
        <v>-1.9766185999319248</v>
      </c>
      <c r="J43" s="217">
        <f t="shared" si="50"/>
        <v>-2.0052360480081859</v>
      </c>
      <c r="K43" s="150">
        <f t="shared" si="50"/>
        <v>-2.0318925382843958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1416.53969581915</v>
      </c>
      <c r="J47" s="223">
        <f>main!Q95/1000</f>
        <v>1439.5964710763503</v>
      </c>
      <c r="K47" s="149">
        <f>J47*(1+K49)</f>
        <v>1470.9965270419164</v>
      </c>
      <c r="L47" s="104">
        <f t="shared" ref="L47:AA47" si="51">K47*(1+L49)</f>
        <v>1502.3965830074721</v>
      </c>
      <c r="M47" s="104">
        <f t="shared" si="51"/>
        <v>1533.7966389730275</v>
      </c>
      <c r="N47" s="104">
        <f t="shared" si="51"/>
        <v>1565.1966949385935</v>
      </c>
      <c r="O47" s="149">
        <f t="shared" si="51"/>
        <v>1578.5108335772657</v>
      </c>
      <c r="P47" s="104">
        <f t="shared" si="51"/>
        <v>1591.8249722159278</v>
      </c>
      <c r="Q47" s="104">
        <f t="shared" si="51"/>
        <v>1605.1391108545999</v>
      </c>
      <c r="R47" s="104">
        <f t="shared" si="51"/>
        <v>1618.4532494932719</v>
      </c>
      <c r="S47" s="149">
        <f t="shared" si="51"/>
        <v>1629.4283263923351</v>
      </c>
      <c r="T47" s="104">
        <f t="shared" si="51"/>
        <v>1640.4034032913987</v>
      </c>
      <c r="U47" s="104">
        <f t="shared" si="51"/>
        <v>1651.3784801904515</v>
      </c>
      <c r="V47" s="104">
        <f t="shared" si="51"/>
        <v>1662.3535570895151</v>
      </c>
      <c r="W47" s="149">
        <f t="shared" si="51"/>
        <v>1703.3144246897598</v>
      </c>
      <c r="X47" s="104">
        <f t="shared" si="51"/>
        <v>1744.2752922900149</v>
      </c>
      <c r="Y47" s="104">
        <f t="shared" si="51"/>
        <v>1785.2361598902596</v>
      </c>
      <c r="Z47" s="104">
        <f t="shared" si="51"/>
        <v>1826.1970274905045</v>
      </c>
      <c r="AA47" s="149">
        <f t="shared" si="51"/>
        <v>1856.7252504367495</v>
      </c>
      <c r="AB47" s="95"/>
    </row>
    <row r="48" spans="1:28" x14ac:dyDescent="0.2">
      <c r="B48" t="s">
        <v>175</v>
      </c>
      <c r="D48" s="102" t="e">
        <f>#REF!</f>
        <v>#REF!</v>
      </c>
      <c r="E48" s="104">
        <f>E14</f>
        <v>1336.74</v>
      </c>
      <c r="F48" s="104">
        <f t="shared" ref="F48:AA48" si="52">F14</f>
        <v>1328.7719999999999</v>
      </c>
      <c r="G48" s="104">
        <f t="shared" si="52"/>
        <v>1372.7929999999999</v>
      </c>
      <c r="H48" s="104">
        <f t="shared" si="52"/>
        <v>1403.2629999999999</v>
      </c>
      <c r="I48" s="104">
        <f t="shared" si="52"/>
        <v>1394.63952711825</v>
      </c>
      <c r="J48" s="104">
        <f t="shared" si="52"/>
        <v>1386.0160542364999</v>
      </c>
      <c r="K48" s="104">
        <f t="shared" si="52"/>
        <v>1416.24742986613</v>
      </c>
      <c r="L48" s="104">
        <f t="shared" si="52"/>
        <v>1446.4788054957501</v>
      </c>
      <c r="M48" s="104">
        <f t="shared" si="52"/>
        <v>1476.7101811253699</v>
      </c>
      <c r="N48" s="104">
        <f t="shared" si="52"/>
        <v>1506.941556755</v>
      </c>
      <c r="O48" s="104">
        <f t="shared" si="52"/>
        <v>1519.7601557667999</v>
      </c>
      <c r="P48" s="104">
        <f t="shared" si="52"/>
        <v>1532.5787547785901</v>
      </c>
      <c r="Q48" s="104">
        <f t="shared" si="52"/>
        <v>1545.3973537903901</v>
      </c>
      <c r="R48" s="104">
        <f t="shared" si="52"/>
        <v>1558.21595280219</v>
      </c>
      <c r="S48" s="104">
        <f t="shared" si="52"/>
        <v>1568.7825477363999</v>
      </c>
      <c r="T48" s="104">
        <f t="shared" si="52"/>
        <v>1579.34914267061</v>
      </c>
      <c r="U48" s="104">
        <f t="shared" si="52"/>
        <v>1589.9157376048099</v>
      </c>
      <c r="V48" s="104">
        <f t="shared" si="52"/>
        <v>1600.48233253902</v>
      </c>
      <c r="W48" s="104">
        <f t="shared" si="52"/>
        <v>1639.9186754518</v>
      </c>
      <c r="X48" s="104">
        <f t="shared" si="52"/>
        <v>1679.35501836459</v>
      </c>
      <c r="Y48" s="104">
        <f t="shared" si="52"/>
        <v>1718.79136127737</v>
      </c>
      <c r="Z48" s="104">
        <f t="shared" si="52"/>
        <v>1758.22770419015</v>
      </c>
      <c r="AA48" s="104">
        <f t="shared" si="52"/>
        <v>1787.6196955994999</v>
      </c>
      <c r="AB48" s="95"/>
    </row>
    <row r="49" spans="1:32" s="170" customFormat="1" ht="12" x14ac:dyDescent="0.15">
      <c r="B49" s="210" t="s">
        <v>271</v>
      </c>
      <c r="D49" s="228"/>
      <c r="E49" s="242"/>
      <c r="F49" s="242"/>
      <c r="G49" s="229"/>
      <c r="H49" s="242"/>
      <c r="I49" s="242"/>
      <c r="J49" s="242"/>
      <c r="K49" s="246">
        <f t="shared" ref="K49" si="53">(K48/J48)-1</f>
        <v>2.1811706680615162E-2</v>
      </c>
      <c r="L49" s="230">
        <f t="shared" ref="L49" si="54">(L48/K48)-1</f>
        <v>2.1346111556564518E-2</v>
      </c>
      <c r="M49" s="230">
        <f t="shared" ref="M49" si="55">(M48/L48)-1</f>
        <v>2.0899978288488441E-2</v>
      </c>
      <c r="N49" s="230">
        <f t="shared" ref="N49" si="56">(N48/M48)-1</f>
        <v>2.0472111600525089E-2</v>
      </c>
      <c r="O49" s="246">
        <f t="shared" ref="O49" si="57">(O48/N48)-1</f>
        <v>8.5063677183361275E-3</v>
      </c>
      <c r="P49" s="230">
        <f t="shared" ref="P49" si="58">(P48/O48)-1</f>
        <v>8.4346197412463741E-3</v>
      </c>
      <c r="Q49" s="230">
        <f t="shared" ref="Q49" si="59">(Q48/P48)-1</f>
        <v>8.3640719746580494E-3</v>
      </c>
      <c r="R49" s="230">
        <f t="shared" ref="R49" si="60">(R48/Q48)-1</f>
        <v>8.2946945524138282E-3</v>
      </c>
      <c r="S49" s="246">
        <f t="shared" ref="S49" si="61">(S48/R48)-1</f>
        <v>6.781213422444754E-3</v>
      </c>
      <c r="T49" s="230">
        <f t="shared" ref="T49" si="62">(T48/S48)-1</f>
        <v>6.7355382997196234E-3</v>
      </c>
      <c r="U49" s="230">
        <f t="shared" ref="U49" si="63">(U48/T48)-1</f>
        <v>6.6904743534619282E-3</v>
      </c>
      <c r="V49" s="230">
        <f t="shared" ref="V49" si="64">(V48/U48)-1</f>
        <v>6.6460093980380552E-3</v>
      </c>
      <c r="W49" s="246">
        <f t="shared" ref="W49" si="65">(W48/V48)-1</f>
        <v>2.4640286313075244E-2</v>
      </c>
      <c r="X49" s="230">
        <f t="shared" ref="X49" si="66">(X48/W48)-1</f>
        <v>2.4047743039407266E-2</v>
      </c>
      <c r="Y49" s="230">
        <f t="shared" ref="Y49" si="67">(Y48/X48)-1</f>
        <v>2.3483029187708171E-2</v>
      </c>
      <c r="Z49" s="230">
        <f t="shared" ref="Z49" si="68">(Z48/Y48)-1</f>
        <v>2.2944229184088893E-2</v>
      </c>
      <c r="AA49" s="246">
        <f t="shared" ref="AA49" si="69">(AA48/Z48)-1</f>
        <v>1.6716828735722888E-2</v>
      </c>
      <c r="AB49" s="243"/>
    </row>
    <row r="50" spans="1:32" s="97" customFormat="1" x14ac:dyDescent="0.2">
      <c r="B50" s="99" t="s">
        <v>176</v>
      </c>
      <c r="D50" s="103"/>
      <c r="E50" s="217"/>
      <c r="F50" s="217">
        <f t="shared" ref="F50" si="70">F47-F48</f>
        <v>3.3000000000129148E-2</v>
      </c>
      <c r="G50" s="150">
        <f t="shared" ref="G50" si="71">G47-G48</f>
        <v>-5.9999999998581188E-3</v>
      </c>
      <c r="H50" s="217">
        <f t="shared" ref="H50" si="72">H47-H48</f>
        <v>4.0000000001327862E-3</v>
      </c>
      <c r="I50" s="217">
        <f t="shared" ref="I50" si="73">I47-I48</f>
        <v>21.90016870089994</v>
      </c>
      <c r="J50" s="239">
        <f t="shared" ref="J50" si="74">J47-J48</f>
        <v>53.580416839850386</v>
      </c>
      <c r="K50" s="150">
        <f t="shared" ref="K50:AA50" si="75">K47-K48</f>
        <v>54.749097175786346</v>
      </c>
      <c r="L50" s="217">
        <f t="shared" si="75"/>
        <v>55.917777511722079</v>
      </c>
      <c r="M50" s="217">
        <f t="shared" si="75"/>
        <v>57.086457847657584</v>
      </c>
      <c r="N50" s="217">
        <f t="shared" si="75"/>
        <v>58.255138183593544</v>
      </c>
      <c r="O50" s="150">
        <f t="shared" si="75"/>
        <v>58.750677810465731</v>
      </c>
      <c r="P50" s="217">
        <f t="shared" si="75"/>
        <v>59.246217437337691</v>
      </c>
      <c r="Q50" s="217">
        <f t="shared" si="75"/>
        <v>59.741757064209878</v>
      </c>
      <c r="R50" s="217">
        <f t="shared" si="75"/>
        <v>60.237296691081838</v>
      </c>
      <c r="S50" s="150">
        <f t="shared" si="75"/>
        <v>60.645778655935146</v>
      </c>
      <c r="T50" s="217">
        <f t="shared" si="75"/>
        <v>61.054260620788682</v>
      </c>
      <c r="U50" s="217">
        <f t="shared" si="75"/>
        <v>61.462742585641536</v>
      </c>
      <c r="V50" s="217">
        <f t="shared" si="75"/>
        <v>61.871224550495072</v>
      </c>
      <c r="W50" s="150">
        <f t="shared" si="75"/>
        <v>63.395749237959762</v>
      </c>
      <c r="X50" s="217">
        <f t="shared" si="75"/>
        <v>64.920273925424908</v>
      </c>
      <c r="Y50" s="217">
        <f t="shared" si="75"/>
        <v>66.444798612889599</v>
      </c>
      <c r="Z50" s="217">
        <f t="shared" si="75"/>
        <v>67.969323300354517</v>
      </c>
      <c r="AA50" s="150">
        <f t="shared" si="75"/>
        <v>69.105554837249656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1684.5361789840949</v>
      </c>
      <c r="M54" s="104">
        <f t="shared" ref="M54:AA54" si="76">L54*(1+M56)</f>
        <v>1678.2135536535579</v>
      </c>
      <c r="N54" s="104">
        <f t="shared" si="76"/>
        <v>1660.1984622255854</v>
      </c>
      <c r="O54" s="104">
        <f t="shared" si="76"/>
        <v>1681.5863017890024</v>
      </c>
      <c r="P54" s="104">
        <f t="shared" si="76"/>
        <v>1692.7375632632791</v>
      </c>
      <c r="Q54" s="104">
        <f t="shared" si="76"/>
        <v>1696.6630226959769</v>
      </c>
      <c r="R54" s="104">
        <f t="shared" si="76"/>
        <v>1692.281066197442</v>
      </c>
      <c r="S54" s="104">
        <f t="shared" si="76"/>
        <v>1700.8418499326938</v>
      </c>
      <c r="T54" s="104">
        <f t="shared" si="76"/>
        <v>1710.4578514658454</v>
      </c>
      <c r="U54" s="104">
        <f t="shared" si="76"/>
        <v>1719.6335883595932</v>
      </c>
      <c r="V54" s="104">
        <f t="shared" si="76"/>
        <v>1729.4009197745108</v>
      </c>
      <c r="W54" s="104">
        <f t="shared" si="76"/>
        <v>1769.6074835511222</v>
      </c>
      <c r="X54" s="104">
        <f t="shared" si="76"/>
        <v>1803.5824136795466</v>
      </c>
      <c r="Y54" s="104">
        <f t="shared" si="76"/>
        <v>1829.732881983369</v>
      </c>
      <c r="Z54" s="104">
        <f t="shared" si="76"/>
        <v>1848.8141695445154</v>
      </c>
      <c r="AA54" s="104">
        <f t="shared" si="76"/>
        <v>1857.7181132918261</v>
      </c>
      <c r="AB54" s="95"/>
    </row>
    <row r="55" spans="1:32" x14ac:dyDescent="0.2">
      <c r="B55" t="s">
        <v>175</v>
      </c>
      <c r="D55" s="102" t="e">
        <f>#REF!</f>
        <v>#REF!</v>
      </c>
      <c r="E55" s="104">
        <f>E15</f>
        <v>1828.5</v>
      </c>
      <c r="F55" s="104">
        <f t="shared" ref="F55:AA55" si="77">F15</f>
        <v>1861.4</v>
      </c>
      <c r="G55" s="104">
        <f t="shared" si="77"/>
        <v>1756.2</v>
      </c>
      <c r="H55" s="104">
        <f t="shared" si="77"/>
        <v>1808.7</v>
      </c>
      <c r="I55" s="104">
        <f t="shared" si="77"/>
        <v>1629.3563571043301</v>
      </c>
      <c r="J55" s="104">
        <f t="shared" si="77"/>
        <v>1501.6652887165701</v>
      </c>
      <c r="K55" s="104">
        <f t="shared" si="77"/>
        <v>1514.2729452476999</v>
      </c>
      <c r="L55" s="104">
        <f t="shared" si="77"/>
        <v>1515.61502429495</v>
      </c>
      <c r="M55" s="104">
        <f t="shared" si="77"/>
        <v>1509.9264163187599</v>
      </c>
      <c r="N55" s="104">
        <f t="shared" si="77"/>
        <v>1493.71783405563</v>
      </c>
      <c r="O55" s="104">
        <f t="shared" si="77"/>
        <v>1512.9609535468801</v>
      </c>
      <c r="P55" s="104">
        <f t="shared" si="77"/>
        <v>1522.99399388232</v>
      </c>
      <c r="Q55" s="104">
        <f t="shared" si="77"/>
        <v>1526.52581787499</v>
      </c>
      <c r="R55" s="104">
        <f t="shared" si="77"/>
        <v>1522.58327322214</v>
      </c>
      <c r="S55" s="104">
        <f t="shared" si="77"/>
        <v>1530.28560256998</v>
      </c>
      <c r="T55" s="104">
        <f t="shared" si="77"/>
        <v>1538.9373350641299</v>
      </c>
      <c r="U55" s="104">
        <f t="shared" si="77"/>
        <v>1547.1929515766401</v>
      </c>
      <c r="V55" s="104">
        <f t="shared" si="77"/>
        <v>1555.9808389633299</v>
      </c>
      <c r="W55" s="104">
        <f t="shared" si="77"/>
        <v>1592.1555871790999</v>
      </c>
      <c r="X55" s="104">
        <f t="shared" si="77"/>
        <v>1622.7235946783901</v>
      </c>
      <c r="Y55" s="104">
        <f t="shared" si="77"/>
        <v>1646.251758186</v>
      </c>
      <c r="Z55" s="104">
        <f t="shared" si="77"/>
        <v>1663.41962105019</v>
      </c>
      <c r="AA55" s="104">
        <f t="shared" si="77"/>
        <v>1671.4306991660901</v>
      </c>
      <c r="AB55" s="95"/>
    </row>
    <row r="56" spans="1:32" s="170" customFormat="1" ht="12" x14ac:dyDescent="0.15">
      <c r="B56" s="210" t="s">
        <v>271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8">(L55/K55)-1</f>
        <v>8.8628608961283106E-4</v>
      </c>
      <c r="M56" s="230">
        <f t="shared" ref="M56" si="79">(M55/L55)-1</f>
        <v>-3.7533330595190817E-3</v>
      </c>
      <c r="N56" s="230">
        <f t="shared" ref="N56" si="80">(N55/M55)-1</f>
        <v>-1.0734683550107649E-2</v>
      </c>
      <c r="O56" s="246">
        <f t="shared" ref="O56" si="81">(O55/N55)-1</f>
        <v>1.2882700502411915E-2</v>
      </c>
      <c r="P56" s="230">
        <f t="shared" ref="P56" si="82">(P55/O55)-1</f>
        <v>6.6313940964035645E-3</v>
      </c>
      <c r="Q56" s="230">
        <f t="shared" ref="Q56" si="83">(Q55/P55)-1</f>
        <v>2.3190006046360789E-3</v>
      </c>
      <c r="R56" s="230">
        <f t="shared" ref="R56" si="84">(R55/Q55)-1</f>
        <v>-2.5826911059639857E-3</v>
      </c>
      <c r="S56" s="246">
        <f t="shared" ref="S56" si="85">(S55/R55)-1</f>
        <v>5.0587245264688274E-3</v>
      </c>
      <c r="T56" s="230">
        <f t="shared" ref="T56" si="86">(T55/S55)-1</f>
        <v>5.6536717588011598E-3</v>
      </c>
      <c r="U56" s="230">
        <f t="shared" ref="U56" si="87">(U55/T55)-1</f>
        <v>5.3644916686397259E-3</v>
      </c>
      <c r="V56" s="230">
        <f t="shared" ref="V56" si="88">(V55/U55)-1</f>
        <v>5.6798910425068794E-3</v>
      </c>
      <c r="W56" s="246">
        <f t="shared" ref="W56" si="89">(W55/V55)-1</f>
        <v>2.3248839130867172E-2</v>
      </c>
      <c r="X56" s="230">
        <f t="shared" ref="X56" si="90">(X55/W55)-1</f>
        <v>1.9199133392138412E-2</v>
      </c>
      <c r="Y56" s="230">
        <f t="shared" ref="Y56" si="91">(Y55/X55)-1</f>
        <v>1.4499181243662784E-2</v>
      </c>
      <c r="Z56" s="230">
        <f t="shared" ref="Z56" si="92">(Z55/Y55)-1</f>
        <v>1.0428455294776651E-2</v>
      </c>
      <c r="AA56" s="246">
        <f t="shared" ref="AA56" si="93">(AA55/Z55)-1</f>
        <v>4.8160295902017758E-3</v>
      </c>
      <c r="AB56" s="243"/>
    </row>
    <row r="57" spans="1:32" s="97" customFormat="1" x14ac:dyDescent="0.2">
      <c r="B57" s="99" t="s">
        <v>176</v>
      </c>
      <c r="D57" s="103"/>
      <c r="E57" s="217"/>
      <c r="F57" s="217">
        <f t="shared" ref="F57" si="94">F54-F55</f>
        <v>604.60100000000011</v>
      </c>
      <c r="G57" s="150">
        <f t="shared" ref="G57" si="95">G54-G55</f>
        <v>271.59299999999985</v>
      </c>
      <c r="H57" s="217">
        <f t="shared" ref="H57" si="96">H54-H55</f>
        <v>1309.4238025000002</v>
      </c>
      <c r="I57" s="217">
        <f t="shared" ref="I57" si="97">I54-I55</f>
        <v>245.49251687691981</v>
      </c>
      <c r="J57" s="217">
        <f t="shared" ref="J57" si="98">J54-J55</f>
        <v>184.80221870982064</v>
      </c>
      <c r="K57" s="264">
        <f t="shared" ref="K57" si="99">K54-K55</f>
        <v>168.77157479008633</v>
      </c>
      <c r="L57" s="217">
        <f t="shared" ref="L57:AA57" si="100">L54-L55</f>
        <v>168.92115468914494</v>
      </c>
      <c r="M57" s="217">
        <f t="shared" si="100"/>
        <v>168.28713733479799</v>
      </c>
      <c r="N57" s="217">
        <f t="shared" si="100"/>
        <v>166.48062816995548</v>
      </c>
      <c r="O57" s="150">
        <f t="shared" si="100"/>
        <v>168.6253482421223</v>
      </c>
      <c r="P57" s="217">
        <f t="shared" si="100"/>
        <v>169.74356938095912</v>
      </c>
      <c r="Q57" s="217">
        <f t="shared" si="100"/>
        <v>170.13720482098688</v>
      </c>
      <c r="R57" s="217">
        <f t="shared" si="100"/>
        <v>169.69779297530204</v>
      </c>
      <c r="S57" s="150">
        <f t="shared" si="100"/>
        <v>170.55624736271375</v>
      </c>
      <c r="T57" s="217">
        <f t="shared" si="100"/>
        <v>171.52051640171544</v>
      </c>
      <c r="U57" s="217">
        <f t="shared" si="100"/>
        <v>172.44063678295311</v>
      </c>
      <c r="V57" s="217">
        <f t="shared" si="100"/>
        <v>173.42008081118092</v>
      </c>
      <c r="W57" s="150">
        <f t="shared" si="100"/>
        <v>177.45189637202225</v>
      </c>
      <c r="X57" s="217">
        <f t="shared" si="100"/>
        <v>180.85881900115646</v>
      </c>
      <c r="Y57" s="217">
        <f t="shared" si="100"/>
        <v>183.48112379736904</v>
      </c>
      <c r="Z57" s="217">
        <f t="shared" si="100"/>
        <v>185.39454849432536</v>
      </c>
      <c r="AA57" s="150">
        <f t="shared" si="100"/>
        <v>186.28741412573595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404.85399999999998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77.703294275287377</v>
      </c>
      <c r="N61" s="231">
        <f>M61*(1+N63)</f>
        <v>78.070503655757733</v>
      </c>
      <c r="O61" s="247">
        <f>N61*(1+O63)</f>
        <v>78.435379078301466</v>
      </c>
      <c r="P61" s="231">
        <f>O61*(1+P63)</f>
        <v>78.79947651486961</v>
      </c>
      <c r="Q61" s="231">
        <f t="shared" ref="Q61:AA61" si="101">P61*(1+Q63)</f>
        <v>79.164740930401138</v>
      </c>
      <c r="R61" s="231">
        <f t="shared" si="101"/>
        <v>79.5335062828227</v>
      </c>
      <c r="S61" s="247">
        <f t="shared" si="101"/>
        <v>79.905772572134268</v>
      </c>
      <c r="T61" s="231">
        <f t="shared" si="101"/>
        <v>80.280372819372673</v>
      </c>
      <c r="U61" s="231">
        <f t="shared" si="101"/>
        <v>80.654195080635461</v>
      </c>
      <c r="V61" s="231">
        <f t="shared" si="101"/>
        <v>81.029184320861646</v>
      </c>
      <c r="W61" s="247">
        <f t="shared" si="101"/>
        <v>81.404951547063447</v>
      </c>
      <c r="X61" s="231">
        <f t="shared" si="101"/>
        <v>81.780329780277256</v>
      </c>
      <c r="Y61" s="231">
        <f t="shared" si="101"/>
        <v>82.151040097637818</v>
      </c>
      <c r="Z61" s="231">
        <f t="shared" si="101"/>
        <v>82.519027464083777</v>
      </c>
      <c r="AA61" s="247">
        <f t="shared" si="101"/>
        <v>82.884291879615319</v>
      </c>
      <c r="AB61" s="95"/>
    </row>
    <row r="62" spans="1:32" x14ac:dyDescent="0.2">
      <c r="B62" t="s">
        <v>175</v>
      </c>
      <c r="D62" s="102" t="e">
        <f>#REF!</f>
        <v>#REF!</v>
      </c>
      <c r="E62" s="104">
        <f>E16</f>
        <v>1085.9000000000001</v>
      </c>
      <c r="F62" s="104">
        <f t="shared" ref="F62:AA62" si="102">F16</f>
        <v>1212.9000000000001</v>
      </c>
      <c r="G62" s="104">
        <f t="shared" si="102"/>
        <v>609.79999999999995</v>
      </c>
      <c r="H62" s="104">
        <f t="shared" si="102"/>
        <v>402.3</v>
      </c>
      <c r="I62" s="104">
        <f t="shared" si="102"/>
        <v>404.18538158623397</v>
      </c>
      <c r="J62" s="104">
        <f t="shared" si="102"/>
        <v>406.11408156777497</v>
      </c>
      <c r="K62" s="104">
        <f t="shared" si="102"/>
        <v>408.08197438316603</v>
      </c>
      <c r="L62" s="104">
        <f t="shared" si="102"/>
        <v>410.07255778657401</v>
      </c>
      <c r="M62" s="104">
        <f t="shared" si="102"/>
        <v>412.05076450561</v>
      </c>
      <c r="N62" s="104">
        <f t="shared" si="102"/>
        <v>413.998029513711</v>
      </c>
      <c r="O62" s="104">
        <f t="shared" si="102"/>
        <v>415.93291783743899</v>
      </c>
      <c r="P62" s="104">
        <f t="shared" si="102"/>
        <v>417.86368059970903</v>
      </c>
      <c r="Q62" s="104">
        <f t="shared" si="102"/>
        <v>419.80063170416599</v>
      </c>
      <c r="R62" s="104">
        <f t="shared" si="102"/>
        <v>421.75614783518301</v>
      </c>
      <c r="S62" s="104">
        <f t="shared" si="102"/>
        <v>423.73022899275998</v>
      </c>
      <c r="T62" s="104">
        <f t="shared" si="102"/>
        <v>425.71668683471103</v>
      </c>
      <c r="U62" s="104">
        <f t="shared" si="102"/>
        <v>427.69901911520401</v>
      </c>
      <c r="V62" s="104">
        <f t="shared" si="102"/>
        <v>429.68753973788398</v>
      </c>
      <c r="W62" s="104">
        <f t="shared" si="102"/>
        <v>431.68018592202202</v>
      </c>
      <c r="X62" s="104">
        <f t="shared" si="102"/>
        <v>433.67076932543</v>
      </c>
      <c r="Y62" s="104">
        <f t="shared" si="102"/>
        <v>435.63659936009202</v>
      </c>
      <c r="Z62" s="104">
        <f t="shared" si="102"/>
        <v>437.58798992965097</v>
      </c>
      <c r="AA62" s="104">
        <f t="shared" si="102"/>
        <v>439.524941034108</v>
      </c>
      <c r="AB62" s="95"/>
    </row>
    <row r="63" spans="1:32" s="170" customFormat="1" ht="12" x14ac:dyDescent="0.15">
      <c r="B63" s="210" t="s">
        <v>271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3">(M62/L62)-1</f>
        <v>4.8240407251674E-3</v>
      </c>
      <c r="N63" s="230">
        <f t="shared" si="103"/>
        <v>4.7257890916363454E-3</v>
      </c>
      <c r="O63" s="246">
        <f t="shared" si="103"/>
        <v>4.6736655389416626E-3</v>
      </c>
      <c r="P63" s="230">
        <f t="shared" si="103"/>
        <v>4.6420051875399881E-3</v>
      </c>
      <c r="Q63" s="230">
        <f t="shared" si="103"/>
        <v>4.6353660162019583E-3</v>
      </c>
      <c r="R63" s="230">
        <f t="shared" si="103"/>
        <v>4.6582019733478752E-3</v>
      </c>
      <c r="S63" s="246">
        <f t="shared" si="103"/>
        <v>4.6806221265762726E-3</v>
      </c>
      <c r="T63" s="230">
        <f t="shared" si="103"/>
        <v>4.6880248470189123E-3</v>
      </c>
      <c r="U63" s="230">
        <f t="shared" si="103"/>
        <v>4.6564589592013039E-3</v>
      </c>
      <c r="V63" s="230">
        <f t="shared" si="103"/>
        <v>4.6493457637422075E-3</v>
      </c>
      <c r="W63" s="246">
        <f t="shared" si="103"/>
        <v>4.637430690574762E-3</v>
      </c>
      <c r="X63" s="230">
        <f t="shared" si="103"/>
        <v>4.6112457053277822E-3</v>
      </c>
      <c r="Y63" s="230">
        <f t="shared" si="103"/>
        <v>4.5330010083912686E-3</v>
      </c>
      <c r="Z63" s="230">
        <f t="shared" si="103"/>
        <v>4.4793999687477992E-3</v>
      </c>
      <c r="AA63" s="246">
        <f t="shared" si="103"/>
        <v>4.4264265679878623E-3</v>
      </c>
      <c r="AB63" s="243"/>
    </row>
    <row r="64" spans="1:32" s="97" customFormat="1" x14ac:dyDescent="0.2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4">G61-G62</f>
        <v>0.73599999999999</v>
      </c>
      <c r="H64" s="217">
        <f t="shared" si="104"/>
        <v>2.5539999999999736</v>
      </c>
      <c r="I64" s="217">
        <f t="shared" si="104"/>
        <v>443.1982017470994</v>
      </c>
      <c r="J64" s="217">
        <f t="shared" si="104"/>
        <v>-298.69716490110829</v>
      </c>
      <c r="K64" s="150">
        <f t="shared" si="104"/>
        <v>-305.33172438316603</v>
      </c>
      <c r="L64" s="217">
        <f t="shared" si="104"/>
        <v>-332.74230778657397</v>
      </c>
      <c r="M64" s="217">
        <f t="shared" si="104"/>
        <v>-334.34747023032264</v>
      </c>
      <c r="N64" s="217">
        <f t="shared" si="104"/>
        <v>-335.92752585795324</v>
      </c>
      <c r="O64" s="150">
        <f t="shared" si="104"/>
        <v>-337.49753875913751</v>
      </c>
      <c r="P64" s="217">
        <f t="shared" si="104"/>
        <v>-339.06420408483939</v>
      </c>
      <c r="Q64" s="217">
        <f t="shared" si="104"/>
        <v>-340.63589077376486</v>
      </c>
      <c r="R64" s="217">
        <f t="shared" si="104"/>
        <v>-342.2226415523603</v>
      </c>
      <c r="S64" s="150">
        <f t="shared" si="104"/>
        <v>-343.82445642062572</v>
      </c>
      <c r="T64" s="217">
        <f t="shared" si="104"/>
        <v>-345.43631401533833</v>
      </c>
      <c r="U64" s="217">
        <f t="shared" si="104"/>
        <v>-347.04482403456853</v>
      </c>
      <c r="V64" s="217">
        <f t="shared" si="104"/>
        <v>-348.65835541702234</v>
      </c>
      <c r="W64" s="150">
        <f t="shared" si="104"/>
        <v>-350.27523437495859</v>
      </c>
      <c r="X64" s="217">
        <f t="shared" si="104"/>
        <v>-351.89043954515273</v>
      </c>
      <c r="Y64" s="217">
        <f t="shared" si="104"/>
        <v>-353.48555926245422</v>
      </c>
      <c r="Z64" s="217">
        <f t="shared" si="104"/>
        <v>-355.06896246556721</v>
      </c>
      <c r="AA64" s="150">
        <f t="shared" si="104"/>
        <v>-356.64064915449268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5">S68*(1+T70)</f>
        <v>333.78582925174538</v>
      </c>
      <c r="U68" s="248">
        <f t="shared" si="105"/>
        <v>337.09010427322568</v>
      </c>
      <c r="V68" s="248">
        <f t="shared" si="105"/>
        <v>340.43479411501323</v>
      </c>
      <c r="W68" s="249">
        <f t="shared" si="105"/>
        <v>343.81583546649915</v>
      </c>
      <c r="X68" s="248">
        <f t="shared" si="105"/>
        <v>347.21186736980997</v>
      </c>
      <c r="Y68" s="248">
        <f t="shared" si="105"/>
        <v>350.62708384827226</v>
      </c>
      <c r="Z68" s="248">
        <f t="shared" si="105"/>
        <v>354.05853395040117</v>
      </c>
      <c r="AA68" s="249">
        <f t="shared" si="105"/>
        <v>357.51747852385301</v>
      </c>
      <c r="AB68" s="95"/>
    </row>
    <row r="69" spans="1:28" x14ac:dyDescent="0.2">
      <c r="B69" t="s">
        <v>175</v>
      </c>
      <c r="D69" s="102" t="e">
        <f>#REF!</f>
        <v>#REF!</v>
      </c>
      <c r="E69" s="104">
        <f>E17</f>
        <v>884.26</v>
      </c>
      <c r="F69" s="104">
        <f t="shared" ref="F69:AA69" si="106">F17</f>
        <v>242.12799999999999</v>
      </c>
      <c r="G69" s="104">
        <f t="shared" si="106"/>
        <v>225.90700000000001</v>
      </c>
      <c r="H69" s="104">
        <f t="shared" si="106"/>
        <v>260.73700000000002</v>
      </c>
      <c r="I69" s="104">
        <f t="shared" si="106"/>
        <v>255.59948840017799</v>
      </c>
      <c r="J69" s="104">
        <f t="shared" si="106"/>
        <v>254.55541346215</v>
      </c>
      <c r="K69" s="104">
        <f t="shared" si="106"/>
        <v>256.89572380491899</v>
      </c>
      <c r="L69" s="104">
        <f t="shared" si="106"/>
        <v>259.47104592492298</v>
      </c>
      <c r="M69" s="104">
        <f t="shared" si="106"/>
        <v>261.94028245643398</v>
      </c>
      <c r="N69" s="104">
        <f t="shared" si="106"/>
        <v>264.42386516359801</v>
      </c>
      <c r="O69" s="104">
        <f t="shared" si="106"/>
        <v>266.96509198785299</v>
      </c>
      <c r="P69" s="104">
        <f t="shared" si="106"/>
        <v>269.50680093709798</v>
      </c>
      <c r="Q69" s="104">
        <f t="shared" si="106"/>
        <v>272.09622896230098</v>
      </c>
      <c r="R69" s="104">
        <f t="shared" si="106"/>
        <v>274.73279727509299</v>
      </c>
      <c r="S69" s="104">
        <f t="shared" si="106"/>
        <v>277.43299355096599</v>
      </c>
      <c r="T69" s="104">
        <f t="shared" si="106"/>
        <v>280.18660377739002</v>
      </c>
      <c r="U69" s="104">
        <f t="shared" si="106"/>
        <v>282.96027933542803</v>
      </c>
      <c r="V69" s="104">
        <f t="shared" si="106"/>
        <v>285.76787991439801</v>
      </c>
      <c r="W69" s="104">
        <f t="shared" si="106"/>
        <v>288.60599468885499</v>
      </c>
      <c r="X69" s="104">
        <f t="shared" si="106"/>
        <v>291.45669283695003</v>
      </c>
      <c r="Y69" s="104">
        <f t="shared" si="106"/>
        <v>294.32349490703803</v>
      </c>
      <c r="Z69" s="104">
        <f t="shared" si="106"/>
        <v>297.203923810513</v>
      </c>
      <c r="AA69" s="104">
        <f t="shared" si="106"/>
        <v>300.10743213158901</v>
      </c>
      <c r="AB69" s="95"/>
    </row>
    <row r="70" spans="1:28" s="170" customFormat="1" ht="12" x14ac:dyDescent="0.15">
      <c r="B70" s="210" t="s">
        <v>271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9.6080247926930706E-3</v>
      </c>
      <c r="R70" s="230">
        <f t="shared" ref="R70" si="108">(R69/Q69)-1</f>
        <v>9.6898377564700322E-3</v>
      </c>
      <c r="S70" s="246">
        <f t="shared" ref="S70" si="109">(S69/R69)-1</f>
        <v>9.8284453208885569E-3</v>
      </c>
      <c r="T70" s="230">
        <f t="shared" ref="T70" si="110">(T69/S69)-1</f>
        <v>9.9253163482091455E-3</v>
      </c>
      <c r="U70" s="230">
        <f t="shared" ref="U70" si="111">(U69/T69)-1</f>
        <v>9.8993867681187453E-3</v>
      </c>
      <c r="V70" s="230">
        <f t="shared" ref="V70" si="112">(V69/U69)-1</f>
        <v>9.9222427457452689E-3</v>
      </c>
      <c r="W70" s="246">
        <f t="shared" ref="W70" si="113">(W69/V69)-1</f>
        <v>9.9315387555352075E-3</v>
      </c>
      <c r="X70" s="230">
        <f t="shared" ref="X70" si="114">(X69/W69)-1</f>
        <v>9.877473789719371E-3</v>
      </c>
      <c r="Y70" s="230">
        <f t="shared" ref="Y70" si="115">(Y69/X69)-1</f>
        <v>9.8361167903999736E-3</v>
      </c>
      <c r="Z70" s="230">
        <f t="shared" ref="Z70" si="116">(Z69/Y69)-1</f>
        <v>9.7866087937856783E-3</v>
      </c>
      <c r="AA70" s="246">
        <f t="shared" ref="AA70" si="117">(AA69/Z69)-1</f>
        <v>9.7694144944304728E-3</v>
      </c>
      <c r="AB70" s="243"/>
    </row>
    <row r="71" spans="1:28" s="97" customFormat="1" x14ac:dyDescent="0.2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8">G68-G69</f>
        <v>68.244</v>
      </c>
      <c r="H71" s="217">
        <f t="shared" si="118"/>
        <v>61.90180399999997</v>
      </c>
      <c r="I71" s="217">
        <f t="shared" si="118"/>
        <v>68.930270815822013</v>
      </c>
      <c r="J71" s="217">
        <f t="shared" si="118"/>
        <v>64.768464790714006</v>
      </c>
      <c r="K71" s="150">
        <f t="shared" si="118"/>
        <v>62.225449960956496</v>
      </c>
      <c r="L71" s="217">
        <f t="shared" ref="L71:N71" si="119">L68-L69</f>
        <v>50.450612536015967</v>
      </c>
      <c r="M71" s="217">
        <f t="shared" si="119"/>
        <v>48.785062638348734</v>
      </c>
      <c r="N71" s="217">
        <f t="shared" si="119"/>
        <v>47.108381311563846</v>
      </c>
      <c r="O71" s="150">
        <f t="shared" ref="O71:AA71" si="120">O68-O69</f>
        <v>45.377283473209502</v>
      </c>
      <c r="P71" s="250">
        <f t="shared" si="120"/>
        <v>43.648944025808703</v>
      </c>
      <c r="Q71" s="250">
        <f t="shared" si="120"/>
        <v>58.409229063726343</v>
      </c>
      <c r="R71" s="250">
        <f t="shared" si="120"/>
        <v>55.772660750934335</v>
      </c>
      <c r="S71" s="239">
        <f t="shared" si="120"/>
        <v>53.072464475061338</v>
      </c>
      <c r="T71" s="250">
        <f t="shared" si="120"/>
        <v>53.599225474355364</v>
      </c>
      <c r="U71" s="250">
        <f t="shared" si="120"/>
        <v>54.12982493779765</v>
      </c>
      <c r="V71" s="250">
        <f t="shared" si="120"/>
        <v>54.666914200615224</v>
      </c>
      <c r="W71" s="251">
        <f t="shared" si="120"/>
        <v>55.20984077764416</v>
      </c>
      <c r="X71" s="250">
        <f t="shared" si="120"/>
        <v>55.75517453285994</v>
      </c>
      <c r="Y71" s="250">
        <f t="shared" si="120"/>
        <v>56.303588941234239</v>
      </c>
      <c r="Z71" s="250">
        <f t="shared" si="120"/>
        <v>56.854610139888166</v>
      </c>
      <c r="AA71" s="251">
        <f t="shared" si="120"/>
        <v>57.410046392264007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M25" sqref="M2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250</v>
      </c>
      <c r="B1" t="s">
        <v>243</v>
      </c>
      <c r="C1" t="s">
        <v>244</v>
      </c>
      <c r="D1" t="s">
        <v>398</v>
      </c>
      <c r="E1" t="s">
        <v>246</v>
      </c>
      <c r="F1" t="s">
        <v>247</v>
      </c>
      <c r="G1" t="s">
        <v>248</v>
      </c>
      <c r="H1" t="s">
        <v>249</v>
      </c>
      <c r="I1" t="s">
        <v>399</v>
      </c>
      <c r="J1" t="s">
        <v>394</v>
      </c>
      <c r="K1" t="s">
        <v>395</v>
      </c>
      <c r="L1" t="s">
        <v>396</v>
      </c>
      <c r="M1" t="s">
        <v>397</v>
      </c>
      <c r="N1" t="s">
        <v>336</v>
      </c>
      <c r="O1" t="s">
        <v>348</v>
      </c>
      <c r="P1" t="s">
        <v>359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185.97699999999998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-8.7680000000000007</v>
      </c>
      <c r="C4">
        <v>36.608000000000004</v>
      </c>
      <c r="D4">
        <v>-34.161000000000058</v>
      </c>
      <c r="E4">
        <v>-4.3825959008611193</v>
      </c>
      <c r="F4">
        <v>-5.9999999998581188E-3</v>
      </c>
      <c r="G4">
        <v>271.59299999999985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-2.6000000000010459E-2</v>
      </c>
      <c r="C5">
        <v>60.010999999999996</v>
      </c>
      <c r="D5">
        <v>-27.260999999999967</v>
      </c>
      <c r="E5">
        <v>-1.9565613146719585</v>
      </c>
      <c r="F5">
        <v>4.0000000001327862E-3</v>
      </c>
      <c r="G5">
        <v>1309.4238025000002</v>
      </c>
      <c r="H5">
        <v>2.5539999999999736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12.191000475937102</v>
      </c>
      <c r="C6">
        <v>41.205300797277943</v>
      </c>
      <c r="D6">
        <v>-27.540460525652634</v>
      </c>
      <c r="E6">
        <v>-1.9766185999319248</v>
      </c>
      <c r="F6">
        <v>21.90016870089994</v>
      </c>
      <c r="G6">
        <v>245.49251687691981</v>
      </c>
      <c r="H6">
        <v>443.1982017470994</v>
      </c>
      <c r="I6">
        <v>68.930270815822013</v>
      </c>
      <c r="J6" s="102">
        <f>'add-ons calculations'!I$68</f>
        <v>324.529759216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8.0446176857161049</v>
      </c>
      <c r="C7">
        <v>42.720344650758932</v>
      </c>
      <c r="D7">
        <v>-27.939190811356866</v>
      </c>
      <c r="E7">
        <v>-2.0052360480081859</v>
      </c>
      <c r="F7">
        <v>53.580416839850386</v>
      </c>
      <c r="G7">
        <v>184.80221870982064</v>
      </c>
      <c r="H7">
        <v>-298.69716490110829</v>
      </c>
      <c r="I7">
        <v>64.768464790714006</v>
      </c>
      <c r="J7" s="102">
        <f>'add-ons calculations'!J$68</f>
        <v>319.32387825286401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7.459524934637102</v>
      </c>
      <c r="C8">
        <v>32.46624938209311</v>
      </c>
      <c r="D8">
        <v>-28.310598840325156</v>
      </c>
      <c r="E8">
        <v>-2.0318925382843958</v>
      </c>
      <c r="F8">
        <v>54.749097175786346</v>
      </c>
      <c r="G8">
        <v>168.77157479008633</v>
      </c>
      <c r="H8">
        <v>-305.33172438316603</v>
      </c>
      <c r="I8">
        <v>62.225449960956496</v>
      </c>
      <c r="J8" s="102">
        <f>'add-ons calculations'!K$68</f>
        <v>319.12117376587548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6.8744321835571043</v>
      </c>
      <c r="C9">
        <v>22.370520514336363</v>
      </c>
      <c r="D9">
        <v>0</v>
      </c>
      <c r="E9">
        <v>0</v>
      </c>
      <c r="F9">
        <v>55.917777511722079</v>
      </c>
      <c r="G9">
        <v>168.92115468914494</v>
      </c>
      <c r="H9">
        <v>-332.74230778657397</v>
      </c>
      <c r="I9">
        <v>50.450612536015967</v>
      </c>
      <c r="J9" s="102">
        <f>'add-ons calculations'!L$68</f>
        <v>309.92165846093894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47.937274032360733</v>
      </c>
      <c r="C10">
        <v>23.915633540108274</v>
      </c>
      <c r="D10">
        <v>0</v>
      </c>
      <c r="E10">
        <v>0</v>
      </c>
      <c r="F10">
        <v>57.086457847657584</v>
      </c>
      <c r="G10">
        <v>168.28713733479799</v>
      </c>
      <c r="H10">
        <v>-334.34747023032264</v>
      </c>
      <c r="I10">
        <v>48.785062638348734</v>
      </c>
      <c r="J10" s="102">
        <f>'add-ons calculations'!M$68</f>
        <v>310.72534509478271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47.352181281280735</v>
      </c>
      <c r="C11">
        <v>25.347666673136104</v>
      </c>
      <c r="D11">
        <v>0</v>
      </c>
      <c r="E11">
        <v>0</v>
      </c>
      <c r="F11">
        <v>58.255138183593544</v>
      </c>
      <c r="G11">
        <v>166.48062816995548</v>
      </c>
      <c r="H11">
        <v>-335.92752585795324</v>
      </c>
      <c r="I11">
        <v>47.108381311563846</v>
      </c>
      <c r="J11" s="102">
        <f>'add-ons calculations'!N$68</f>
        <v>311.53224647516186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49.24529837870972</v>
      </c>
      <c r="C12">
        <v>28.01951799620258</v>
      </c>
      <c r="D12">
        <v>0</v>
      </c>
      <c r="E12">
        <v>0</v>
      </c>
      <c r="F12">
        <v>58.750677810465731</v>
      </c>
      <c r="G12">
        <v>168.6253482421223</v>
      </c>
      <c r="H12">
        <v>-337.49753875913751</v>
      </c>
      <c r="I12">
        <v>45.377283473209502</v>
      </c>
      <c r="J12" s="102">
        <f>'add-ons calculations'!O$68</f>
        <v>312.34237546106249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48.706029963479068</v>
      </c>
      <c r="C13">
        <v>30.565599506059044</v>
      </c>
      <c r="D13">
        <v>0</v>
      </c>
      <c r="E13">
        <v>0</v>
      </c>
      <c r="F13">
        <v>59.246217437337691</v>
      </c>
      <c r="G13">
        <v>169.74356938095912</v>
      </c>
      <c r="H13">
        <v>-339.06420408483939</v>
      </c>
      <c r="I13">
        <v>43.648944025808703</v>
      </c>
      <c r="J13" s="102">
        <f>'add-ons calculations'!P$68</f>
        <v>313.15574496290668</v>
      </c>
      <c r="K13" s="102">
        <f t="shared" si="1"/>
        <v>0</v>
      </c>
      <c r="L13">
        <v>0</v>
      </c>
      <c r="M13">
        <v>0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48.166761548248445</v>
      </c>
      <c r="C14">
        <v>33.130183054574275</v>
      </c>
      <c r="D14">
        <v>0</v>
      </c>
      <c r="E14">
        <v>0</v>
      </c>
      <c r="F14">
        <v>59.741757064209878</v>
      </c>
      <c r="G14">
        <v>170.13720482098688</v>
      </c>
      <c r="H14">
        <v>-340.63589077376486</v>
      </c>
      <c r="I14">
        <v>58.409229063726343</v>
      </c>
      <c r="J14" s="102">
        <f>'add-ons calculations'!Q$68</f>
        <v>330.50545802602733</v>
      </c>
      <c r="K14" s="102">
        <f t="shared" si="1"/>
        <v>0</v>
      </c>
      <c r="L14">
        <v>0</v>
      </c>
      <c r="M14"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47.627493133017822</v>
      </c>
      <c r="C15">
        <v>35.693404497285769</v>
      </c>
      <c r="D15">
        <v>0</v>
      </c>
      <c r="E15">
        <v>0</v>
      </c>
      <c r="F15">
        <v>60.237296691081838</v>
      </c>
      <c r="G15">
        <v>169.69779297530204</v>
      </c>
      <c r="H15">
        <v>-342.2226415523603</v>
      </c>
      <c r="I15">
        <v>55.772660750934335</v>
      </c>
      <c r="J15" s="102">
        <f>'add-ons calculations'!R$68</f>
        <v>330.50545802602733</v>
      </c>
      <c r="K15" s="102">
        <f t="shared" si="1"/>
        <v>0</v>
      </c>
      <c r="L15">
        <v>0</v>
      </c>
      <c r="M15"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47.909170525827761</v>
      </c>
      <c r="C16">
        <v>36.730219990317664</v>
      </c>
      <c r="D16">
        <v>0</v>
      </c>
      <c r="E16">
        <v>0</v>
      </c>
      <c r="F16">
        <v>60.645778655935146</v>
      </c>
      <c r="G16">
        <v>170.55624736271375</v>
      </c>
      <c r="H16">
        <v>-343.82445642062572</v>
      </c>
      <c r="I16">
        <v>53.072464475061338</v>
      </c>
      <c r="J16" s="102">
        <f>'add-ons calculations'!S$68</f>
        <v>330.50545802602733</v>
      </c>
      <c r="K16" s="102">
        <f t="shared" si="1"/>
        <v>0</v>
      </c>
      <c r="L16">
        <v>0</v>
      </c>
      <c r="M16"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48.190847918637417</v>
      </c>
      <c r="C17">
        <v>37.821491699382307</v>
      </c>
      <c r="D17">
        <v>0</v>
      </c>
      <c r="E17">
        <v>0</v>
      </c>
      <c r="F17">
        <v>61.054260620788682</v>
      </c>
      <c r="G17">
        <v>171.52051640171544</v>
      </c>
      <c r="H17">
        <v>-345.43631401533833</v>
      </c>
      <c r="I17">
        <v>53.599225474355364</v>
      </c>
      <c r="J17" s="102">
        <f>'add-ons calculations'!T$68</f>
        <v>333.78582925174538</v>
      </c>
      <c r="K17" s="102">
        <f t="shared" si="1"/>
        <v>0</v>
      </c>
      <c r="L17">
        <v>0</v>
      </c>
      <c r="M17"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48.472525311447043</v>
      </c>
      <c r="C18">
        <v>38.962269059386188</v>
      </c>
      <c r="D18">
        <v>0</v>
      </c>
      <c r="E18">
        <v>0</v>
      </c>
      <c r="F18">
        <v>61.462742585641536</v>
      </c>
      <c r="G18">
        <v>172.44063678295311</v>
      </c>
      <c r="H18">
        <v>-347.04482403456853</v>
      </c>
      <c r="I18">
        <v>54.12982493779765</v>
      </c>
      <c r="J18" s="102">
        <f>'add-ons calculations'!U$68</f>
        <v>337.09010427322568</v>
      </c>
      <c r="K18" s="102">
        <f t="shared" si="1"/>
        <v>0</v>
      </c>
      <c r="L18">
        <v>0</v>
      </c>
      <c r="M18"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48.754202704256983</v>
      </c>
      <c r="C19">
        <v>40.033738508075317</v>
      </c>
      <c r="D19">
        <v>0</v>
      </c>
      <c r="E19">
        <v>0</v>
      </c>
      <c r="F19">
        <v>61.871224550495072</v>
      </c>
      <c r="G19">
        <v>173.42008081118092</v>
      </c>
      <c r="H19">
        <v>-348.65835541702234</v>
      </c>
      <c r="I19">
        <v>54.666914200615224</v>
      </c>
      <c r="J19" s="102">
        <f>'add-ons calculations'!V$68</f>
        <v>340.43479411501323</v>
      </c>
      <c r="K19" s="102">
        <f t="shared" si="1"/>
        <v>0</v>
      </c>
      <c r="L19">
        <v>0</v>
      </c>
      <c r="M19"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49.478730408519283</v>
      </c>
      <c r="C20">
        <v>40.178170532473189</v>
      </c>
      <c r="D20">
        <v>0</v>
      </c>
      <c r="E20">
        <v>0</v>
      </c>
      <c r="F20">
        <v>63.395749237959762</v>
      </c>
      <c r="G20">
        <v>177.45189637202225</v>
      </c>
      <c r="H20">
        <v>-350.27523437495859</v>
      </c>
      <c r="I20">
        <v>55.20984077764416</v>
      </c>
      <c r="J20" s="102">
        <f>'add-ons calculations'!W$68</f>
        <v>343.81583546649915</v>
      </c>
      <c r="K20" s="102">
        <f t="shared" si="1"/>
        <v>0</v>
      </c>
      <c r="L20">
        <v>0</v>
      </c>
      <c r="M20"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50.203258112781555</v>
      </c>
      <c r="C21">
        <v>40.317651991777097</v>
      </c>
      <c r="D21">
        <v>0</v>
      </c>
      <c r="E21">
        <v>0</v>
      </c>
      <c r="F21">
        <v>64.920273925424908</v>
      </c>
      <c r="G21">
        <v>180.85881900115646</v>
      </c>
      <c r="H21">
        <v>-351.89043954515273</v>
      </c>
      <c r="I21">
        <v>55.75517453285994</v>
      </c>
      <c r="J21" s="102">
        <f>'add-ons calculations'!X$68</f>
        <v>347.21186736980997</v>
      </c>
      <c r="K21" s="102">
        <f t="shared" si="1"/>
        <v>0</v>
      </c>
      <c r="L21">
        <v>0</v>
      </c>
      <c r="M21"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50.927785817043855</v>
      </c>
      <c r="C22">
        <v>40.452182885987327</v>
      </c>
      <c r="D22">
        <v>0</v>
      </c>
      <c r="E22">
        <v>0</v>
      </c>
      <c r="F22">
        <v>66.444798612889599</v>
      </c>
      <c r="G22">
        <v>183.48112379736904</v>
      </c>
      <c r="H22">
        <v>-353.48555926245422</v>
      </c>
      <c r="I22">
        <v>56.303588941234239</v>
      </c>
      <c r="J22" s="102">
        <f>'add-ons calculations'!Y$68</f>
        <v>350.62708384827226</v>
      </c>
      <c r="K22" s="102">
        <f t="shared" si="1"/>
        <v>0</v>
      </c>
      <c r="L22">
        <v>0</v>
      </c>
      <c r="M22"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51.652313521306155</v>
      </c>
      <c r="C23">
        <v>40.586713780197385</v>
      </c>
      <c r="D23">
        <v>0</v>
      </c>
      <c r="E23">
        <v>0</v>
      </c>
      <c r="F23">
        <v>67.969323300354517</v>
      </c>
      <c r="G23">
        <v>185.39454849432536</v>
      </c>
      <c r="H23">
        <v>-355.06896246556721</v>
      </c>
      <c r="I23">
        <v>56.854610139888166</v>
      </c>
      <c r="J23" s="102">
        <f>'add-ons calculations'!Z$68</f>
        <v>354.05853395040117</v>
      </c>
      <c r="K23" s="102">
        <f t="shared" si="1"/>
        <v>0</v>
      </c>
      <c r="L23">
        <v>0</v>
      </c>
      <c r="M23"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52.373839507047563</v>
      </c>
      <c r="C24">
        <v>40.727024962454834</v>
      </c>
      <c r="D24">
        <v>0</v>
      </c>
      <c r="E24">
        <v>0</v>
      </c>
      <c r="F24">
        <v>69.105554837249656</v>
      </c>
      <c r="G24">
        <v>186.28741412573595</v>
      </c>
      <c r="H24">
        <v>-356.64064915449268</v>
      </c>
      <c r="I24">
        <v>57.410046392264007</v>
      </c>
      <c r="J24" s="102">
        <f>'add-ons calculations'!AA$68</f>
        <v>357.51747852385301</v>
      </c>
      <c r="K24" s="102">
        <f t="shared" si="1"/>
        <v>0</v>
      </c>
      <c r="L24">
        <v>0</v>
      </c>
      <c r="M24"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5166912</v>
      </c>
      <c r="N3" s="255">
        <f>main!P34</f>
        <v>2705730.7097351807</v>
      </c>
      <c r="O3" s="255">
        <f>main!Q34</f>
        <v>2608406.1184375221</v>
      </c>
      <c r="P3" s="255">
        <f>main!R34</f>
        <v>2675260.9058893258</v>
      </c>
      <c r="Q3" s="255">
        <f>main!S34</f>
        <v>2731866.8126938515</v>
      </c>
      <c r="R3" s="255">
        <f>main!T34</f>
        <v>2789882.180047215</v>
      </c>
      <c r="S3" s="255">
        <f>main!U34</f>
        <v>2849346.4737674939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833185</v>
      </c>
      <c r="N5" s="262">
        <f>main!P97</f>
        <v>839966.69025637733</v>
      </c>
      <c r="O5" s="262">
        <f>main!Q97</f>
        <v>840695.86249100231</v>
      </c>
      <c r="P5" s="262">
        <f>main!R97</f>
        <v>841795.08963469951</v>
      </c>
      <c r="Q5" s="262">
        <f>main!S97</f>
        <v>843271.71809773275</v>
      </c>
      <c r="R5" s="262">
        <f>main!T97</f>
        <v>844616.81782463961</v>
      </c>
      <c r="S5" s="262">
        <f>main!U97</f>
        <v>846048.30010281573</v>
      </c>
      <c r="T5" s="262">
        <f>main!V97</f>
        <v>847541.48420332698</v>
      </c>
      <c r="U5" s="262"/>
      <c r="V5" s="262"/>
      <c r="W5" s="262"/>
      <c r="AJ5" s="258"/>
    </row>
    <row r="6" spans="1:36" s="35" customFormat="1" x14ac:dyDescent="0.2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687274</v>
      </c>
      <c r="N6" s="35">
        <f>main!P100</f>
        <v>694132.24333137739</v>
      </c>
      <c r="O6" s="35">
        <f>main!Q100</f>
        <v>694132.24333137739</v>
      </c>
      <c r="P6" s="35">
        <f>main!R100</f>
        <v>694132.24333137739</v>
      </c>
      <c r="Q6" s="35">
        <f>main!S100</f>
        <v>694132.24333137739</v>
      </c>
      <c r="R6" s="35">
        <f>main!T100</f>
        <v>694132.24333137739</v>
      </c>
      <c r="S6" s="35">
        <f>main!U100</f>
        <v>694132.24333137739</v>
      </c>
      <c r="T6" s="35">
        <f>main!V100</f>
        <v>694132.24333137739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60" t="s">
        <v>203</v>
      </c>
      <c r="B1" s="361"/>
      <c r="C1" s="35"/>
      <c r="I1" s="240"/>
      <c r="J1" s="368" t="s">
        <v>273</v>
      </c>
      <c r="V1" s="352"/>
      <c r="W1" s="352"/>
      <c r="X1" s="352"/>
      <c r="Y1" s="352"/>
    </row>
    <row r="2" spans="1:27" x14ac:dyDescent="0.2">
      <c r="A2" s="362" t="s">
        <v>189</v>
      </c>
      <c r="B2" s="126"/>
      <c r="C2" t="s">
        <v>190</v>
      </c>
      <c r="H2" s="95"/>
      <c r="I2" s="241"/>
      <c r="J2" s="368"/>
    </row>
    <row r="3" spans="1:27" x14ac:dyDescent="0.2">
      <c r="A3" s="363"/>
      <c r="B3" s="127"/>
      <c r="C3" t="s">
        <v>191</v>
      </c>
      <c r="H3" s="95"/>
      <c r="I3" s="241"/>
      <c r="J3" s="368"/>
    </row>
    <row r="4" spans="1:27" x14ac:dyDescent="0.2">
      <c r="A4" s="363"/>
      <c r="B4" s="128"/>
      <c r="C4" t="s">
        <v>192</v>
      </c>
      <c r="H4" s="95"/>
      <c r="I4" s="95"/>
      <c r="J4" s="95"/>
    </row>
    <row r="5" spans="1:27" x14ac:dyDescent="0.2">
      <c r="A5" s="364"/>
      <c r="B5" s="129"/>
      <c r="C5" t="s">
        <v>179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27" s="257" customFormat="1" x14ac:dyDescent="0.2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687.274</v>
      </c>
      <c r="I24" s="102">
        <f>main_nipas!N6/1000</f>
        <v>694.13224333137737</v>
      </c>
      <c r="J24" s="102">
        <f>main_nipas!O6/1000</f>
        <v>694.13224333137737</v>
      </c>
      <c r="K24" s="149">
        <f>main_nipas!P6/1000</f>
        <v>694.13224333137737</v>
      </c>
      <c r="L24" s="102">
        <f>main_nipas!Q6/1000</f>
        <v>694.13224333137737</v>
      </c>
      <c r="M24" s="102">
        <f>main_nipas!R6/1000</f>
        <v>694.13224333137737</v>
      </c>
      <c r="N24" s="102">
        <f>M24*(1+N26)</f>
        <v>687.01041720470687</v>
      </c>
      <c r="O24" s="149">
        <f t="shared" ref="O24:AA24" si="0">N24*(1+O26)</f>
        <v>679.95848795547715</v>
      </c>
      <c r="P24" s="102">
        <f t="shared" si="0"/>
        <v>672.90655870624732</v>
      </c>
      <c r="Q24" s="102">
        <f t="shared" si="0"/>
        <v>665.8546294570175</v>
      </c>
      <c r="R24" s="102">
        <f t="shared" si="0"/>
        <v>658.80270020778778</v>
      </c>
      <c r="S24" s="149">
        <f t="shared" si="0"/>
        <v>666.22641427654787</v>
      </c>
      <c r="T24" s="102">
        <f t="shared" si="0"/>
        <v>673.65012834530796</v>
      </c>
      <c r="U24" s="102">
        <f t="shared" si="0"/>
        <v>681.07384241406805</v>
      </c>
      <c r="V24" s="102">
        <f t="shared" si="0"/>
        <v>688.49755648282814</v>
      </c>
      <c r="W24" s="149">
        <f t="shared" si="0"/>
        <v>697.90168207907755</v>
      </c>
      <c r="X24" s="102">
        <f t="shared" si="0"/>
        <v>707.30580767532695</v>
      </c>
      <c r="Y24" s="102">
        <f t="shared" si="0"/>
        <v>716.70993327157646</v>
      </c>
      <c r="Z24" s="102">
        <f t="shared" si="0"/>
        <v>726.11405886782597</v>
      </c>
      <c r="AA24" s="149">
        <f t="shared" si="0"/>
        <v>735.89995455181156</v>
      </c>
      <c r="AB24" s="95"/>
    </row>
    <row r="25" spans="1:28" x14ac:dyDescent="0.2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271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-65.076315500038618</v>
      </c>
      <c r="I27" s="217">
        <f t="shared" si="3"/>
        <v>-84.893229918680618</v>
      </c>
      <c r="J27" s="217">
        <f t="shared" si="3"/>
        <v>-111.56838766869976</v>
      </c>
      <c r="K27" s="150">
        <f t="shared" si="3"/>
        <v>-103.54871181228123</v>
      </c>
      <c r="L27" s="217">
        <f t="shared" si="3"/>
        <v>-95.52903595586281</v>
      </c>
      <c r="M27" s="239">
        <f t="shared" si="3"/>
        <v>-87.509360099444393</v>
      </c>
      <c r="N27" s="217">
        <f t="shared" si="3"/>
        <v>-86.611510369696362</v>
      </c>
      <c r="O27" s="150">
        <f t="shared" si="3"/>
        <v>-85.72247255018101</v>
      </c>
      <c r="P27" s="217">
        <f t="shared" si="3"/>
        <v>-84.833434730665658</v>
      </c>
      <c r="Q27" s="217">
        <f t="shared" si="3"/>
        <v>-83.944396911150307</v>
      </c>
      <c r="R27" s="217">
        <f t="shared" si="3"/>
        <v>-83.055359091634955</v>
      </c>
      <c r="S27" s="150">
        <f t="shared" si="3"/>
        <v>-83.991267881292288</v>
      </c>
      <c r="T27" s="217">
        <f t="shared" si="3"/>
        <v>-84.927176670949621</v>
      </c>
      <c r="U27" s="217">
        <f t="shared" si="3"/>
        <v>-85.863085460607067</v>
      </c>
      <c r="V27" s="217">
        <f t="shared" si="3"/>
        <v>-86.798994250264514</v>
      </c>
      <c r="W27" s="150">
        <f t="shared" si="3"/>
        <v>-87.984573829845772</v>
      </c>
      <c r="X27" s="217">
        <f t="shared" si="3"/>
        <v>-89.17015340942703</v>
      </c>
      <c r="Y27" s="217">
        <f t="shared" si="3"/>
        <v>-90.355732989008288</v>
      </c>
      <c r="Z27" s="217">
        <f t="shared" si="3"/>
        <v>-91.541312568589547</v>
      </c>
      <c r="AA27" s="150">
        <f t="shared" si="3"/>
        <v>-92.77502196263174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833.18499999999995</v>
      </c>
      <c r="I31" s="104">
        <f>main_nipas!N5/1000</f>
        <v>839.96669025637732</v>
      </c>
      <c r="J31" s="104">
        <f>main_nipas!O5/1000</f>
        <v>840.69586249100234</v>
      </c>
      <c r="K31" s="149">
        <f>main_nipas!P5/1000</f>
        <v>841.79508963469948</v>
      </c>
      <c r="L31" s="104">
        <f>main_nipas!Q5/1000</f>
        <v>843.27171809773279</v>
      </c>
      <c r="M31" s="104">
        <f>L31*(1 + M33)</f>
        <v>1025.3573337888656</v>
      </c>
      <c r="N31" s="104">
        <f t="shared" ref="N31:AA31" si="4">M31*(1 + N33)</f>
        <v>1197.8514364152011</v>
      </c>
      <c r="O31" s="149">
        <f t="shared" si="4"/>
        <v>1359.1522844179385</v>
      </c>
      <c r="P31" s="104">
        <f t="shared" si="4"/>
        <v>1517.7675087625314</v>
      </c>
      <c r="Q31" s="104">
        <f t="shared" si="4"/>
        <v>1684.8232646041488</v>
      </c>
      <c r="R31" s="104">
        <f t="shared" si="4"/>
        <v>1851.1116994005818</v>
      </c>
      <c r="S31" s="149">
        <f t="shared" si="4"/>
        <v>1845.3589668724767</v>
      </c>
      <c r="T31" s="104">
        <f t="shared" si="4"/>
        <v>1844.2101606154788</v>
      </c>
      <c r="U31" s="104">
        <f t="shared" si="4"/>
        <v>1847.2816201069884</v>
      </c>
      <c r="V31" s="104">
        <f t="shared" si="4"/>
        <v>1856.4916479599726</v>
      </c>
      <c r="W31" s="149">
        <f t="shared" si="4"/>
        <v>1843.2107428283005</v>
      </c>
      <c r="X31" s="104">
        <f t="shared" si="4"/>
        <v>1829.1625166514441</v>
      </c>
      <c r="Y31" s="104">
        <f t="shared" si="4"/>
        <v>1818.1835746553231</v>
      </c>
      <c r="Z31" s="104">
        <f t="shared" si="4"/>
        <v>1810.6575773625291</v>
      </c>
      <c r="AA31" s="149">
        <f t="shared" si="4"/>
        <v>1801.6433388737262</v>
      </c>
      <c r="AB31" s="95"/>
    </row>
    <row r="32" spans="1:28" x14ac:dyDescent="0.2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271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737.71204300003865</v>
      </c>
      <c r="I34" s="217">
        <f t="shared" si="7"/>
        <v>769.04933282518539</v>
      </c>
      <c r="J34" s="217">
        <f t="shared" si="7"/>
        <v>792.20394865642345</v>
      </c>
      <c r="K34" s="150">
        <f t="shared" si="7"/>
        <v>778.87705585744209</v>
      </c>
      <c r="L34" s="239">
        <f t="shared" si="7"/>
        <v>763.72801857484785</v>
      </c>
      <c r="M34" s="217">
        <f t="shared" si="7"/>
        <v>928.63795625955152</v>
      </c>
      <c r="N34" s="217">
        <f t="shared" si="7"/>
        <v>1084.8611241749131</v>
      </c>
      <c r="O34" s="150">
        <f t="shared" si="7"/>
        <v>1230.9468690134422</v>
      </c>
      <c r="P34" s="150">
        <f t="shared" si="7"/>
        <v>1374.6003183165544</v>
      </c>
      <c r="Q34" s="150">
        <f t="shared" si="7"/>
        <v>1525.8981250166898</v>
      </c>
      <c r="R34" s="150">
        <f t="shared" si="7"/>
        <v>1676.5009901352776</v>
      </c>
      <c r="S34" s="150">
        <f t="shared" si="7"/>
        <v>1671.2908983928535</v>
      </c>
      <c r="T34" s="150">
        <f t="shared" si="7"/>
        <v>1670.2504561397177</v>
      </c>
      <c r="U34" s="150">
        <f t="shared" si="7"/>
        <v>1673.032192585089</v>
      </c>
      <c r="V34" s="150">
        <f t="shared" si="7"/>
        <v>1681.3734616828433</v>
      </c>
      <c r="W34" s="150">
        <f t="shared" si="7"/>
        <v>1669.3453109179</v>
      </c>
      <c r="X34" s="150">
        <f t="shared" si="7"/>
        <v>1656.6222185714087</v>
      </c>
      <c r="Y34" s="150">
        <f t="shared" si="7"/>
        <v>1646.6788925511069</v>
      </c>
      <c r="Z34" s="150">
        <f t="shared" si="7"/>
        <v>1639.8628036477683</v>
      </c>
      <c r="AA34" s="150">
        <f t="shared" si="7"/>
        <v>1631.698855596072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2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271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5166.9120000000003</v>
      </c>
      <c r="I45" s="102">
        <f>main_nipas!N3/1000</f>
        <v>2705.7307097351809</v>
      </c>
      <c r="J45" s="102">
        <f>main_nipas!O3/1000</f>
        <v>2608.4061184375223</v>
      </c>
      <c r="K45" s="263">
        <f>main_nipas!P3/1000</f>
        <v>2675.2609058893258</v>
      </c>
      <c r="L45" s="104">
        <f>K45*(1+L47)</f>
        <v>2702.3487837984276</v>
      </c>
      <c r="M45" s="104">
        <f t="shared" ref="M45:AA45" si="12">L45*(1+M47)</f>
        <v>2701.5244273309813</v>
      </c>
      <c r="N45" s="104">
        <f t="shared" si="12"/>
        <v>2662.0505796646585</v>
      </c>
      <c r="O45" s="104">
        <f t="shared" si="12"/>
        <v>2665.0391395898096</v>
      </c>
      <c r="P45" s="104">
        <f t="shared" si="12"/>
        <v>2669.6411865601995</v>
      </c>
      <c r="Q45" s="104">
        <f t="shared" si="12"/>
        <v>2675.3466959128623</v>
      </c>
      <c r="R45" s="104">
        <f t="shared" si="12"/>
        <v>2684.2138489198119</v>
      </c>
      <c r="S45" s="104">
        <f t="shared" si="12"/>
        <v>2711.3458569550057</v>
      </c>
      <c r="T45" s="104">
        <f t="shared" si="12"/>
        <v>2737.4164106875651</v>
      </c>
      <c r="U45" s="104">
        <f t="shared" si="12"/>
        <v>2758.5378138007491</v>
      </c>
      <c r="V45" s="104">
        <f t="shared" si="12"/>
        <v>2776.6255393891392</v>
      </c>
      <c r="W45" s="104">
        <f t="shared" si="12"/>
        <v>2840.7093810221727</v>
      </c>
      <c r="X45" s="104">
        <f t="shared" si="12"/>
        <v>2894.8075773375363</v>
      </c>
      <c r="Y45" s="104">
        <f t="shared" si="12"/>
        <v>2940.0598387747859</v>
      </c>
      <c r="Z45" s="104">
        <f t="shared" si="12"/>
        <v>2975.5142148013842</v>
      </c>
      <c r="AA45" s="104">
        <f t="shared" si="12"/>
        <v>2994.61507255574</v>
      </c>
      <c r="AB45" s="95"/>
    </row>
    <row r="46" spans="1:28" x14ac:dyDescent="0.2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271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3098.3489021682981</v>
      </c>
      <c r="I48" s="217">
        <f t="shared" si="30"/>
        <v>850.99060951851379</v>
      </c>
      <c r="J48" s="217">
        <f t="shared" si="30"/>
        <v>902.92646535170434</v>
      </c>
      <c r="K48" s="264">
        <f t="shared" si="30"/>
        <v>923.30179747597185</v>
      </c>
      <c r="L48" s="217">
        <f t="shared" si="30"/>
        <v>932.65052541059163</v>
      </c>
      <c r="M48" s="217">
        <f t="shared" si="30"/>
        <v>932.36601865221223</v>
      </c>
      <c r="N48" s="217">
        <f t="shared" si="30"/>
        <v>918.74257189852347</v>
      </c>
      <c r="O48" s="150">
        <f t="shared" si="30"/>
        <v>919.77400129843068</v>
      </c>
      <c r="P48" s="217">
        <f t="shared" si="30"/>
        <v>921.36228684862749</v>
      </c>
      <c r="Q48" s="217">
        <f t="shared" si="30"/>
        <v>923.33140583408135</v>
      </c>
      <c r="R48" s="217">
        <f t="shared" si="30"/>
        <v>926.39168989526888</v>
      </c>
      <c r="S48" s="150">
        <f t="shared" si="30"/>
        <v>935.75564827887183</v>
      </c>
      <c r="T48" s="217">
        <f t="shared" si="30"/>
        <v>944.75327130303208</v>
      </c>
      <c r="U48" s="217">
        <f t="shared" si="30"/>
        <v>952.04281432169114</v>
      </c>
      <c r="V48" s="217">
        <f t="shared" si="30"/>
        <v>958.28535668877316</v>
      </c>
      <c r="W48" s="150">
        <f t="shared" si="30"/>
        <v>980.40234947952877</v>
      </c>
      <c r="X48" s="217">
        <f t="shared" si="30"/>
        <v>999.07303755642829</v>
      </c>
      <c r="Y48" s="217">
        <f t="shared" si="30"/>
        <v>1014.69076449771</v>
      </c>
      <c r="Z48" s="217">
        <f t="shared" si="30"/>
        <v>1026.9269875298953</v>
      </c>
      <c r="AA48" s="150">
        <f t="shared" si="30"/>
        <v>1033.519188036061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280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-34.161000000000058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2">
      <c r="A4" s="260">
        <v>44286</v>
      </c>
      <c r="B4" s="259">
        <v>-65.076315500038618</v>
      </c>
      <c r="C4" s="259">
        <v>737.71204300003865</v>
      </c>
      <c r="D4" s="259">
        <v>-27.260999999999967</v>
      </c>
      <c r="E4" s="259">
        <v>-1.9565613146719585</v>
      </c>
      <c r="F4" s="259">
        <v>62.983597259149064</v>
      </c>
      <c r="G4" s="259">
        <v>3098.3489021682981</v>
      </c>
      <c r="H4" s="259">
        <v>2.5539999999999736</v>
      </c>
      <c r="I4" s="259">
        <v>61.90180399999997</v>
      </c>
    </row>
    <row r="5" spans="1:9" x14ac:dyDescent="0.2">
      <c r="A5" s="260">
        <v>44377</v>
      </c>
      <c r="B5" s="259">
        <v>-84.893229918680618</v>
      </c>
      <c r="C5" s="259">
        <v>769.04933282518539</v>
      </c>
      <c r="D5" s="259">
        <v>-27.540460525652634</v>
      </c>
      <c r="E5" s="259">
        <v>-1.9766185999319248</v>
      </c>
      <c r="F5" s="259">
        <v>98.551231642654102</v>
      </c>
      <c r="G5" s="259">
        <v>850.99060951851379</v>
      </c>
      <c r="H5" s="259">
        <v>443.1982017470994</v>
      </c>
      <c r="I5" s="259">
        <v>68.930270815822013</v>
      </c>
    </row>
    <row r="6" spans="1:9" x14ac:dyDescent="0.2">
      <c r="A6" s="260">
        <v>44469</v>
      </c>
      <c r="B6" s="259">
        <v>-111.56838766869976</v>
      </c>
      <c r="C6" s="259">
        <v>792.20394865642345</v>
      </c>
      <c r="D6" s="259">
        <v>-27.939190811356866</v>
      </c>
      <c r="E6" s="259">
        <v>-2.0052360480081859</v>
      </c>
      <c r="F6" s="259">
        <v>134.39780552942921</v>
      </c>
      <c r="G6" s="259">
        <v>902.92646535170434</v>
      </c>
      <c r="H6" s="259">
        <v>-298.69716490110829</v>
      </c>
      <c r="I6" s="259">
        <v>64.768464790714006</v>
      </c>
    </row>
    <row r="7" spans="1:9" x14ac:dyDescent="0.2">
      <c r="A7" s="260">
        <v>44561</v>
      </c>
      <c r="B7" s="259">
        <v>-103.54871181228123</v>
      </c>
      <c r="C7" s="259">
        <v>778.87705585744209</v>
      </c>
      <c r="D7" s="259">
        <v>-28.310598840325156</v>
      </c>
      <c r="E7" s="259">
        <v>-2.0318925382843958</v>
      </c>
      <c r="F7" s="259">
        <v>141.18377161901594</v>
      </c>
      <c r="G7" s="259">
        <v>923.30179747597185</v>
      </c>
      <c r="H7" s="259">
        <v>-305.33172438316603</v>
      </c>
      <c r="I7" s="259">
        <v>62.225449960956496</v>
      </c>
    </row>
    <row r="8" spans="1:9" x14ac:dyDescent="0.2">
      <c r="A8" s="260">
        <v>44651</v>
      </c>
      <c r="B8" s="259">
        <v>-95.52903595586281</v>
      </c>
      <c r="C8" s="259">
        <v>763.72801857484785</v>
      </c>
      <c r="D8" s="259">
        <v>0</v>
      </c>
      <c r="E8" s="259">
        <v>0</v>
      </c>
      <c r="F8" s="259">
        <v>147.96973770860268</v>
      </c>
      <c r="G8" s="259">
        <v>932.65052541059163</v>
      </c>
      <c r="H8" s="259">
        <v>-332.74230778657397</v>
      </c>
      <c r="I8" s="259">
        <v>50.450612536015967</v>
      </c>
    </row>
    <row r="9" spans="1:9" x14ac:dyDescent="0.2">
      <c r="A9" s="260">
        <v>44742</v>
      </c>
      <c r="B9" s="259">
        <v>-87.509360099444393</v>
      </c>
      <c r="C9" s="259">
        <v>928.63795625955152</v>
      </c>
      <c r="D9" s="259">
        <v>0</v>
      </c>
      <c r="E9" s="259">
        <v>0</v>
      </c>
      <c r="F9" s="259">
        <v>154.75570379818942</v>
      </c>
      <c r="G9" s="259">
        <v>932.36601865221223</v>
      </c>
      <c r="H9" s="259">
        <v>-334.34747023032264</v>
      </c>
      <c r="I9" s="259">
        <v>48.785062638348734</v>
      </c>
    </row>
    <row r="10" spans="1:9" x14ac:dyDescent="0.2">
      <c r="A10" s="260">
        <v>44834</v>
      </c>
      <c r="B10" s="259">
        <v>-86.611510369696362</v>
      </c>
      <c r="C10" s="259">
        <v>1084.8611241749131</v>
      </c>
      <c r="D10" s="259">
        <v>0</v>
      </c>
      <c r="E10" s="259">
        <v>0</v>
      </c>
      <c r="F10" s="259">
        <v>161.54166988777604</v>
      </c>
      <c r="G10" s="259">
        <v>918.74257189852347</v>
      </c>
      <c r="H10" s="259">
        <v>-335.92752585795324</v>
      </c>
      <c r="I10" s="259">
        <v>47.108381311563846</v>
      </c>
    </row>
    <row r="11" spans="1:9" x14ac:dyDescent="0.2">
      <c r="A11" s="260">
        <v>44926</v>
      </c>
      <c r="B11" s="259">
        <v>-85.72247255018101</v>
      </c>
      <c r="C11" s="259">
        <v>1230.9468690134422</v>
      </c>
      <c r="D11" s="259">
        <v>0</v>
      </c>
      <c r="E11" s="259">
        <v>0</v>
      </c>
      <c r="F11" s="259">
        <v>163.19431211633355</v>
      </c>
      <c r="G11" s="259">
        <v>919.77400129843068</v>
      </c>
      <c r="H11" s="259">
        <v>-337.49753875913751</v>
      </c>
      <c r="I11" s="259">
        <v>45.377283473209502</v>
      </c>
    </row>
    <row r="12" spans="1:9" x14ac:dyDescent="0.2">
      <c r="A12" s="260">
        <v>45016</v>
      </c>
      <c r="B12" s="259">
        <v>-84.833434730665658</v>
      </c>
      <c r="C12" s="259">
        <v>1374.6003183165544</v>
      </c>
      <c r="D12" s="259">
        <v>0</v>
      </c>
      <c r="E12" s="259">
        <v>0</v>
      </c>
      <c r="F12" s="259">
        <v>164.84695434489106</v>
      </c>
      <c r="G12" s="259">
        <v>921.36228684862749</v>
      </c>
      <c r="H12" s="259">
        <v>-339.06420408483939</v>
      </c>
      <c r="I12" s="259">
        <v>43.648944025808703</v>
      </c>
    </row>
    <row r="13" spans="1:9" x14ac:dyDescent="0.2">
      <c r="A13" s="260">
        <v>45107</v>
      </c>
      <c r="B13" s="259">
        <v>-83.944396911150307</v>
      </c>
      <c r="C13" s="259">
        <v>1525.8981250166898</v>
      </c>
      <c r="D13" s="259">
        <v>0</v>
      </c>
      <c r="E13" s="259">
        <v>0</v>
      </c>
      <c r="F13" s="259">
        <v>166.49959657344857</v>
      </c>
      <c r="G13" s="259">
        <v>923.33140583408135</v>
      </c>
      <c r="H13" s="259">
        <v>-340.63589077376486</v>
      </c>
      <c r="I13" s="259">
        <v>58.409229063726343</v>
      </c>
    </row>
    <row r="14" spans="1:9" x14ac:dyDescent="0.2">
      <c r="A14" s="260">
        <v>45199</v>
      </c>
      <c r="B14" s="259">
        <v>-83.055359091634955</v>
      </c>
      <c r="C14" s="259">
        <v>1676.5009901352776</v>
      </c>
      <c r="D14" s="259">
        <v>0</v>
      </c>
      <c r="E14" s="259">
        <v>0</v>
      </c>
      <c r="F14" s="259">
        <v>168.15223880200608</v>
      </c>
      <c r="G14" s="259">
        <v>926.39168989526888</v>
      </c>
      <c r="H14" s="259">
        <v>-342.2226415523603</v>
      </c>
      <c r="I14" s="259">
        <v>55.772660750934335</v>
      </c>
    </row>
    <row r="15" spans="1:9" x14ac:dyDescent="0.2">
      <c r="A15" s="260">
        <v>45291</v>
      </c>
      <c r="B15" s="259">
        <v>-83.991267881292288</v>
      </c>
      <c r="C15" s="259">
        <v>1671.2908983928535</v>
      </c>
      <c r="D15" s="259">
        <v>0</v>
      </c>
      <c r="E15" s="259">
        <v>0</v>
      </c>
      <c r="F15" s="259">
        <v>169.11275307102915</v>
      </c>
      <c r="G15" s="259">
        <v>935.75564827887183</v>
      </c>
      <c r="H15" s="259">
        <v>-343.82445642062572</v>
      </c>
      <c r="I15" s="259">
        <v>53.072464475061338</v>
      </c>
    </row>
    <row r="16" spans="1:9" x14ac:dyDescent="0.2">
      <c r="A16" s="260">
        <v>45382</v>
      </c>
      <c r="B16" s="259">
        <v>-84.927176670949621</v>
      </c>
      <c r="C16" s="259">
        <v>1670.2504561397177</v>
      </c>
      <c r="D16" s="259">
        <v>0</v>
      </c>
      <c r="E16" s="259">
        <v>0</v>
      </c>
      <c r="F16" s="259">
        <v>170.0732673400521</v>
      </c>
      <c r="G16" s="259">
        <v>944.75327130303208</v>
      </c>
      <c r="H16" s="259">
        <v>-345.43631401533833</v>
      </c>
      <c r="I16" s="259">
        <v>53.599225474355364</v>
      </c>
    </row>
    <row r="17" spans="1:9" x14ac:dyDescent="0.2">
      <c r="A17" s="260">
        <v>45473</v>
      </c>
      <c r="B17" s="259">
        <v>-85.863085460607067</v>
      </c>
      <c r="C17" s="259">
        <v>1673.032192585089</v>
      </c>
      <c r="D17" s="259">
        <v>0</v>
      </c>
      <c r="E17" s="259">
        <v>0</v>
      </c>
      <c r="F17" s="259">
        <v>171.03378160907505</v>
      </c>
      <c r="G17" s="259">
        <v>952.04281432169114</v>
      </c>
      <c r="H17" s="259">
        <v>-347.04482403456853</v>
      </c>
      <c r="I17" s="259">
        <v>54.12982493779765</v>
      </c>
    </row>
    <row r="18" spans="1:9" x14ac:dyDescent="0.2">
      <c r="A18" s="260">
        <v>45565</v>
      </c>
      <c r="B18" s="259">
        <v>-86.798994250264514</v>
      </c>
      <c r="C18" s="259">
        <v>1681.3734616828433</v>
      </c>
      <c r="D18" s="259">
        <v>0</v>
      </c>
      <c r="E18" s="259">
        <v>0</v>
      </c>
      <c r="F18" s="259">
        <v>171.99429587809789</v>
      </c>
      <c r="G18" s="259">
        <v>958.28535668877316</v>
      </c>
      <c r="H18" s="259">
        <v>-348.65835541702234</v>
      </c>
      <c r="I18" s="259">
        <v>54.666914200615224</v>
      </c>
    </row>
    <row r="19" spans="1:9" x14ac:dyDescent="0.2">
      <c r="A19" s="260">
        <v>45657</v>
      </c>
      <c r="B19" s="259">
        <v>-87.984573829845772</v>
      </c>
      <c r="C19" s="259">
        <v>1669.3453109179</v>
      </c>
      <c r="D19" s="259">
        <v>0</v>
      </c>
      <c r="E19" s="259">
        <v>0</v>
      </c>
      <c r="F19" s="259">
        <v>177.03782568010843</v>
      </c>
      <c r="G19" s="259">
        <v>980.40234947952877</v>
      </c>
      <c r="H19" s="259">
        <v>-350.27523437495859</v>
      </c>
      <c r="I19" s="259">
        <v>55.20984077764416</v>
      </c>
    </row>
    <row r="20" spans="1:9" x14ac:dyDescent="0.2">
      <c r="A20" s="260">
        <v>45747</v>
      </c>
      <c r="B20" s="259">
        <v>-89.17015340942703</v>
      </c>
      <c r="C20" s="259">
        <v>1656.6222185714087</v>
      </c>
      <c r="D20" s="259">
        <v>0</v>
      </c>
      <c r="E20" s="259">
        <v>0</v>
      </c>
      <c r="F20" s="259">
        <v>182.08135548211885</v>
      </c>
      <c r="G20" s="259">
        <v>999.07303755642829</v>
      </c>
      <c r="H20" s="259">
        <v>-351.89043954515273</v>
      </c>
      <c r="I20" s="259">
        <v>55.75517453285994</v>
      </c>
    </row>
    <row r="21" spans="1:9" x14ac:dyDescent="0.2">
      <c r="A21" s="260">
        <v>45838</v>
      </c>
      <c r="B21" s="259">
        <v>-90.355732989008288</v>
      </c>
      <c r="C21" s="259">
        <v>1646.6788925511069</v>
      </c>
      <c r="D21" s="259">
        <v>0</v>
      </c>
      <c r="E21" s="259">
        <v>0</v>
      </c>
      <c r="F21" s="259">
        <v>187.1248852841295</v>
      </c>
      <c r="G21" s="259">
        <v>1014.69076449771</v>
      </c>
      <c r="H21" s="259">
        <v>-353.48555926245422</v>
      </c>
      <c r="I21" s="259">
        <v>56.303588941234239</v>
      </c>
    </row>
    <row r="22" spans="1:9" x14ac:dyDescent="0.2">
      <c r="A22" s="260">
        <v>45930</v>
      </c>
      <c r="B22" s="259">
        <v>-91.541312568589547</v>
      </c>
      <c r="C22" s="259">
        <v>1639.8628036477683</v>
      </c>
      <c r="D22" s="259">
        <v>0</v>
      </c>
      <c r="E22" s="259">
        <v>0</v>
      </c>
      <c r="F22" s="259">
        <v>192.16841508613993</v>
      </c>
      <c r="G22" s="259">
        <v>1026.9269875298953</v>
      </c>
      <c r="H22" s="259">
        <v>-355.06896246556721</v>
      </c>
      <c r="I22" s="259">
        <v>56.854610139888166</v>
      </c>
    </row>
    <row r="23" spans="1:9" x14ac:dyDescent="0.2">
      <c r="A23" s="260">
        <v>46022</v>
      </c>
      <c r="B23" s="259">
        <v>-92.77502196263174</v>
      </c>
      <c r="C23" s="259">
        <v>1631.698855596072</v>
      </c>
      <c r="D23" s="259">
        <v>0</v>
      </c>
      <c r="E23" s="259">
        <v>0</v>
      </c>
      <c r="F23" s="259">
        <v>195.56822397322026</v>
      </c>
      <c r="G23" s="259">
        <v>1033.519188036061</v>
      </c>
      <c r="H23" s="259">
        <v>-356.64064915449268</v>
      </c>
      <c r="I23" s="259">
        <v>57.410046392264007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topLeftCell="A20" workbookViewId="0">
      <selection activeCell="N7" sqref="N7"/>
    </sheetView>
  </sheetViews>
  <sheetFormatPr baseColWidth="10" defaultColWidth="8.83203125" defaultRowHeight="15" x14ac:dyDescent="0.2"/>
  <cols>
    <col min="11" max="11" width="9.5" bestFit="1" customWidth="1"/>
  </cols>
  <sheetData>
    <row r="1" spans="1:11" s="297" customFormat="1" x14ac:dyDescent="0.2">
      <c r="A1" s="297" t="s">
        <v>312</v>
      </c>
      <c r="B1" s="297" t="s">
        <v>313</v>
      </c>
      <c r="C1" s="297" t="s">
        <v>314</v>
      </c>
      <c r="D1" s="297" t="s">
        <v>315</v>
      </c>
      <c r="E1" s="297" t="s">
        <v>316</v>
      </c>
      <c r="F1" s="297" t="s">
        <v>317</v>
      </c>
      <c r="G1" s="297" t="s">
        <v>318</v>
      </c>
      <c r="H1" s="297" t="s">
        <v>319</v>
      </c>
      <c r="I1" s="297" t="s">
        <v>320</v>
      </c>
      <c r="J1" s="297" t="s">
        <v>363</v>
      </c>
      <c r="K1" s="350">
        <v>44286</v>
      </c>
    </row>
    <row r="2" spans="1:11" x14ac:dyDescent="0.2">
      <c r="A2" t="s">
        <v>282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  <c r="K2">
        <v>22048.9</v>
      </c>
    </row>
    <row r="3" spans="1:11" x14ac:dyDescent="0.2">
      <c r="A3" t="s">
        <v>283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  <c r="K3">
        <v>19087.599999999999</v>
      </c>
    </row>
    <row r="4" spans="1:11" x14ac:dyDescent="0.2">
      <c r="A4" t="s">
        <v>284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  <c r="K4">
        <v>1722.1</v>
      </c>
    </row>
    <row r="5" spans="1:11" x14ac:dyDescent="0.2">
      <c r="A5" t="s">
        <v>285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  <c r="K5">
        <v>160</v>
      </c>
    </row>
    <row r="6" spans="1:11" x14ac:dyDescent="0.2">
      <c r="A6" t="s">
        <v>286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  <c r="K6">
        <v>1471.5</v>
      </c>
    </row>
    <row r="7" spans="1:11" x14ac:dyDescent="0.2">
      <c r="A7" t="s">
        <v>287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  <c r="K7">
        <v>236.9</v>
      </c>
    </row>
    <row r="8" spans="1:11" x14ac:dyDescent="0.2">
      <c r="A8" t="s">
        <v>288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  <c r="K8">
        <v>556.79999999999995</v>
      </c>
    </row>
    <row r="9" spans="1:11" x14ac:dyDescent="0.2">
      <c r="A9" t="s">
        <v>289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  <c r="K9">
        <v>1377.6</v>
      </c>
    </row>
    <row r="10" spans="1:11" x14ac:dyDescent="0.2">
      <c r="A10" t="s">
        <v>321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  <c r="K10">
        <v>10404</v>
      </c>
    </row>
    <row r="11" spans="1:11" x14ac:dyDescent="0.2">
      <c r="A11" t="s">
        <v>322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  <c r="K11">
        <v>13537</v>
      </c>
    </row>
    <row r="12" spans="1:11" x14ac:dyDescent="0.2">
      <c r="A12" t="s">
        <v>291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  <c r="K12">
        <v>95.9</v>
      </c>
    </row>
    <row r="13" spans="1:11" x14ac:dyDescent="0.2">
      <c r="A13" t="s">
        <v>292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  <c r="K13">
        <v>5166912</v>
      </c>
    </row>
    <row r="14" spans="1:11" x14ac:dyDescent="0.2">
      <c r="A14" t="s">
        <v>293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  <c r="K14">
        <v>880104</v>
      </c>
    </row>
    <row r="15" spans="1:11" x14ac:dyDescent="0.2">
      <c r="A15" t="s">
        <v>294</v>
      </c>
      <c r="H15">
        <v>1078100</v>
      </c>
      <c r="I15">
        <v>15600</v>
      </c>
      <c r="J15">
        <v>5000</v>
      </c>
      <c r="K15">
        <v>1933.7</v>
      </c>
    </row>
    <row r="16" spans="1:11" x14ac:dyDescent="0.2">
      <c r="A16" t="s">
        <v>295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  <c r="K16">
        <v>880104</v>
      </c>
    </row>
    <row r="17" spans="1:11" x14ac:dyDescent="0.2">
      <c r="A17" t="s">
        <v>296</v>
      </c>
      <c r="H17">
        <v>19100</v>
      </c>
      <c r="I17">
        <v>27000</v>
      </c>
      <c r="J17">
        <v>10800</v>
      </c>
      <c r="K17">
        <v>10.8</v>
      </c>
    </row>
    <row r="18" spans="1:11" x14ac:dyDescent="0.2">
      <c r="A18" t="s">
        <v>297</v>
      </c>
      <c r="H18">
        <v>160900</v>
      </c>
      <c r="I18">
        <v>58400</v>
      </c>
      <c r="J18">
        <v>34500</v>
      </c>
      <c r="K18">
        <v>43</v>
      </c>
    </row>
    <row r="19" spans="1:11" x14ac:dyDescent="0.2">
      <c r="A19" t="s">
        <v>298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  <c r="K19">
        <v>404854</v>
      </c>
    </row>
    <row r="20" spans="1:11" x14ac:dyDescent="0.2">
      <c r="A20" t="s">
        <v>299</v>
      </c>
      <c r="H20">
        <v>609300</v>
      </c>
      <c r="I20">
        <v>865600</v>
      </c>
      <c r="J20">
        <v>260300</v>
      </c>
      <c r="K20">
        <v>184.6</v>
      </c>
    </row>
    <row r="21" spans="1:11" x14ac:dyDescent="0.2">
      <c r="A21" t="s">
        <v>300</v>
      </c>
      <c r="H21">
        <v>63800</v>
      </c>
      <c r="I21">
        <v>15000</v>
      </c>
      <c r="J21">
        <v>100</v>
      </c>
      <c r="K21">
        <v>38</v>
      </c>
    </row>
    <row r="22" spans="1:11" x14ac:dyDescent="0.2">
      <c r="A22" t="s">
        <v>301</v>
      </c>
      <c r="H22">
        <v>73300</v>
      </c>
      <c r="I22">
        <v>73300</v>
      </c>
      <c r="J22">
        <v>73300</v>
      </c>
      <c r="K22">
        <v>73.3</v>
      </c>
    </row>
    <row r="23" spans="1:11" x14ac:dyDescent="0.2">
      <c r="A23" t="s">
        <v>302</v>
      </c>
      <c r="H23">
        <v>140000</v>
      </c>
      <c r="I23">
        <v>140000</v>
      </c>
      <c r="J23">
        <v>140000</v>
      </c>
      <c r="K23">
        <v>8</v>
      </c>
    </row>
    <row r="24" spans="1:11" x14ac:dyDescent="0.2">
      <c r="A24" t="s">
        <v>303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  <c r="K24">
        <v>783864</v>
      </c>
    </row>
    <row r="25" spans="1:11" x14ac:dyDescent="0.2">
      <c r="A25" t="s">
        <v>306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  <c r="K25">
        <v>1557005</v>
      </c>
    </row>
    <row r="26" spans="1:11" x14ac:dyDescent="0.2">
      <c r="A26" t="s">
        <v>305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  <c r="K26">
        <v>1376097</v>
      </c>
    </row>
    <row r="27" spans="1:11" x14ac:dyDescent="0.2">
      <c r="A27" t="s">
        <v>307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  <c r="K27">
        <v>523163</v>
      </c>
    </row>
    <row r="28" spans="1:11" x14ac:dyDescent="0.2">
      <c r="A28" t="s">
        <v>308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  <c r="K28">
        <v>833185</v>
      </c>
    </row>
    <row r="29" spans="1:11" x14ac:dyDescent="0.2">
      <c r="A29" t="s">
        <v>309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  <c r="K29">
        <v>687274</v>
      </c>
    </row>
    <row r="30" spans="1:11" x14ac:dyDescent="0.2">
      <c r="A30" t="s">
        <v>310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  <c r="K30">
        <v>1997620</v>
      </c>
    </row>
    <row r="31" spans="1:11" x14ac:dyDescent="0.2">
      <c r="A31" t="s">
        <v>311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  <c r="K31">
        <v>2395947</v>
      </c>
    </row>
    <row r="32" spans="1:11" x14ac:dyDescent="0.2">
      <c r="A32" t="s">
        <v>290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324</v>
      </c>
      <c r="H33">
        <v>277100</v>
      </c>
      <c r="I33">
        <v>228300</v>
      </c>
      <c r="J33">
        <v>213400</v>
      </c>
    </row>
    <row r="34" spans="1:10" x14ac:dyDescent="0.2">
      <c r="A34" t="s">
        <v>304</v>
      </c>
      <c r="H34">
        <v>690700</v>
      </c>
      <c r="I34">
        <v>39200</v>
      </c>
      <c r="J34">
        <v>29000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250</v>
      </c>
      <c r="B1" t="s">
        <v>281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232</v>
      </c>
      <c r="C8" s="160"/>
      <c r="D8" s="161">
        <f>SUMPRODUCT(B5:B6,C5:C6)</f>
        <v>0.45</v>
      </c>
    </row>
    <row r="9" spans="1:16" x14ac:dyDescent="0.2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232</v>
      </c>
      <c r="C8" s="160"/>
      <c r="D8" s="161">
        <f>SUMPRODUCT(B5:B6,C5:C6)</f>
        <v>0.52500000000000002</v>
      </c>
    </row>
    <row r="9" spans="1:16" x14ac:dyDescent="0.2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2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2">
      <c r="A2" s="375" t="s">
        <v>189</v>
      </c>
      <c r="B2" s="107"/>
      <c r="C2" t="s">
        <v>190</v>
      </c>
    </row>
    <row r="3" spans="1:32" x14ac:dyDescent="0.2">
      <c r="A3" s="375"/>
      <c r="B3" s="108"/>
      <c r="C3" t="s">
        <v>191</v>
      </c>
    </row>
    <row r="4" spans="1:32" x14ac:dyDescent="0.2">
      <c r="A4" s="375"/>
      <c r="B4" s="109"/>
      <c r="C4" t="s">
        <v>192</v>
      </c>
    </row>
    <row r="5" spans="1:32" x14ac:dyDescent="0.2">
      <c r="A5" s="375"/>
      <c r="B5" s="98"/>
      <c r="C5" t="s">
        <v>179</v>
      </c>
    </row>
    <row r="7" spans="1:32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182</v>
      </c>
      <c r="B23" s="110"/>
    </row>
    <row r="24" spans="1:12" x14ac:dyDescent="0.2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185</v>
      </c>
      <c r="B31" s="110"/>
    </row>
    <row r="32" spans="1:12" x14ac:dyDescent="0.2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186</v>
      </c>
      <c r="B53" s="105"/>
    </row>
    <row r="54" spans="1:12" x14ac:dyDescent="0.2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187</v>
      </c>
      <c r="B61" s="105"/>
    </row>
    <row r="62" spans="1:12" x14ac:dyDescent="0.2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404.85399999999998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2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-692.23413151564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81" t="s">
        <v>103</v>
      </c>
      <c r="B2" s="381"/>
      <c r="C2" s="381"/>
      <c r="D2" s="381"/>
      <c r="E2" s="381"/>
      <c r="F2" s="381"/>
      <c r="G2" s="381"/>
      <c r="H2" s="381"/>
      <c r="I2" s="381"/>
      <c r="J2" s="381"/>
      <c r="K2" s="77"/>
    </row>
    <row r="3" spans="1:24" x14ac:dyDescent="0.2">
      <c r="A3" s="381" t="s">
        <v>104</v>
      </c>
      <c r="B3" s="381"/>
      <c r="C3" s="381"/>
      <c r="D3" s="381"/>
      <c r="E3" s="381"/>
      <c r="F3" s="381"/>
      <c r="G3" s="381"/>
      <c r="H3" s="381"/>
      <c r="I3" s="381"/>
      <c r="J3" s="381"/>
      <c r="K3" s="77"/>
    </row>
    <row r="4" spans="1:24" ht="16" thickBot="1" x14ac:dyDescent="0.25">
      <c r="A4" s="382"/>
      <c r="B4" s="382"/>
      <c r="C4" s="382"/>
      <c r="D4" s="382"/>
      <c r="E4" s="382"/>
      <c r="F4" s="382"/>
      <c r="G4" s="382"/>
      <c r="H4" s="382"/>
      <c r="I4" s="382"/>
      <c r="J4" s="382"/>
      <c r="K4" s="387" t="s">
        <v>159</v>
      </c>
      <c r="L4" s="387"/>
      <c r="M4" s="387"/>
      <c r="N4" s="387"/>
    </row>
    <row r="5" spans="1:24" x14ac:dyDescent="0.2">
      <c r="A5" s="47"/>
      <c r="B5" s="48"/>
      <c r="C5" s="383" t="s">
        <v>105</v>
      </c>
      <c r="D5" s="384"/>
      <c r="E5" s="384"/>
      <c r="F5" s="384"/>
      <c r="G5" s="384"/>
      <c r="H5" s="384"/>
      <c r="I5" s="384"/>
      <c r="J5" s="385"/>
      <c r="K5" s="78"/>
      <c r="L5" s="386" t="s">
        <v>106</v>
      </c>
      <c r="M5" s="352"/>
      <c r="N5" s="352"/>
    </row>
    <row r="6" spans="1:24" x14ac:dyDescent="0.2">
      <c r="A6" s="1" t="s">
        <v>108</v>
      </c>
      <c r="B6" s="49"/>
      <c r="C6" s="377">
        <v>2020</v>
      </c>
      <c r="D6" s="378"/>
      <c r="E6" s="378"/>
      <c r="F6" s="378"/>
      <c r="G6" s="378"/>
      <c r="H6" s="378"/>
      <c r="I6" s="378"/>
      <c r="J6" s="379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2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2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136</v>
      </c>
    </row>
    <row r="17" spans="3:23" x14ac:dyDescent="0.2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135</v>
      </c>
    </row>
    <row r="21" spans="3:23" x14ac:dyDescent="0.2">
      <c r="C21" s="69" t="s">
        <v>120</v>
      </c>
      <c r="D21" s="69"/>
      <c r="E21" s="69"/>
      <c r="F21" s="70"/>
      <c r="G21" s="67"/>
    </row>
    <row r="22" spans="3:23" x14ac:dyDescent="0.2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2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0" t="s">
        <v>107</v>
      </c>
      <c r="L23" s="380"/>
      <c r="M23" s="380"/>
      <c r="N23" s="380"/>
      <c r="O23" s="35" t="s">
        <v>145</v>
      </c>
      <c r="P23" s="35"/>
      <c r="Q23" s="35"/>
      <c r="R23" s="35"/>
    </row>
    <row r="24" spans="3:23" x14ac:dyDescent="0.2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76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125</v>
      </c>
      <c r="F29">
        <f>557</f>
        <v>557</v>
      </c>
      <c r="G29">
        <v>166</v>
      </c>
      <c r="H29">
        <v>67</v>
      </c>
      <c r="I29" s="376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6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76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6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76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261</v>
      </c>
    </row>
    <row r="37" spans="3:23" x14ac:dyDescent="0.2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364</v>
      </c>
    </row>
    <row r="43" spans="3:23" x14ac:dyDescent="0.2">
      <c r="N43" s="82" t="s">
        <v>143</v>
      </c>
      <c r="O43" s="72">
        <v>15</v>
      </c>
    </row>
    <row r="44" spans="3:23" x14ac:dyDescent="0.2">
      <c r="N44" s="82" t="s">
        <v>142</v>
      </c>
      <c r="O44" s="72">
        <v>10</v>
      </c>
    </row>
    <row r="45" spans="3:23" x14ac:dyDescent="0.2">
      <c r="N45" s="82" t="s">
        <v>141</v>
      </c>
      <c r="O45" s="72">
        <v>5</v>
      </c>
    </row>
    <row r="46" spans="3:23" x14ac:dyDescent="0.2">
      <c r="N46" s="35" t="s">
        <v>139</v>
      </c>
      <c r="O46" s="72">
        <v>2</v>
      </c>
    </row>
    <row r="47" spans="3:23" x14ac:dyDescent="0.2">
      <c r="N47" s="316" t="s">
        <v>252</v>
      </c>
      <c r="O47">
        <v>32</v>
      </c>
    </row>
    <row r="48" spans="3:23" x14ac:dyDescent="0.2">
      <c r="N48" t="s">
        <v>253</v>
      </c>
      <c r="O48">
        <v>36.75</v>
      </c>
    </row>
    <row r="49" spans="14:15" x14ac:dyDescent="0.2">
      <c r="N49" t="s">
        <v>144</v>
      </c>
      <c r="O49">
        <v>47</v>
      </c>
    </row>
    <row r="50" spans="14:15" x14ac:dyDescent="0.2">
      <c r="N50" t="s">
        <v>128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84</v>
      </c>
    </row>
    <row r="2" spans="1:18" x14ac:dyDescent="0.2">
      <c r="A2" t="s">
        <v>85</v>
      </c>
    </row>
    <row r="4" spans="1:18" x14ac:dyDescent="0.2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89" t="s">
        <v>86</v>
      </c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89"/>
    </row>
    <row r="7" spans="1:18" x14ac:dyDescent="0.2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2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102</v>
      </c>
    </row>
    <row r="19" spans="1:20" x14ac:dyDescent="0.2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90" t="s">
        <v>94</v>
      </c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</row>
    <row r="28" spans="1:20" x14ac:dyDescent="0.2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2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1" t="s">
        <v>98</v>
      </c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</row>
    <row r="38" spans="1:18" ht="16" x14ac:dyDescent="0.2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2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90" t="s">
        <v>100</v>
      </c>
      <c r="G48" s="390"/>
      <c r="H48" s="390"/>
      <c r="I48" s="390"/>
      <c r="J48" s="390"/>
      <c r="K48" s="390"/>
      <c r="L48" s="390"/>
      <c r="M48" s="390"/>
      <c r="N48" s="390"/>
      <c r="O48" s="390"/>
      <c r="P48" s="390"/>
      <c r="Q48" s="390"/>
      <c r="R48" s="390"/>
    </row>
    <row r="49" spans="1:18" x14ac:dyDescent="0.2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2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15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15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15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15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15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15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15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15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2021-05-27T18:10:07Z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